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41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5" sheetId="87" r:id="rId53"/>
    <sheet name="330" sheetId="24" r:id="rId54"/>
    <sheet name="307" sheetId="69" r:id="rId55"/>
    <sheet name="314" sheetId="74" r:id="rId56"/>
    <sheet name="308" sheetId="27" r:id="rId57"/>
    <sheet name="311" sheetId="71" r:id="rId58"/>
    <sheet name="324" sheetId="83" r:id="rId59"/>
    <sheet name="331" sheetId="30" r:id="rId60"/>
    <sheet name="315" sheetId="75" r:id="rId61"/>
    <sheet name="326" sheetId="85" r:id="rId62"/>
    <sheet name="332" sheetId="33" r:id="rId63"/>
    <sheet name="316" sheetId="76" r:id="rId64"/>
    <sheet name="320" sheetId="79" r:id="rId65"/>
    <sheet name="Div 6" sheetId="51" r:id="rId66"/>
    <sheet name="317" sheetId="77" r:id="rId67"/>
    <sheet name="310" sheetId="21" r:id="rId68"/>
    <sheet name="309" sheetId="70" r:id="rId69"/>
    <sheet name="313" sheetId="73" r:id="rId70"/>
    <sheet name="321" sheetId="80" r:id="rId71"/>
    <sheet name="322" sheetId="81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20" sheetId="99" r:id="rId82"/>
    <sheet name="413" sheetId="94" r:id="rId83"/>
    <sheet name="414" sheetId="95" r:id="rId84"/>
    <sheet name="415" sheetId="96" r:id="rId85"/>
    <sheet name="418" sheetId="98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45" sheetId="107" r:id="rId96"/>
    <sheet name="450" sheetId="108" r:id="rId97"/>
    <sheet name="Div 5" sheetId="48" r:id="rId98"/>
    <sheet name="501" sheetId="110" r:id="rId99"/>
    <sheet name="Dept" sheetId="111" state="hidden" r:id="rId100"/>
    <sheet name="OSR_Dept_Y0WUKY" sheetId="112" state="hidden" r:id="rId101"/>
    <sheet name="OSR_Summary (...56e5d78f_5JEYZH" sheetId="113" state="hidden" r:id="rId102"/>
  </sheets>
  <definedNames>
    <definedName name="OSRRefD13x_0" localSheetId="48">'300'!$D$13:$D$105</definedName>
    <definedName name="OSRRefD13x_0" localSheetId="49">'300 &amp; 317'!$D$13:$D$123</definedName>
    <definedName name="OSRRefD13x_0" localSheetId="54">'307'!$D$13:$D$46</definedName>
    <definedName name="OSRRefD13x_0" localSheetId="56">'308'!$D$13:$D$40</definedName>
    <definedName name="OSRRefD13x_0" localSheetId="68">'309'!$D$13:$D$14</definedName>
    <definedName name="OSRRefD13x_0" localSheetId="67">'310'!$D$13:$D$23</definedName>
    <definedName name="OSRRefD13x_0" localSheetId="75">'310 &amp; 491'!$D$13:$D$31</definedName>
    <definedName name="OSRRefD13x_0" localSheetId="57">'311'!$D$13:$D$39</definedName>
    <definedName name="OSRRefD13x_0" localSheetId="69">'313'!$D$13:$D$20</definedName>
    <definedName name="OSRRefD13x_0" localSheetId="55">'314'!$D$13:$D$33</definedName>
    <definedName name="OSRRefD13x_0" localSheetId="60">'315'!$D$13:$D$32</definedName>
    <definedName name="OSRRefD13x_0" localSheetId="63">'316'!$D$13:$D$25</definedName>
    <definedName name="OSRRefD13x_0" localSheetId="66">'317'!$D$13:$D$36</definedName>
    <definedName name="OSRRefD13x_0" localSheetId="64">'320'!$D$13:$D$16</definedName>
    <definedName name="OSRRefD13x_0" localSheetId="70">'321'!$D$13:$D$14</definedName>
    <definedName name="OSRRefD13x_0" localSheetId="71">'322'!$D$13:$D$14</definedName>
    <definedName name="OSRRefD13x_0" localSheetId="58">'324'!$D$13:$D$15</definedName>
    <definedName name="OSRRefD13x_0" localSheetId="72">'325'!$D$13:$D$14</definedName>
    <definedName name="OSRRefD13x_0" localSheetId="61">'326'!$D$13:$D$35</definedName>
    <definedName name="OSRRefD13x_0" localSheetId="73">'327'!$D$13</definedName>
    <definedName name="OSRRefD13x_0" localSheetId="53">'330'!$D$13:$D$50</definedName>
    <definedName name="OSRRefD13x_0" localSheetId="59">'331'!$D$13:$D$43</definedName>
    <definedName name="OSRRefD13x_0" localSheetId="62">'332'!$D$13:$D$29</definedName>
    <definedName name="OSRRefD13x_0" localSheetId="77">'405'!$D$13:$D$14</definedName>
    <definedName name="OSRRefD13x_0" localSheetId="78">'406'!$D$13:$D$14</definedName>
    <definedName name="OSRRefD13x_0" localSheetId="80">'412'!$D$13:$D$15</definedName>
    <definedName name="OSRRefD13x_0" localSheetId="82">'413'!$D$13:$D$14</definedName>
    <definedName name="OSRRefD13x_0" localSheetId="83">'414'!$D$13:$D$14</definedName>
    <definedName name="OSRRefD13x_0" localSheetId="84">'415'!$D$13:$D$14</definedName>
    <definedName name="OSRRefD13x_0" localSheetId="85">'418'!$D$13:$D$14</definedName>
    <definedName name="OSRRefD13x_0" localSheetId="81">'420'!$D$13:$D$14</definedName>
    <definedName name="OSRRefD13x_0" localSheetId="87">'424'!$D$13:$D$14</definedName>
    <definedName name="OSRRefD13x_0" localSheetId="88">'425'!$D$13:$D$17</definedName>
    <definedName name="OSRRefD13x_0" localSheetId="92">'433'!$D$13:$D$16</definedName>
    <definedName name="OSRRefD13x_0" localSheetId="93">'435'!$D$13:$D$15</definedName>
    <definedName name="OSRRefD13x_0" localSheetId="94">'444'!$D$13:$D$15</definedName>
    <definedName name="OSRRefD13x_0" localSheetId="96">'450'!$D$13:$D$15</definedName>
    <definedName name="OSRRefD13x_0" localSheetId="76">'491'!$D$13:$D$23</definedName>
    <definedName name="OSRRefD13x_0" localSheetId="90">'492'!$D$13:$D$18</definedName>
    <definedName name="OSRRefD13x_0" localSheetId="98">'501'!$D$13</definedName>
    <definedName name="OSRRefD13x_0" localSheetId="47">'Div 3'!$D$13:$D$108</definedName>
    <definedName name="OSRRefD13x_0" localSheetId="74">'Div 4'!$D$13:$D$24</definedName>
    <definedName name="OSRRefD13x_0" localSheetId="97">'Div 5'!$D$13</definedName>
    <definedName name="OSRRefD13x_0" localSheetId="65">'Div 6'!$D$13:$D$36</definedName>
    <definedName name="OSRRefD13x_0" localSheetId="2">Summary!$D$13:$D$135</definedName>
    <definedName name="OSRRefD16x_0" localSheetId="48">'300'!$D$108:$D$157</definedName>
    <definedName name="OSRRefD16x_0" localSheetId="49">'300 &amp; 317'!$D$126:$D$182</definedName>
    <definedName name="OSRRefD16x_0" localSheetId="54">'307'!$D$49:$D$68</definedName>
    <definedName name="OSRRefD16x_0" localSheetId="56">'308'!$D$43:$D$58</definedName>
    <definedName name="OSRRefD16x_0" localSheetId="68">'309'!$D$17:$D$18</definedName>
    <definedName name="OSRRefD16x_0" localSheetId="67">'310'!$D$26:$D$27</definedName>
    <definedName name="OSRRefD16x_0" localSheetId="75">'310 &amp; 491'!$D$34:$D$35</definedName>
    <definedName name="OSRRefD16x_0" localSheetId="57">'311'!$D$42:$D$57</definedName>
    <definedName name="OSRRefD16x_0" localSheetId="69">'313'!$D$23:$D$24</definedName>
    <definedName name="OSRRefD16x_0" localSheetId="55">'314'!$D$36:$D$50</definedName>
    <definedName name="OSRRefD16x_0" localSheetId="60">'315'!$D$35:$D$49</definedName>
    <definedName name="OSRRefD16x_0" localSheetId="66">'317'!$D$39:$D$52</definedName>
    <definedName name="OSRRefD16x_0" localSheetId="64">'320'!$D$19:$D$23</definedName>
    <definedName name="OSRRefD16x_0" localSheetId="70">'321'!$D$17:$D$18</definedName>
    <definedName name="OSRRefD16x_0" localSheetId="71">'322'!$D$17:$D$18</definedName>
    <definedName name="OSRRefD16x_0" localSheetId="58">'324'!$D$18:$D$19</definedName>
    <definedName name="OSRRefD16x_0" localSheetId="72">'325'!$D$17:$D$18</definedName>
    <definedName name="OSRRefD16x_0" localSheetId="61">'326'!$D$38:$D$55</definedName>
    <definedName name="OSRRefD16x_0" localSheetId="73">'327'!$D$16</definedName>
    <definedName name="OSRRefD16x_0" localSheetId="53">'330'!$D$53:$D$75</definedName>
    <definedName name="OSRRefD16x_0" localSheetId="59">'331'!$D$46:$D$68</definedName>
    <definedName name="OSRRefD16x_0" localSheetId="62">'332'!$D$32:$D$36</definedName>
    <definedName name="OSRRefD16x_0" localSheetId="77">'405'!$D$17:$D$18</definedName>
    <definedName name="OSRRefD16x_0" localSheetId="78">'406'!$D$17:$D$18</definedName>
    <definedName name="OSRRefD16x_0" localSheetId="80">'412'!$D$18</definedName>
    <definedName name="OSRRefD16x_0" localSheetId="82">'413'!$D$17:$D$18</definedName>
    <definedName name="OSRRefD16x_0" localSheetId="83">'414'!$D$17:$D$18</definedName>
    <definedName name="OSRRefD16x_0" localSheetId="84">'415'!$D$17:$D$18</definedName>
    <definedName name="OSRRefD16x_0" localSheetId="85">'418'!$D$17:$D$18</definedName>
    <definedName name="OSRRefD16x_0" localSheetId="81">'420'!$D$17</definedName>
    <definedName name="OSRRefD16x_0" localSheetId="86">'423'!$D$15</definedName>
    <definedName name="OSRRefD16x_0" localSheetId="87">'424'!$D$17:$D$18</definedName>
    <definedName name="OSRRefD16x_0" localSheetId="88">'425'!$D$20:$D$21</definedName>
    <definedName name="OSRRefD16x_0" localSheetId="92">'433'!$D$19:$D$20</definedName>
    <definedName name="OSRRefD16x_0" localSheetId="93">'435'!$D$18:$D$19</definedName>
    <definedName name="OSRRefD16x_0" localSheetId="94">'444'!$D$18:$D$19</definedName>
    <definedName name="OSRRefD16x_0" localSheetId="96">'450'!$D$18:$D$19</definedName>
    <definedName name="OSRRefD16x_0" localSheetId="76">'491'!$D$26:$D$27</definedName>
    <definedName name="OSRRefD16x_0" localSheetId="90">'492'!$D$21:$D$22</definedName>
    <definedName name="OSRRefD16x_0" localSheetId="47">'Div 3'!$D$111:$D$162</definedName>
    <definedName name="OSRRefD16x_0" localSheetId="74">'Div 4'!$D$27:$D$28</definedName>
    <definedName name="OSRRefD16x_0" localSheetId="65">'Div 6'!$D$39:$D$52</definedName>
    <definedName name="OSRRefD16x_0" localSheetId="2">Summary!$D$138:$D$196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'300'!$D$163:$D$171</definedName>
    <definedName name="OSRRefD22_0x_0" localSheetId="49">'300 &amp; 317'!$D$188:$D$196</definedName>
    <definedName name="OSRRefD22_0x_0" localSheetId="50">'301'!$D$20:$D$27</definedName>
    <definedName name="OSRRefD22_0x_0" localSheetId="51">'306'!$D$20:$D$28</definedName>
    <definedName name="OSRRefD22_0x_0" localSheetId="54">'307'!$D$74:$D$81</definedName>
    <definedName name="OSRRefD22_0x_0" localSheetId="56">'308'!$D$64:$D$72</definedName>
    <definedName name="OSRRefD22_0x_0" localSheetId="68">'309'!$D$24:$D$31</definedName>
    <definedName name="OSRRefD22_0x_0" localSheetId="67">'310'!$D$33:$D$40</definedName>
    <definedName name="OSRRefD22_0x_0" localSheetId="75">'310 &amp; 491'!$D$41:$D$49</definedName>
    <definedName name="OSRRefD22_0x_0" localSheetId="57">'311'!$D$63:$D$71</definedName>
    <definedName name="OSRRefD22_0x_0" localSheetId="69">'313'!$D$30:$D$37</definedName>
    <definedName name="OSRRefD22_0x_0" localSheetId="55">'314'!$D$56:$D$63</definedName>
    <definedName name="OSRRefD22_0x_0" localSheetId="60">'315'!$D$55:$D$62</definedName>
    <definedName name="OSRRefD22_0x_0" localSheetId="63">'316'!$D$33:$D$40</definedName>
    <definedName name="OSRRefD22_0x_0" localSheetId="66">'317'!$D$58:$D$66</definedName>
    <definedName name="OSRRefD22_0x_0" localSheetId="64">'320'!$D$29:$D$36</definedName>
    <definedName name="OSRRefD22_0x_0" localSheetId="70">'321'!$D$24:$D$30</definedName>
    <definedName name="OSRRefD22_0x_0" localSheetId="71">'322'!$D$24:$D$31</definedName>
    <definedName name="OSRRefD22_0x_0" localSheetId="58">'324'!$D$25</definedName>
    <definedName name="OSRRefD22_0x_0" localSheetId="72">'325'!$D$24:$D$31</definedName>
    <definedName name="OSRRefD22_0x_0" localSheetId="61">'326'!$D$61:$D$68</definedName>
    <definedName name="OSRRefD22_0x_0" localSheetId="73">'327'!$D$22</definedName>
    <definedName name="OSRRefD22_0x_0" localSheetId="53">'330'!$D$81:$D$88</definedName>
    <definedName name="OSRRefD22_0x_0" localSheetId="59">'331'!$D$74:$D$81</definedName>
    <definedName name="OSRRefD22_0x_0" localSheetId="62">'332'!$D$42:$D$49</definedName>
    <definedName name="OSRRefD22_0x_0" localSheetId="52">'335'!$D$20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'412'!$D$24:$D$31</definedName>
    <definedName name="OSRRefD22_0x_0" localSheetId="82">'413'!$D$24:$D$31</definedName>
    <definedName name="OSRRefD22_0x_0" localSheetId="83">'414'!$D$24:$D$31</definedName>
    <definedName name="OSRRefD22_0x_0" localSheetId="84">'415'!$D$24:$D$31</definedName>
    <definedName name="OSRRefD22_0x_0" localSheetId="85">'418'!$D$24:$D$31</definedName>
    <definedName name="OSRRefD22_0x_0" localSheetId="81">'420'!$D$23:$D$30</definedName>
    <definedName name="OSRRefD22_0x_0" localSheetId="86">'423'!$D$21:$D$28</definedName>
    <definedName name="OSRRefD22_0x_0" localSheetId="87">'424'!$D$24:$D$26</definedName>
    <definedName name="OSRRefD22_0x_0" localSheetId="88">'425'!$D$27:$D$35</definedName>
    <definedName name="OSRRefD22_0x_0" localSheetId="91">'430'!$D$20:$D$27</definedName>
    <definedName name="OSRRefD22_0x_0" localSheetId="92">'433'!$D$26:$D$34</definedName>
    <definedName name="OSRRefD22_0x_0" localSheetId="93">'435'!$D$25:$D$27</definedName>
    <definedName name="OSRRefD22_0x_0" localSheetId="94">'444'!$D$25:$D$33</definedName>
    <definedName name="OSRRefD22_0x_0" localSheetId="95">'445'!$D$20</definedName>
    <definedName name="OSRRefD22_0x_0" localSheetId="96">'450'!$D$25:$D$33</definedName>
    <definedName name="OSRRefD22_0x_0" localSheetId="89">'455'!$D$20:$D$26</definedName>
    <definedName name="OSRRefD22_0x_0" localSheetId="76">'491'!$D$33:$D$41</definedName>
    <definedName name="OSRRefD22_0x_0" localSheetId="90">'492'!$D$28:$D$36</definedName>
    <definedName name="OSRRefD22_0x_0" localSheetId="98">'501'!$D$21:$D$28</definedName>
    <definedName name="OSRRefD22_0x_0" localSheetId="39">'Div 2'!$D$20:$D$30</definedName>
    <definedName name="OSRRefD22_0x_0" localSheetId="47">'Div 3'!$D$168:$D$176</definedName>
    <definedName name="OSRRefD22_0x_0" localSheetId="74">'Div 4'!$D$34:$D$42</definedName>
    <definedName name="OSRRefD22_0x_0" localSheetId="97">'Div 5'!$D$21:$D$28</definedName>
    <definedName name="OSRRefD22_0x_0" localSheetId="65">'Div 6'!$D$58:$D$66</definedName>
    <definedName name="OSRRefD22_0x_0" localSheetId="2">Summary!$D$202:$D$210</definedName>
    <definedName name="OSRRefD22_10x_0" localSheetId="41">'201'!$D$50:$D$52</definedName>
    <definedName name="OSRRefD22_10x_0" localSheetId="42">'202'!$D$51:$D$53</definedName>
    <definedName name="OSRRefD22_10x_0" localSheetId="43">'203'!$D$55:$D$56</definedName>
    <definedName name="OSRRefD22_10x_0" localSheetId="44">'204'!$D$60:$D$61</definedName>
    <definedName name="OSRRefD22_10x_0" localSheetId="48">'300'!$D$200:$D$201</definedName>
    <definedName name="OSRRefD22_10x_0" localSheetId="49">'300 &amp; 317'!$D$225:$D$226</definedName>
    <definedName name="OSRRefD22_10x_0" localSheetId="50">'301'!$D$56</definedName>
    <definedName name="OSRRefD22_10x_0" localSheetId="51">'306'!$D$57</definedName>
    <definedName name="OSRRefD22_10x_0" localSheetId="54">'307'!$D$106:$D$107</definedName>
    <definedName name="OSRRefD22_10x_0" localSheetId="56">'308'!$D$99:$D$100</definedName>
    <definedName name="OSRRefD22_10x_0" localSheetId="68">'309'!$D$56:$D$58</definedName>
    <definedName name="OSRRefD22_10x_0" localSheetId="67">'310'!$D$67</definedName>
    <definedName name="OSRRefD22_10x_0" localSheetId="75">'310 &amp; 491'!$D$77:$D$78</definedName>
    <definedName name="OSRRefD22_10x_0" localSheetId="57">'311'!$D$98:$D$99</definedName>
    <definedName name="OSRRefD22_10x_0" localSheetId="69">'313'!$D$63:$D$64</definedName>
    <definedName name="OSRRefD22_10x_0" localSheetId="60">'315'!$D$91:$D$92</definedName>
    <definedName name="OSRRefD22_10x_0" localSheetId="63">'316'!$D$64:$D$68</definedName>
    <definedName name="OSRRefD22_10x_0" localSheetId="66">'317'!$D$89</definedName>
    <definedName name="OSRRefD22_10x_0" localSheetId="70">'321'!$D$58:$D$62</definedName>
    <definedName name="OSRRefD22_10x_0" localSheetId="71">'322'!$D$55:$D$56</definedName>
    <definedName name="OSRRefD22_10x_0" localSheetId="72">'325'!$D$57</definedName>
    <definedName name="OSRRefD22_10x_0" localSheetId="61">'326'!$D$91</definedName>
    <definedName name="OSRRefD22_10x_0" localSheetId="53">'330'!$D$113</definedName>
    <definedName name="OSRRefD22_10x_0" localSheetId="59">'331'!$D$108</definedName>
    <definedName name="OSRRefD22_10x_0" localSheetId="62">'332'!$D$74</definedName>
    <definedName name="OSRRefD22_10x_0" localSheetId="77">'405'!$D$55:$D$56</definedName>
    <definedName name="OSRRefD22_10x_0" localSheetId="78">'406'!$D$57:$D$58</definedName>
    <definedName name="OSRRefD22_10x_0" localSheetId="79">'411'!$D$55</definedName>
    <definedName name="OSRRefD22_10x_0" localSheetId="80">'412'!$D$57</definedName>
    <definedName name="OSRRefD22_10x_0" localSheetId="82">'413'!$D$63</definedName>
    <definedName name="OSRRefD22_10x_0" localSheetId="83">'414'!$D$57</definedName>
    <definedName name="OSRRefD22_10x_0" localSheetId="84">'415'!$D$57</definedName>
    <definedName name="OSRRefD22_10x_0" localSheetId="85">'418'!$D$57:$D$58</definedName>
    <definedName name="OSRRefD22_10x_0" localSheetId="87">'424'!$D$51:$D$56</definedName>
    <definedName name="OSRRefD22_10x_0" localSheetId="88">'425'!$D$62</definedName>
    <definedName name="OSRRefD22_10x_0" localSheetId="92">'433'!$D$59:$D$61</definedName>
    <definedName name="OSRRefD22_10x_0" localSheetId="94">'444'!$D$58</definedName>
    <definedName name="OSRRefD22_10x_0" localSheetId="96">'450'!$D$58</definedName>
    <definedName name="OSRRefD22_10x_0" localSheetId="76">'491'!$D$69</definedName>
    <definedName name="OSRRefD22_10x_0" localSheetId="90">'492'!$D$62</definedName>
    <definedName name="OSRRefD22_10x_0" localSheetId="98">'501'!$D$54:$D$55</definedName>
    <definedName name="OSRRefD22_10x_0" localSheetId="39">'Div 2'!$D$57</definedName>
    <definedName name="OSRRefD22_10x_0" localSheetId="47">'Div 3'!$D$205:$D$206</definedName>
    <definedName name="OSRRefD22_10x_0" localSheetId="74">'Div 4'!$D$70</definedName>
    <definedName name="OSRRefD22_10x_0" localSheetId="97">'Div 5'!$D$54:$D$55</definedName>
    <definedName name="OSRRefD22_10x_0" localSheetId="65">'Div 6'!$D$89</definedName>
    <definedName name="OSRRefD22_10x_0" localSheetId="2">Summary!$D$240:$D$241</definedName>
    <definedName name="OSRRefD22_11x_0" localSheetId="41">'201'!$D$54:$D$56</definedName>
    <definedName name="OSRRefD22_11x_0" localSheetId="42">'202'!$D$55</definedName>
    <definedName name="OSRRefD22_11x_0" localSheetId="43">'203'!$D$58:$D$59</definedName>
    <definedName name="OSRRefD22_11x_0" localSheetId="48">'300'!$D$203</definedName>
    <definedName name="OSRRefD22_11x_0" localSheetId="49">'300 &amp; 317'!$D$228</definedName>
    <definedName name="OSRRefD22_11x_0" localSheetId="50">'301'!$D$58</definedName>
    <definedName name="OSRRefD22_11x_0" localSheetId="54">'307'!$D$109:$D$111</definedName>
    <definedName name="OSRRefD22_11x_0" localSheetId="56">'308'!$D$102:$D$105</definedName>
    <definedName name="OSRRefD22_11x_0" localSheetId="68">'309'!$D$60</definedName>
    <definedName name="OSRRefD22_11x_0" localSheetId="67">'310'!$D$69</definedName>
    <definedName name="OSRRefD22_11x_0" localSheetId="75">'310 &amp; 491'!$D$80:$D$81</definedName>
    <definedName name="OSRRefD22_11x_0" localSheetId="57">'311'!$D$101:$D$104</definedName>
    <definedName name="OSRRefD22_11x_0" localSheetId="69">'313'!$D$66:$D$67</definedName>
    <definedName name="OSRRefD22_11x_0" localSheetId="60">'315'!$D$94:$D$98</definedName>
    <definedName name="OSRRefD22_11x_0" localSheetId="63">'316'!$D$70</definedName>
    <definedName name="OSRRefD22_11x_0" localSheetId="66">'317'!$D$91</definedName>
    <definedName name="OSRRefD22_11x_0" localSheetId="70">'321'!$D$64</definedName>
    <definedName name="OSRRefD22_11x_0" localSheetId="71">'322'!$D$58:$D$60</definedName>
    <definedName name="OSRRefD22_11x_0" localSheetId="72">'325'!$D$59:$D$61</definedName>
    <definedName name="OSRRefD22_11x_0" localSheetId="61">'326'!$D$93</definedName>
    <definedName name="OSRRefD22_11x_0" localSheetId="53">'330'!$D$115:$D$116</definedName>
    <definedName name="OSRRefD22_11x_0" localSheetId="59">'331'!$D$110</definedName>
    <definedName name="OSRRefD22_11x_0" localSheetId="62">'332'!$D$76:$D$80</definedName>
    <definedName name="OSRRefD22_11x_0" localSheetId="77">'405'!$D$58</definedName>
    <definedName name="OSRRefD22_11x_0" localSheetId="78">'406'!$D$60:$D$65</definedName>
    <definedName name="OSRRefD22_11x_0" localSheetId="79">'411'!$D$57:$D$59</definedName>
    <definedName name="OSRRefD22_11x_0" localSheetId="80">'412'!$D$59:$D$61</definedName>
    <definedName name="OSRRefD22_11x_0" localSheetId="83">'414'!$D$59</definedName>
    <definedName name="OSRRefD22_11x_0" localSheetId="84">'415'!$D$59:$D$62</definedName>
    <definedName name="OSRRefD22_11x_0" localSheetId="85">'418'!$D$60:$D$62</definedName>
    <definedName name="OSRRefD22_11x_0" localSheetId="87">'424'!$D$58</definedName>
    <definedName name="OSRRefD22_11x_0" localSheetId="88">'425'!$D$64:$D$65</definedName>
    <definedName name="OSRRefD22_11x_0" localSheetId="92">'433'!$D$63:$D$65</definedName>
    <definedName name="OSRRefD22_11x_0" localSheetId="94">'444'!$D$60:$D$62</definedName>
    <definedName name="OSRRefD22_11x_0" localSheetId="96">'450'!$D$60:$D$62</definedName>
    <definedName name="OSRRefD22_11x_0" localSheetId="76">'491'!$D$71:$D$72</definedName>
    <definedName name="OSRRefD22_11x_0" localSheetId="90">'492'!$D$64</definedName>
    <definedName name="OSRRefD22_11x_0" localSheetId="98">'501'!$D$57</definedName>
    <definedName name="OSRRefD22_11x_0" localSheetId="39">'Div 2'!$D$59</definedName>
    <definedName name="OSRRefD22_11x_0" localSheetId="47">'Div 3'!$D$208</definedName>
    <definedName name="OSRRefD22_11x_0" localSheetId="74">'Div 4'!$D$72:$D$73</definedName>
    <definedName name="OSRRefD22_11x_0" localSheetId="97">'Div 5'!$D$57</definedName>
    <definedName name="OSRRefD22_11x_0" localSheetId="65">'Div 6'!$D$91</definedName>
    <definedName name="OSRRefD22_11x_0" localSheetId="2">Summary!$D$243:$D$244</definedName>
    <definedName name="OSRRefD22_12x_0" localSheetId="41">'201'!$D$58</definedName>
    <definedName name="OSRRefD22_12x_0" localSheetId="42">'202'!$D$57</definedName>
    <definedName name="OSRRefD22_12x_0" localSheetId="43">'203'!$D$61:$D$63</definedName>
    <definedName name="OSRRefD22_12x_0" localSheetId="48">'300'!$D$205</definedName>
    <definedName name="OSRRefD22_12x_0" localSheetId="49">'300 &amp; 317'!$D$230</definedName>
    <definedName name="OSRRefD22_12x_0" localSheetId="50">'301'!$D$60</definedName>
    <definedName name="OSRRefD22_12x_0" localSheetId="54">'307'!$D$113</definedName>
    <definedName name="OSRRefD22_12x_0" localSheetId="56">'308'!$D$107:$D$108</definedName>
    <definedName name="OSRRefD22_12x_0" localSheetId="68">'309'!$D$62:$D$67</definedName>
    <definedName name="OSRRefD22_12x_0" localSheetId="67">'310'!$D$71</definedName>
    <definedName name="OSRRefD22_12x_0" localSheetId="75">'310 &amp; 491'!$D$83</definedName>
    <definedName name="OSRRefD22_12x_0" localSheetId="57">'311'!$D$106:$D$107</definedName>
    <definedName name="OSRRefD22_12x_0" localSheetId="69">'313'!$D$69:$D$74</definedName>
    <definedName name="OSRRefD22_12x_0" localSheetId="60">'315'!$D$100</definedName>
    <definedName name="OSRRefD22_12x_0" localSheetId="63">'316'!$D$72</definedName>
    <definedName name="OSRRefD22_12x_0" localSheetId="66">'317'!$D$93:$D$94</definedName>
    <definedName name="OSRRefD22_12x_0" localSheetId="70">'321'!$D$66</definedName>
    <definedName name="OSRRefD22_12x_0" localSheetId="71">'322'!$D$62</definedName>
    <definedName name="OSRRefD22_12x_0" localSheetId="72">'325'!$D$63:$D$66</definedName>
    <definedName name="OSRRefD22_12x_0" localSheetId="61">'326'!$D$95</definedName>
    <definedName name="OSRRefD22_12x_0" localSheetId="53">'330'!$D$118:$D$119</definedName>
    <definedName name="OSRRefD22_12x_0" localSheetId="59">'331'!$D$112</definedName>
    <definedName name="OSRRefD22_12x_0" localSheetId="62">'332'!$D$82</definedName>
    <definedName name="OSRRefD22_12x_0" localSheetId="77">'405'!$D$60:$D$62</definedName>
    <definedName name="OSRRefD22_12x_0" localSheetId="78">'406'!$D$67</definedName>
    <definedName name="OSRRefD22_12x_0" localSheetId="79">'411'!$D$61:$D$65</definedName>
    <definedName name="OSRRefD22_12x_0" localSheetId="80">'412'!$D$63:$D$69</definedName>
    <definedName name="OSRRefD22_12x_0" localSheetId="83">'414'!$D$61</definedName>
    <definedName name="OSRRefD22_12x_0" localSheetId="84">'415'!$D$64:$D$68</definedName>
    <definedName name="OSRRefD22_12x_0" localSheetId="85">'418'!$D$64:$D$66</definedName>
    <definedName name="OSRRefD22_12x_0" localSheetId="88">'425'!$D$67:$D$73</definedName>
    <definedName name="OSRRefD22_12x_0" localSheetId="92">'433'!$D$67:$D$73</definedName>
    <definedName name="OSRRefD22_12x_0" localSheetId="94">'444'!$D$64:$D$66</definedName>
    <definedName name="OSRRefD22_12x_0" localSheetId="96">'450'!$D$64:$D$66</definedName>
    <definedName name="OSRRefD22_12x_0" localSheetId="76">'491'!$D$74</definedName>
    <definedName name="OSRRefD22_12x_0" localSheetId="90">'492'!$D$66:$D$68</definedName>
    <definedName name="OSRRefD22_12x_0" localSheetId="98">'501'!$D$59:$D$62</definedName>
    <definedName name="OSRRefD22_12x_0" localSheetId="39">'Div 2'!$D$61:$D$64</definedName>
    <definedName name="OSRRefD22_12x_0" localSheetId="47">'Div 3'!$D$210</definedName>
    <definedName name="OSRRefD22_12x_0" localSheetId="74">'Div 4'!$D$75</definedName>
    <definedName name="OSRRefD22_12x_0" localSheetId="97">'Div 5'!$D$59:$D$62</definedName>
    <definedName name="OSRRefD22_12x_0" localSheetId="65">'Div 6'!$D$93:$D$94</definedName>
    <definedName name="OSRRefD22_12x_0" localSheetId="2">Summary!$D$246</definedName>
    <definedName name="OSRRefD22_13x_0" localSheetId="41">'201'!$D$60:$D$62</definedName>
    <definedName name="OSRRefD22_13x_0" localSheetId="42">'202'!$D$59:$D$61</definedName>
    <definedName name="OSRRefD22_13x_0" localSheetId="43">'203'!$D$65</definedName>
    <definedName name="OSRRefD22_13x_0" localSheetId="48">'300'!$D$207</definedName>
    <definedName name="OSRRefD22_13x_0" localSheetId="49">'300 &amp; 317'!$D$232</definedName>
    <definedName name="OSRRefD22_13x_0" localSheetId="50">'301'!$D$62</definedName>
    <definedName name="OSRRefD22_13x_0" localSheetId="54">'307'!$D$115</definedName>
    <definedName name="OSRRefD22_13x_0" localSheetId="56">'308'!$D$110</definedName>
    <definedName name="OSRRefD22_13x_0" localSheetId="68">'309'!$D$69</definedName>
    <definedName name="OSRRefD22_13x_0" localSheetId="67">'310'!$D$73</definedName>
    <definedName name="OSRRefD22_13x_0" localSheetId="75">'310 &amp; 491'!$D$85</definedName>
    <definedName name="OSRRefD22_13x_0" localSheetId="57">'311'!$D$109</definedName>
    <definedName name="OSRRefD22_13x_0" localSheetId="69">'313'!$D$76</definedName>
    <definedName name="OSRRefD22_13x_0" localSheetId="60">'315'!$D$102</definedName>
    <definedName name="OSRRefD22_13x_0" localSheetId="66">'317'!$D$96</definedName>
    <definedName name="OSRRefD22_13x_0" localSheetId="70">'321'!$D$68</definedName>
    <definedName name="OSRRefD22_13x_0" localSheetId="71">'322'!$D$64:$D$70</definedName>
    <definedName name="OSRRefD22_13x_0" localSheetId="72">'325'!$D$68:$D$69</definedName>
    <definedName name="OSRRefD22_13x_0" localSheetId="61">'326'!$D$97:$D$98</definedName>
    <definedName name="OSRRefD22_13x_0" localSheetId="53">'330'!$D$121</definedName>
    <definedName name="OSRRefD22_13x_0" localSheetId="59">'331'!$D$114</definedName>
    <definedName name="OSRRefD22_13x_0" localSheetId="62">'332'!$D$84</definedName>
    <definedName name="OSRRefD22_13x_0" localSheetId="77">'405'!$D$64:$D$65</definedName>
    <definedName name="OSRRefD22_13x_0" localSheetId="78">'406'!$D$69</definedName>
    <definedName name="OSRRefD22_13x_0" localSheetId="79">'411'!$D$67:$D$68</definedName>
    <definedName name="OSRRefD22_13x_0" localSheetId="80">'412'!$D$71</definedName>
    <definedName name="OSRRefD22_13x_0" localSheetId="83">'414'!$D$63:$D$69</definedName>
    <definedName name="OSRRefD22_13x_0" localSheetId="84">'415'!$D$70:$D$71</definedName>
    <definedName name="OSRRefD22_13x_0" localSheetId="85">'418'!$D$68:$D$69</definedName>
    <definedName name="OSRRefD22_13x_0" localSheetId="88">'425'!$D$75</definedName>
    <definedName name="OSRRefD22_13x_0" localSheetId="92">'433'!$D$75</definedName>
    <definedName name="OSRRefD22_13x_0" localSheetId="94">'444'!$D$68:$D$75</definedName>
    <definedName name="OSRRefD22_13x_0" localSheetId="96">'450'!$D$68:$D$74</definedName>
    <definedName name="OSRRefD22_13x_0" localSheetId="76">'491'!$D$76</definedName>
    <definedName name="OSRRefD22_13x_0" localSheetId="90">'492'!$D$70:$D$72</definedName>
    <definedName name="OSRRefD22_13x_0" localSheetId="98">'501'!$D$64</definedName>
    <definedName name="OSRRefD22_13x_0" localSheetId="39">'Div 2'!$D$66:$D$69</definedName>
    <definedName name="OSRRefD22_13x_0" localSheetId="47">'Div 3'!$D$212</definedName>
    <definedName name="OSRRefD22_13x_0" localSheetId="74">'Div 4'!$D$77</definedName>
    <definedName name="OSRRefD22_13x_0" localSheetId="97">'Div 5'!$D$64</definedName>
    <definedName name="OSRRefD22_13x_0" localSheetId="65">'Div 6'!$D$96</definedName>
    <definedName name="OSRRefD22_13x_0" localSheetId="2">Summary!$D$248</definedName>
    <definedName name="OSRRefD22_14x_0" localSheetId="41">'201'!$D$64</definedName>
    <definedName name="OSRRefD22_14x_0" localSheetId="42">'202'!$D$63</definedName>
    <definedName name="OSRRefD22_14x_0" localSheetId="43">'203'!$D$67</definedName>
    <definedName name="OSRRefD22_14x_0" localSheetId="48">'300'!$D$209</definedName>
    <definedName name="OSRRefD22_14x_0" localSheetId="49">'300 &amp; 317'!$D$234</definedName>
    <definedName name="OSRRefD22_14x_0" localSheetId="50">'301'!$D$64:$D$67</definedName>
    <definedName name="OSRRefD22_14x_0" localSheetId="56">'308'!$D$112</definedName>
    <definedName name="OSRRefD22_14x_0" localSheetId="67">'310'!$D$75:$D$77</definedName>
    <definedName name="OSRRefD22_14x_0" localSheetId="75">'310 &amp; 491'!$D$87</definedName>
    <definedName name="OSRRefD22_14x_0" localSheetId="57">'311'!$D$111</definedName>
    <definedName name="OSRRefD22_14x_0" localSheetId="69">'313'!$D$78</definedName>
    <definedName name="OSRRefD22_14x_0" localSheetId="60">'315'!$D$104:$D$105</definedName>
    <definedName name="OSRRefD22_14x_0" localSheetId="66">'317'!$D$98</definedName>
    <definedName name="OSRRefD22_14x_0" localSheetId="71">'322'!$D$72</definedName>
    <definedName name="OSRRefD22_14x_0" localSheetId="72">'325'!$D$71:$D$76</definedName>
    <definedName name="OSRRefD22_14x_0" localSheetId="61">'326'!$D$100:$D$102</definedName>
    <definedName name="OSRRefD22_14x_0" localSheetId="53">'330'!$D$123:$D$125</definedName>
    <definedName name="OSRRefD22_14x_0" localSheetId="59">'331'!$D$116:$D$118</definedName>
    <definedName name="OSRRefD22_14x_0" localSheetId="77">'405'!$D$67:$D$73</definedName>
    <definedName name="OSRRefD22_14x_0" localSheetId="79">'411'!$D$70:$D$77</definedName>
    <definedName name="OSRRefD22_14x_0" localSheetId="80">'412'!$D$73</definedName>
    <definedName name="OSRRefD22_14x_0" localSheetId="83">'414'!$D$71</definedName>
    <definedName name="OSRRefD22_14x_0" localSheetId="84">'415'!$D$73:$D$79</definedName>
    <definedName name="OSRRefD22_14x_0" localSheetId="85">'418'!$D$71:$D$77</definedName>
    <definedName name="OSRRefD22_14x_0" localSheetId="88">'425'!$D$77</definedName>
    <definedName name="OSRRefD22_14x_0" localSheetId="92">'433'!$D$77</definedName>
    <definedName name="OSRRefD22_14x_0" localSheetId="94">'444'!$D$77</definedName>
    <definedName name="OSRRefD22_14x_0" localSheetId="96">'450'!$D$76</definedName>
    <definedName name="OSRRefD22_14x_0" localSheetId="76">'491'!$D$78</definedName>
    <definedName name="OSRRefD22_14x_0" localSheetId="90">'492'!$D$74:$D$81</definedName>
    <definedName name="OSRRefD22_14x_0" localSheetId="98">'501'!$D$66</definedName>
    <definedName name="OSRRefD22_14x_0" localSheetId="39">'Div 2'!$D$71:$D$72</definedName>
    <definedName name="OSRRefD22_14x_0" localSheetId="47">'Div 3'!$D$214</definedName>
    <definedName name="OSRRefD22_14x_0" localSheetId="74">'Div 4'!$D$79</definedName>
    <definedName name="OSRRefD22_14x_0" localSheetId="97">'Div 5'!$D$66</definedName>
    <definedName name="OSRRefD22_14x_0" localSheetId="65">'Div 6'!$D$98</definedName>
    <definedName name="OSRRefD22_14x_0" localSheetId="2">Summary!$D$250</definedName>
    <definedName name="OSRRefD22_15x_0" localSheetId="41">'201'!$D$66</definedName>
    <definedName name="OSRRefD22_15x_0" localSheetId="42">'202'!$D$65</definedName>
    <definedName name="OSRRefD22_15x_0" localSheetId="43">'203'!$D$69</definedName>
    <definedName name="OSRRefD22_15x_0" localSheetId="48">'300'!$D$211</definedName>
    <definedName name="OSRRefD22_15x_0" localSheetId="49">'300 &amp; 317'!$D$236</definedName>
    <definedName name="OSRRefD22_15x_0" localSheetId="50">'301'!$D$69</definedName>
    <definedName name="OSRRefD22_15x_0" localSheetId="67">'310'!$D$79</definedName>
    <definedName name="OSRRefD22_15x_0" localSheetId="75">'310 &amp; 491'!$D$89</definedName>
    <definedName name="OSRRefD22_15x_0" localSheetId="66">'317'!$D$100</definedName>
    <definedName name="OSRRefD22_15x_0" localSheetId="71">'322'!$D$74</definedName>
    <definedName name="OSRRefD22_15x_0" localSheetId="72">'325'!$D$78</definedName>
    <definedName name="OSRRefD22_15x_0" localSheetId="61">'326'!$D$104</definedName>
    <definedName name="OSRRefD22_15x_0" localSheetId="53">'330'!$D$127</definedName>
    <definedName name="OSRRefD22_15x_0" localSheetId="59">'331'!$D$120:$D$121</definedName>
    <definedName name="OSRRefD22_15x_0" localSheetId="77">'405'!$D$75</definedName>
    <definedName name="OSRRefD22_15x_0" localSheetId="79">'411'!$D$79</definedName>
    <definedName name="OSRRefD22_15x_0" localSheetId="83">'414'!$D$73</definedName>
    <definedName name="OSRRefD22_15x_0" localSheetId="84">'415'!$D$81</definedName>
    <definedName name="OSRRefD22_15x_0" localSheetId="85">'418'!$D$79</definedName>
    <definedName name="OSRRefD22_15x_0" localSheetId="88">'425'!$D$79</definedName>
    <definedName name="OSRRefD22_15x_0" localSheetId="92">'433'!$D$79:$D$80</definedName>
    <definedName name="OSRRefD22_15x_0" localSheetId="94">'444'!$D$79</definedName>
    <definedName name="OSRRefD22_15x_0" localSheetId="96">'450'!$D$78</definedName>
    <definedName name="OSRRefD22_15x_0" localSheetId="76">'491'!$D$80</definedName>
    <definedName name="OSRRefD22_15x_0" localSheetId="90">'492'!$D$83</definedName>
    <definedName name="OSRRefD22_15x_0" localSheetId="39">'Div 2'!$D$74:$D$75</definedName>
    <definedName name="OSRRefD22_15x_0" localSheetId="47">'Div 3'!$D$216</definedName>
    <definedName name="OSRRefD22_15x_0" localSheetId="74">'Div 4'!$D$81</definedName>
    <definedName name="OSRRefD22_15x_0" localSheetId="65">'Div 6'!$D$100</definedName>
    <definedName name="OSRRefD22_15x_0" localSheetId="2">Summary!$D$252</definedName>
    <definedName name="OSRRefD22_16x_0" localSheetId="41">'201'!$D$68:$D$69</definedName>
    <definedName name="OSRRefD22_16x_0" localSheetId="42">'202'!$D$67</definedName>
    <definedName name="OSRRefD22_16x_0" localSheetId="48">'300'!$D$213:$D$216</definedName>
    <definedName name="OSRRefD22_16x_0" localSheetId="49">'300 &amp; 317'!$D$238:$D$241</definedName>
    <definedName name="OSRRefD22_16x_0" localSheetId="50">'301'!$D$71:$D$73</definedName>
    <definedName name="OSRRefD22_16x_0" localSheetId="67">'310'!$D$81:$D$84</definedName>
    <definedName name="OSRRefD22_16x_0" localSheetId="75">'310 &amp; 491'!$D$91:$D$94</definedName>
    <definedName name="OSRRefD22_16x_0" localSheetId="72">'325'!$D$80</definedName>
    <definedName name="OSRRefD22_16x_0" localSheetId="61">'326'!$D$106:$D$110</definedName>
    <definedName name="OSRRefD22_16x_0" localSheetId="53">'330'!$D$129</definedName>
    <definedName name="OSRRefD22_16x_0" localSheetId="59">'331'!$D$123:$D$125</definedName>
    <definedName name="OSRRefD22_16x_0" localSheetId="77">'405'!$D$77</definedName>
    <definedName name="OSRRefD22_16x_0" localSheetId="79">'411'!$D$81</definedName>
    <definedName name="OSRRefD22_16x_0" localSheetId="84">'415'!$D$83</definedName>
    <definedName name="OSRRefD22_16x_0" localSheetId="85">'418'!$D$81</definedName>
    <definedName name="OSRRefD22_16x_0" localSheetId="94">'444'!$D$81</definedName>
    <definedName name="OSRRefD22_16x_0" localSheetId="96">'450'!$D$80:$D$81</definedName>
    <definedName name="OSRRefD22_16x_0" localSheetId="76">'491'!$D$82:$D$85</definedName>
    <definedName name="OSRRefD22_16x_0" localSheetId="90">'492'!$D$85</definedName>
    <definedName name="OSRRefD22_16x_0" localSheetId="39">'Div 2'!$D$77:$D$80</definedName>
    <definedName name="OSRRefD22_16x_0" localSheetId="47">'Div 3'!$D$218</definedName>
    <definedName name="OSRRefD22_16x_0" localSheetId="74">'Div 4'!$D$83</definedName>
    <definedName name="OSRRefD22_16x_0" localSheetId="2">Summary!$D$254</definedName>
    <definedName name="OSRRefD22_17x_0" localSheetId="48">'300'!$D$218:$D$220</definedName>
    <definedName name="OSRRefD22_17x_0" localSheetId="49">'300 &amp; 317'!$D$243:$D$245</definedName>
    <definedName name="OSRRefD22_17x_0" localSheetId="50">'301'!$D$75</definedName>
    <definedName name="OSRRefD22_17x_0" localSheetId="67">'310'!$D$86:$D$87</definedName>
    <definedName name="OSRRefD22_17x_0" localSheetId="75">'310 &amp; 491'!$D$96:$D$97</definedName>
    <definedName name="OSRRefD22_17x_0" localSheetId="72">'325'!$D$82</definedName>
    <definedName name="OSRRefD22_17x_0" localSheetId="61">'326'!$D$112</definedName>
    <definedName name="OSRRefD22_17x_0" localSheetId="53">'330'!$D$131</definedName>
    <definedName name="OSRRefD22_17x_0" localSheetId="59">'331'!$D$127:$D$128</definedName>
    <definedName name="OSRRefD22_17x_0" localSheetId="77">'405'!$D$79</definedName>
    <definedName name="OSRRefD22_17x_0" localSheetId="79">'411'!$D$83:$D$85</definedName>
    <definedName name="OSRRefD22_17x_0" localSheetId="84">'415'!$D$85</definedName>
    <definedName name="OSRRefD22_17x_0" localSheetId="76">'491'!$D$87:$D$88</definedName>
    <definedName name="OSRRefD22_17x_0" localSheetId="90">'492'!$D$87:$D$88</definedName>
    <definedName name="OSRRefD22_17x_0" localSheetId="39">'Div 2'!$D$82:$D$83</definedName>
    <definedName name="OSRRefD22_17x_0" localSheetId="47">'Div 3'!$D$220:$D$223</definedName>
    <definedName name="OSRRefD22_17x_0" localSheetId="74">'Div 4'!$D$85:$D$88</definedName>
    <definedName name="OSRRefD22_17x_0" localSheetId="2">Summary!$D$256</definedName>
    <definedName name="OSRRefD22_18x_0" localSheetId="48">'300'!$D$222:$D$225</definedName>
    <definedName name="OSRRefD22_18x_0" localSheetId="49">'300 &amp; 317'!$D$247:$D$250</definedName>
    <definedName name="OSRRefD22_18x_0" localSheetId="50">'301'!$D$77:$D$81</definedName>
    <definedName name="OSRRefD22_18x_0" localSheetId="67">'310'!$D$89:$D$96</definedName>
    <definedName name="OSRRefD22_18x_0" localSheetId="75">'310 &amp; 491'!$D$99:$D$103</definedName>
    <definedName name="OSRRefD22_18x_0" localSheetId="61">'326'!$D$114</definedName>
    <definedName name="OSRRefD22_18x_0" localSheetId="59">'331'!$D$130:$D$135</definedName>
    <definedName name="OSRRefD22_18x_0" localSheetId="79">'411'!$D$87</definedName>
    <definedName name="OSRRefD22_18x_0" localSheetId="76">'491'!$D$90:$D$94</definedName>
    <definedName name="OSRRefD22_18x_0" localSheetId="39">'Div 2'!$D$85</definedName>
    <definedName name="OSRRefD22_18x_0" localSheetId="47">'Div 3'!$D$225:$D$227</definedName>
    <definedName name="OSRRefD22_18x_0" localSheetId="74">'Div 4'!$D$90:$D$91</definedName>
    <definedName name="OSRRefD22_18x_0" localSheetId="2">Summary!$D$258:$D$261</definedName>
    <definedName name="OSRRefD22_19x_0" localSheetId="48">'300'!$D$227:$D$228</definedName>
    <definedName name="OSRRefD22_19x_0" localSheetId="49">'300 &amp; 317'!$D$252:$D$253</definedName>
    <definedName name="OSRRefD22_19x_0" localSheetId="50">'301'!$D$83</definedName>
    <definedName name="OSRRefD22_19x_0" localSheetId="67">'310'!$D$98</definedName>
    <definedName name="OSRRefD22_19x_0" localSheetId="75">'310 &amp; 491'!$D$105:$D$106</definedName>
    <definedName name="OSRRefD22_19x_0" localSheetId="61">'326'!$D$116</definedName>
    <definedName name="OSRRefD22_19x_0" localSheetId="59">'331'!$D$137</definedName>
    <definedName name="OSRRefD22_19x_0" localSheetId="76">'491'!$D$96:$D$97</definedName>
    <definedName name="OSRRefD22_19x_0" localSheetId="39">'Div 2'!$D$87:$D$88</definedName>
    <definedName name="OSRRefD22_19x_0" localSheetId="47">'Div 3'!$D$229:$D$233</definedName>
    <definedName name="OSRRefD22_19x_0" localSheetId="74">'Div 4'!$D$93:$D$97</definedName>
    <definedName name="OSRRefD22_19x_0" localSheetId="2">Summary!$D$263:$D$265</definedName>
    <definedName name="OSRRefD22_1x_0" localSheetId="40">'200'!$D$22</definedName>
    <definedName name="OSRRefD22_1x_0" localSheetId="41">'201'!$D$30:$D$32</definedName>
    <definedName name="OSRRefD22_1x_0" localSheetId="42">'202'!$D$29:$D$33</definedName>
    <definedName name="OSRRefD22_1x_0" localSheetId="43">'203'!$D$31:$D$35</definedName>
    <definedName name="OSRRefD22_1x_0" localSheetId="44">'204'!$D$31:$D$36</definedName>
    <definedName name="OSRRefD22_1x_0" localSheetId="45">'205'!$D$29</definedName>
    <definedName name="OSRRefD22_1x_0" localSheetId="46">'206'!$D$29:$D$34</definedName>
    <definedName name="OSRRefD22_1x_0" localSheetId="48">'300'!$D$173:$D$179</definedName>
    <definedName name="OSRRefD22_1x_0" localSheetId="49">'300 &amp; 317'!$D$198:$D$204</definedName>
    <definedName name="OSRRefD22_1x_0" localSheetId="50">'301'!$D$29:$D$35</definedName>
    <definedName name="OSRRefD22_1x_0" localSheetId="51">'306'!$D$30:$D$34</definedName>
    <definedName name="OSRRefD22_1x_0" localSheetId="54">'307'!$D$83:$D$86</definedName>
    <definedName name="OSRRefD22_1x_0" localSheetId="56">'308'!$D$74:$D$78</definedName>
    <definedName name="OSRRefD22_1x_0" localSheetId="68">'309'!$D$33:$D$37</definedName>
    <definedName name="OSRRefD22_1x_0" localSheetId="67">'310'!$D$42:$D$47</definedName>
    <definedName name="OSRRefD22_1x_0" localSheetId="75">'310 &amp; 491'!$D$51:$D$57</definedName>
    <definedName name="OSRRefD22_1x_0" localSheetId="57">'311'!$D$73:$D$77</definedName>
    <definedName name="OSRRefD22_1x_0" localSheetId="69">'313'!$D$39:$D$43</definedName>
    <definedName name="OSRRefD22_1x_0" localSheetId="55">'314'!$D$65:$D$68</definedName>
    <definedName name="OSRRefD22_1x_0" localSheetId="60">'315'!$D$64:$D$69</definedName>
    <definedName name="OSRRefD22_1x_0" localSheetId="63">'316'!$D$42:$D$45</definedName>
    <definedName name="OSRRefD22_1x_0" localSheetId="66">'317'!$D$68:$D$71</definedName>
    <definedName name="OSRRefD22_1x_0" localSheetId="64">'320'!$D$38:$D$40</definedName>
    <definedName name="OSRRefD22_1x_0" localSheetId="70">'321'!$D$32:$D$36</definedName>
    <definedName name="OSRRefD22_1x_0" localSheetId="71">'322'!$D$33:$D$37</definedName>
    <definedName name="OSRRefD22_1x_0" localSheetId="72">'325'!$D$33:$D$38</definedName>
    <definedName name="OSRRefD22_1x_0" localSheetId="61">'326'!$D$70:$D$73</definedName>
    <definedName name="OSRRefD22_1x_0" localSheetId="73">'327'!$D$24</definedName>
    <definedName name="OSRRefD22_1x_0" localSheetId="53">'330'!$D$90:$D$94</definedName>
    <definedName name="OSRRefD22_1x_0" localSheetId="59">'331'!$D$83:$D$88</definedName>
    <definedName name="OSRRefD22_1x_0" localSheetId="62">'332'!$D$51:$D$54</definedName>
    <definedName name="OSRRefD22_1x_0" localSheetId="77">'405'!$D$33:$D$36</definedName>
    <definedName name="OSRRefD22_1x_0" localSheetId="78">'406'!$D$33:$D$37</definedName>
    <definedName name="OSRRefD22_1x_0" localSheetId="79">'411'!$D$30:$D$35</definedName>
    <definedName name="OSRRefD22_1x_0" localSheetId="80">'412'!$D$33:$D$38</definedName>
    <definedName name="OSRRefD22_1x_0" localSheetId="82">'413'!$D$33:$D$37</definedName>
    <definedName name="OSRRefD22_1x_0" localSheetId="83">'414'!$D$33:$D$38</definedName>
    <definedName name="OSRRefD22_1x_0" localSheetId="84">'415'!$D$33:$D$38</definedName>
    <definedName name="OSRRefD22_1x_0" localSheetId="85">'418'!$D$33:$D$38</definedName>
    <definedName name="OSRRefD22_1x_0" localSheetId="81">'420'!$D$32:$D$35</definedName>
    <definedName name="OSRRefD22_1x_0" localSheetId="86">'423'!$D$30</definedName>
    <definedName name="OSRRefD22_1x_0" localSheetId="87">'424'!$D$28:$D$32</definedName>
    <definedName name="OSRRefD22_1x_0" localSheetId="88">'425'!$D$37:$D$42</definedName>
    <definedName name="OSRRefD22_1x_0" localSheetId="91">'430'!$D$29</definedName>
    <definedName name="OSRRefD22_1x_0" localSheetId="92">'433'!$D$36:$D$41</definedName>
    <definedName name="OSRRefD22_1x_0" localSheetId="93">'435'!$D$29:$D$31</definedName>
    <definedName name="OSRRefD22_1x_0" localSheetId="94">'444'!$D$35:$D$40</definedName>
    <definedName name="OSRRefD22_1x_0" localSheetId="96">'450'!$D$35:$D$40</definedName>
    <definedName name="OSRRefD22_1x_0" localSheetId="89">'455'!$D$28:$D$29</definedName>
    <definedName name="OSRRefD22_1x_0" localSheetId="76">'491'!$D$43:$D$49</definedName>
    <definedName name="OSRRefD22_1x_0" localSheetId="90">'492'!$D$38:$D$44</definedName>
    <definedName name="OSRRefD22_1x_0" localSheetId="98">'501'!$D$30:$D$35</definedName>
    <definedName name="OSRRefD22_1x_0" localSheetId="39">'Div 2'!$D$32:$D$38</definedName>
    <definedName name="OSRRefD22_1x_0" localSheetId="47">'Div 3'!$D$178:$D$184</definedName>
    <definedName name="OSRRefD22_1x_0" localSheetId="74">'Div 4'!$D$44:$D$50</definedName>
    <definedName name="OSRRefD22_1x_0" localSheetId="97">'Div 5'!$D$30:$D$35</definedName>
    <definedName name="OSRRefD22_1x_0" localSheetId="65">'Div 6'!$D$68:$D$71</definedName>
    <definedName name="OSRRefD22_1x_0" localSheetId="2">Summary!$D$212:$D$218</definedName>
    <definedName name="OSRRefD22_20x_0" localSheetId="48">'300'!$D$230:$D$236</definedName>
    <definedName name="OSRRefD22_20x_0" localSheetId="49">'300 &amp; 317'!$D$255:$D$261</definedName>
    <definedName name="OSRRefD22_20x_0" localSheetId="50">'301'!$D$85</definedName>
    <definedName name="OSRRefD22_20x_0" localSheetId="67">'310'!$D$100</definedName>
    <definedName name="OSRRefD22_20x_0" localSheetId="75">'310 &amp; 491'!$D$108:$D$115</definedName>
    <definedName name="OSRRefD22_20x_0" localSheetId="59">'331'!$D$139</definedName>
    <definedName name="OSRRefD22_20x_0" localSheetId="76">'491'!$D$99:$D$106</definedName>
    <definedName name="OSRRefD22_20x_0" localSheetId="47">'Div 3'!$D$235:$D$236</definedName>
    <definedName name="OSRRefD22_20x_0" localSheetId="74">'Div 4'!$D$99:$D$100</definedName>
    <definedName name="OSRRefD22_20x_0" localSheetId="2">Summary!$D$267:$D$271</definedName>
    <definedName name="OSRRefD22_21x_0" localSheetId="48">'300'!$D$238:$D$239</definedName>
    <definedName name="OSRRefD22_21x_0" localSheetId="49">'300 &amp; 317'!$D$263:$D$264</definedName>
    <definedName name="OSRRefD22_21x_0" localSheetId="50">'301'!$D$87:$D$89</definedName>
    <definedName name="OSRRefD22_21x_0" localSheetId="67">'310'!$D$102</definedName>
    <definedName name="OSRRefD22_21x_0" localSheetId="75">'310 &amp; 491'!$D$117</definedName>
    <definedName name="OSRRefD22_21x_0" localSheetId="59">'331'!$D$141:$D$142</definedName>
    <definedName name="OSRRefD22_21x_0" localSheetId="76">'491'!$D$108</definedName>
    <definedName name="OSRRefD22_21x_0" localSheetId="47">'Div 3'!$D$238:$D$245</definedName>
    <definedName name="OSRRefD22_21x_0" localSheetId="74">'Div 4'!$D$102:$D$109</definedName>
    <definedName name="OSRRefD22_21x_0" localSheetId="2">Summary!$D$273:$D$274</definedName>
    <definedName name="OSRRefD22_22x_0" localSheetId="48">'300'!$D$241</definedName>
    <definedName name="OSRRefD22_22x_0" localSheetId="49">'300 &amp; 317'!$D$266</definedName>
    <definedName name="OSRRefD22_22x_0" localSheetId="50">'301'!$D$91</definedName>
    <definedName name="OSRRefD22_22x_0" localSheetId="75">'310 &amp; 491'!$D$119</definedName>
    <definedName name="OSRRefD22_22x_0" localSheetId="59">'331'!$D$144</definedName>
    <definedName name="OSRRefD22_22x_0" localSheetId="76">'491'!$D$110</definedName>
    <definedName name="OSRRefD22_22x_0" localSheetId="47">'Div 3'!$D$247:$D$248</definedName>
    <definedName name="OSRRefD22_22x_0" localSheetId="74">'Div 4'!$D$111</definedName>
    <definedName name="OSRRefD22_22x_0" localSheetId="2">Summary!$D$276:$D$283</definedName>
    <definedName name="OSRRefD22_23x_0" localSheetId="48">'300'!$D$243:$D$245</definedName>
    <definedName name="OSRRefD22_23x_0" localSheetId="49">'300 &amp; 317'!$D$268:$D$270</definedName>
    <definedName name="OSRRefD22_23x_0" localSheetId="75">'310 &amp; 491'!$D$121:$D$123</definedName>
    <definedName name="OSRRefD22_23x_0" localSheetId="76">'491'!$D$112:$D$114</definedName>
    <definedName name="OSRRefD22_23x_0" localSheetId="47">'Div 3'!$D$250</definedName>
    <definedName name="OSRRefD22_23x_0" localSheetId="74">'Div 4'!$D$113</definedName>
    <definedName name="OSRRefD22_23x_0" localSheetId="2">Summary!$D$285:$D$286</definedName>
    <definedName name="OSRRefD22_24x_0" localSheetId="48">'300'!$D$247</definedName>
    <definedName name="OSRRefD22_24x_0" localSheetId="49">'300 &amp; 317'!$D$272</definedName>
    <definedName name="OSRRefD22_24x_0" localSheetId="75">'310 &amp; 491'!$D$125</definedName>
    <definedName name="OSRRefD22_24x_0" localSheetId="76">'491'!$D$116</definedName>
    <definedName name="OSRRefD22_24x_0" localSheetId="47">'Div 3'!$D$252:$D$254</definedName>
    <definedName name="OSRRefD22_24x_0" localSheetId="74">'Div 4'!$D$115:$D$117</definedName>
    <definedName name="OSRRefD22_24x_0" localSheetId="2">Summary!$D$288</definedName>
    <definedName name="OSRRefD22_25x_0" localSheetId="47">'Div 3'!$D$256</definedName>
    <definedName name="OSRRefD22_25x_0" localSheetId="74">'Div 4'!$D$119</definedName>
    <definedName name="OSRRefD22_25x_0" localSheetId="2">Summary!$D$290:$D$292</definedName>
    <definedName name="OSRRefD22_26x_0" localSheetId="2">Summary!$D$294</definedName>
    <definedName name="OSRRefD22_2x_0" localSheetId="40">'200'!$D$24</definedName>
    <definedName name="OSRRefD22_2x_0" localSheetId="41">'201'!$D$34</definedName>
    <definedName name="OSRRefD22_2x_0" localSheetId="42">'202'!$D$35</definedName>
    <definedName name="OSRRefD22_2x_0" localSheetId="43">'203'!$D$37</definedName>
    <definedName name="OSRRefD22_2x_0" localSheetId="44">'204'!$D$38</definedName>
    <definedName name="OSRRefD22_2x_0" localSheetId="45">'205'!$D$31</definedName>
    <definedName name="OSRRefD22_2x_0" localSheetId="46">'206'!$D$36</definedName>
    <definedName name="OSRRefD22_2x_0" localSheetId="48">'300'!$D$181</definedName>
    <definedName name="OSRRefD22_2x_0" localSheetId="49">'300 &amp; 317'!$D$206</definedName>
    <definedName name="OSRRefD22_2x_0" localSheetId="50">'301'!$D$37</definedName>
    <definedName name="OSRRefD22_2x_0" localSheetId="51">'306'!$D$36</definedName>
    <definedName name="OSRRefD22_2x_0" localSheetId="54">'307'!$D$88</definedName>
    <definedName name="OSRRefD22_2x_0" localSheetId="56">'308'!$D$80</definedName>
    <definedName name="OSRRefD22_2x_0" localSheetId="68">'309'!$D$39</definedName>
    <definedName name="OSRRefD22_2x_0" localSheetId="67">'310'!$D$49</definedName>
    <definedName name="OSRRefD22_2x_0" localSheetId="75">'310 &amp; 491'!$D$59</definedName>
    <definedName name="OSRRefD22_2x_0" localSheetId="57">'311'!$D$79</definedName>
    <definedName name="OSRRefD22_2x_0" localSheetId="69">'313'!$D$45</definedName>
    <definedName name="OSRRefD22_2x_0" localSheetId="55">'314'!$D$70</definedName>
    <definedName name="OSRRefD22_2x_0" localSheetId="60">'315'!$D$71</definedName>
    <definedName name="OSRRefD22_2x_0" localSheetId="63">'316'!$D$47</definedName>
    <definedName name="OSRRefD22_2x_0" localSheetId="66">'317'!$D$73</definedName>
    <definedName name="OSRRefD22_2x_0" localSheetId="64">'320'!$D$42</definedName>
    <definedName name="OSRRefD22_2x_0" localSheetId="70">'321'!$D$38</definedName>
    <definedName name="OSRRefD22_2x_0" localSheetId="71">'322'!$D$39</definedName>
    <definedName name="OSRRefD22_2x_0" localSheetId="72">'325'!$D$40</definedName>
    <definedName name="OSRRefD22_2x_0" localSheetId="61">'326'!$D$75</definedName>
    <definedName name="OSRRefD22_2x_0" localSheetId="73">'327'!$D$26</definedName>
    <definedName name="OSRRefD22_2x_0" localSheetId="53">'330'!$D$96</definedName>
    <definedName name="OSRRefD22_2x_0" localSheetId="59">'331'!$D$90</definedName>
    <definedName name="OSRRefD22_2x_0" localSheetId="62">'332'!$D$56</definedName>
    <definedName name="OSRRefD22_2x_0" localSheetId="77">'405'!$D$38</definedName>
    <definedName name="OSRRefD22_2x_0" localSheetId="78">'406'!$D$39</definedName>
    <definedName name="OSRRefD22_2x_0" localSheetId="79">'411'!$D$37</definedName>
    <definedName name="OSRRefD22_2x_0" localSheetId="80">'412'!$D$40</definedName>
    <definedName name="OSRRefD22_2x_0" localSheetId="82">'413'!$D$39</definedName>
    <definedName name="OSRRefD22_2x_0" localSheetId="83">'414'!$D$40</definedName>
    <definedName name="OSRRefD22_2x_0" localSheetId="84">'415'!$D$40</definedName>
    <definedName name="OSRRefD22_2x_0" localSheetId="85">'418'!$D$40</definedName>
    <definedName name="OSRRefD22_2x_0" localSheetId="81">'420'!$D$37</definedName>
    <definedName name="OSRRefD22_2x_0" localSheetId="86">'423'!$D$32</definedName>
    <definedName name="OSRRefD22_2x_0" localSheetId="87">'424'!$D$34</definedName>
    <definedName name="OSRRefD22_2x_0" localSheetId="88">'425'!$D$44</definedName>
    <definedName name="OSRRefD22_2x_0" localSheetId="91">'430'!$D$31</definedName>
    <definedName name="OSRRefD22_2x_0" localSheetId="92">'433'!$D$43</definedName>
    <definedName name="OSRRefD22_2x_0" localSheetId="93">'435'!$D$33</definedName>
    <definedName name="OSRRefD22_2x_0" localSheetId="94">'444'!$D$42</definedName>
    <definedName name="OSRRefD22_2x_0" localSheetId="96">'450'!$D$42</definedName>
    <definedName name="OSRRefD22_2x_0" localSheetId="89">'455'!$D$31</definedName>
    <definedName name="OSRRefD22_2x_0" localSheetId="76">'491'!$D$51</definedName>
    <definedName name="OSRRefD22_2x_0" localSheetId="90">'492'!$D$46</definedName>
    <definedName name="OSRRefD22_2x_0" localSheetId="98">'501'!$D$37</definedName>
    <definedName name="OSRRefD22_2x_0" localSheetId="39">'Div 2'!$D$40</definedName>
    <definedName name="OSRRefD22_2x_0" localSheetId="47">'Div 3'!$D$186</definedName>
    <definedName name="OSRRefD22_2x_0" localSheetId="74">'Div 4'!$D$52</definedName>
    <definedName name="OSRRefD22_2x_0" localSheetId="97">'Div 5'!$D$37</definedName>
    <definedName name="OSRRefD22_2x_0" localSheetId="65">'Div 6'!$D$73</definedName>
    <definedName name="OSRRefD22_2x_0" localSheetId="2">Summary!$D$220</definedName>
    <definedName name="OSRRefD22_3x_0" localSheetId="40">'200'!$D$26</definedName>
    <definedName name="OSRRefD22_3x_0" localSheetId="41">'201'!$D$36</definedName>
    <definedName name="OSRRefD22_3x_0" localSheetId="42">'202'!$D$37</definedName>
    <definedName name="OSRRefD22_3x_0" localSheetId="43">'203'!$D$39</definedName>
    <definedName name="OSRRefD22_3x_0" localSheetId="44">'204'!$D$40:$D$41</definedName>
    <definedName name="OSRRefD22_3x_0" localSheetId="45">'205'!$D$33</definedName>
    <definedName name="OSRRefD22_3x_0" localSheetId="46">'206'!$D$38</definedName>
    <definedName name="OSRRefD22_3x_0" localSheetId="48">'300'!$D$183:$D$184</definedName>
    <definedName name="OSRRefD22_3x_0" localSheetId="49">'300 &amp; 317'!$D$208:$D$209</definedName>
    <definedName name="OSRRefD22_3x_0" localSheetId="50">'301'!$D$39:$D$40</definedName>
    <definedName name="OSRRefD22_3x_0" localSheetId="51">'306'!$D$38</definedName>
    <definedName name="OSRRefD22_3x_0" localSheetId="54">'307'!$D$90</definedName>
    <definedName name="OSRRefD22_3x_0" localSheetId="56">'308'!$D$82:$D$83</definedName>
    <definedName name="OSRRefD22_3x_0" localSheetId="68">'309'!$D$41</definedName>
    <definedName name="OSRRefD22_3x_0" localSheetId="67">'310'!$D$51</definedName>
    <definedName name="OSRRefD22_3x_0" localSheetId="75">'310 &amp; 491'!$D$61</definedName>
    <definedName name="OSRRefD22_3x_0" localSheetId="57">'311'!$D$81:$D$82</definedName>
    <definedName name="OSRRefD22_3x_0" localSheetId="69">'313'!$D$47</definedName>
    <definedName name="OSRRefD22_3x_0" localSheetId="55">'314'!$D$72:$D$73</definedName>
    <definedName name="OSRRefD22_3x_0" localSheetId="60">'315'!$D$73:$D$74</definedName>
    <definedName name="OSRRefD22_3x_0" localSheetId="63">'316'!$D$49</definedName>
    <definedName name="OSRRefD22_3x_0" localSheetId="66">'317'!$D$75</definedName>
    <definedName name="OSRRefD22_3x_0" localSheetId="64">'320'!$D$44</definedName>
    <definedName name="OSRRefD22_3x_0" localSheetId="70">'321'!$D$40</definedName>
    <definedName name="OSRRefD22_3x_0" localSheetId="71">'322'!$D$41</definedName>
    <definedName name="OSRRefD22_3x_0" localSheetId="72">'325'!$D$42</definedName>
    <definedName name="OSRRefD22_3x_0" localSheetId="61">'326'!$D$77</definedName>
    <definedName name="OSRRefD22_3x_0" localSheetId="53">'330'!$D$98</definedName>
    <definedName name="OSRRefD22_3x_0" localSheetId="59">'331'!$D$92</definedName>
    <definedName name="OSRRefD22_3x_0" localSheetId="62">'332'!$D$58</definedName>
    <definedName name="OSRRefD22_3x_0" localSheetId="77">'405'!$D$40</definedName>
    <definedName name="OSRRefD22_3x_0" localSheetId="78">'406'!$D$41</definedName>
    <definedName name="OSRRefD22_3x_0" localSheetId="79">'411'!$D$39:$D$41</definedName>
    <definedName name="OSRRefD22_3x_0" localSheetId="80">'412'!$D$42</definedName>
    <definedName name="OSRRefD22_3x_0" localSheetId="82">'413'!$D$41</definedName>
    <definedName name="OSRRefD22_3x_0" localSheetId="83">'414'!$D$42</definedName>
    <definedName name="OSRRefD22_3x_0" localSheetId="84">'415'!$D$42</definedName>
    <definedName name="OSRRefD22_3x_0" localSheetId="85">'418'!$D$42</definedName>
    <definedName name="OSRRefD22_3x_0" localSheetId="81">'420'!$D$39</definedName>
    <definedName name="OSRRefD22_3x_0" localSheetId="86">'423'!$D$34</definedName>
    <definedName name="OSRRefD22_3x_0" localSheetId="87">'424'!$D$36</definedName>
    <definedName name="OSRRefD22_3x_0" localSheetId="88">'425'!$D$46</definedName>
    <definedName name="OSRRefD22_3x_0" localSheetId="91">'430'!$D$33</definedName>
    <definedName name="OSRRefD22_3x_0" localSheetId="92">'433'!$D$45</definedName>
    <definedName name="OSRRefD22_3x_0" localSheetId="93">'435'!$D$35</definedName>
    <definedName name="OSRRefD22_3x_0" localSheetId="94">'444'!$D$44</definedName>
    <definedName name="OSRRefD22_3x_0" localSheetId="96">'450'!$D$44</definedName>
    <definedName name="OSRRefD22_3x_0" localSheetId="76">'491'!$D$53</definedName>
    <definedName name="OSRRefD22_3x_0" localSheetId="90">'492'!$D$48</definedName>
    <definedName name="OSRRefD22_3x_0" localSheetId="98">'501'!$D$39</definedName>
    <definedName name="OSRRefD22_3x_0" localSheetId="39">'Div 2'!$D$42</definedName>
    <definedName name="OSRRefD22_3x_0" localSheetId="47">'Div 3'!$D$188:$D$189</definedName>
    <definedName name="OSRRefD22_3x_0" localSheetId="74">'Div 4'!$D$54</definedName>
    <definedName name="OSRRefD22_3x_0" localSheetId="97">'Div 5'!$D$39</definedName>
    <definedName name="OSRRefD22_3x_0" localSheetId="65">'Div 6'!$D$75</definedName>
    <definedName name="OSRRefD22_3x_0" localSheetId="2">Summary!$D$222:$D$223</definedName>
    <definedName name="OSRRefD22_4x_0" localSheetId="40">'200'!$D$28:$D$29</definedName>
    <definedName name="OSRRefD22_4x_0" localSheetId="41">'201'!$D$38</definedName>
    <definedName name="OSRRefD22_4x_0" localSheetId="42">'202'!$D$39</definedName>
    <definedName name="OSRRefD22_4x_0" localSheetId="43">'203'!$D$41</definedName>
    <definedName name="OSRRefD22_4x_0" localSheetId="44">'204'!$D$43</definedName>
    <definedName name="OSRRefD22_4x_0" localSheetId="45">'205'!$D$35:$D$36</definedName>
    <definedName name="OSRRefD22_4x_0" localSheetId="46">'206'!$D$40</definedName>
    <definedName name="OSRRefD22_4x_0" localSheetId="48">'300'!$D$186</definedName>
    <definedName name="OSRRefD22_4x_0" localSheetId="49">'300 &amp; 317'!$D$211</definedName>
    <definedName name="OSRRefD22_4x_0" localSheetId="50">'301'!$D$42</definedName>
    <definedName name="OSRRefD22_4x_0" localSheetId="51">'306'!$D$40</definedName>
    <definedName name="OSRRefD22_4x_0" localSheetId="54">'307'!$D$92:$D$93</definedName>
    <definedName name="OSRRefD22_4x_0" localSheetId="56">'308'!$D$85</definedName>
    <definedName name="OSRRefD22_4x_0" localSheetId="68">'309'!$D$43</definedName>
    <definedName name="OSRRefD22_4x_0" localSheetId="67">'310'!$D$53</definedName>
    <definedName name="OSRRefD22_4x_0" localSheetId="75">'310 &amp; 491'!$D$63</definedName>
    <definedName name="OSRRefD22_4x_0" localSheetId="57">'311'!$D$84</definedName>
    <definedName name="OSRRefD22_4x_0" localSheetId="69">'313'!$D$49</definedName>
    <definedName name="OSRRefD22_4x_0" localSheetId="55">'314'!$D$75</definedName>
    <definedName name="OSRRefD22_4x_0" localSheetId="60">'315'!$D$76</definedName>
    <definedName name="OSRRefD22_4x_0" localSheetId="63">'316'!$D$51</definedName>
    <definedName name="OSRRefD22_4x_0" localSheetId="66">'317'!$D$77</definedName>
    <definedName name="OSRRefD22_4x_0" localSheetId="64">'320'!$D$46:$D$47</definedName>
    <definedName name="OSRRefD22_4x_0" localSheetId="70">'321'!$D$42</definedName>
    <definedName name="OSRRefD22_4x_0" localSheetId="71">'322'!$D$43</definedName>
    <definedName name="OSRRefD22_4x_0" localSheetId="72">'325'!$D$44</definedName>
    <definedName name="OSRRefD22_4x_0" localSheetId="61">'326'!$D$79</definedName>
    <definedName name="OSRRefD22_4x_0" localSheetId="53">'330'!$D$100:$D$101</definedName>
    <definedName name="OSRRefD22_4x_0" localSheetId="59">'331'!$D$94</definedName>
    <definedName name="OSRRefD22_4x_0" localSheetId="62">'332'!$D$60</definedName>
    <definedName name="OSRRefD22_4x_0" localSheetId="77">'405'!$D$42</definedName>
    <definedName name="OSRRefD22_4x_0" localSheetId="78">'406'!$D$43</definedName>
    <definedName name="OSRRefD22_4x_0" localSheetId="79">'411'!$D$43</definedName>
    <definedName name="OSRRefD22_4x_0" localSheetId="80">'412'!$D$44</definedName>
    <definedName name="OSRRefD22_4x_0" localSheetId="82">'413'!$D$43</definedName>
    <definedName name="OSRRefD22_4x_0" localSheetId="83">'414'!$D$44</definedName>
    <definedName name="OSRRefD22_4x_0" localSheetId="84">'415'!$D$44</definedName>
    <definedName name="OSRRefD22_4x_0" localSheetId="85">'418'!$D$44</definedName>
    <definedName name="OSRRefD22_4x_0" localSheetId="81">'420'!$D$41</definedName>
    <definedName name="OSRRefD22_4x_0" localSheetId="86">'423'!$D$36</definedName>
    <definedName name="OSRRefD22_4x_0" localSheetId="87">'424'!$D$38</definedName>
    <definedName name="OSRRefD22_4x_0" localSheetId="88">'425'!$D$48</definedName>
    <definedName name="OSRRefD22_4x_0" localSheetId="91">'430'!$D$35</definedName>
    <definedName name="OSRRefD22_4x_0" localSheetId="92">'433'!$D$47</definedName>
    <definedName name="OSRRefD22_4x_0" localSheetId="93">'435'!$D$37</definedName>
    <definedName name="OSRRefD22_4x_0" localSheetId="94">'444'!$D$46</definedName>
    <definedName name="OSRRefD22_4x_0" localSheetId="96">'450'!$D$46</definedName>
    <definedName name="OSRRefD22_4x_0" localSheetId="76">'491'!$D$55</definedName>
    <definedName name="OSRRefD22_4x_0" localSheetId="90">'492'!$D$50</definedName>
    <definedName name="OSRRefD22_4x_0" localSheetId="98">'501'!$D$41</definedName>
    <definedName name="OSRRefD22_4x_0" localSheetId="39">'Div 2'!$D$44</definedName>
    <definedName name="OSRRefD22_4x_0" localSheetId="47">'Div 3'!$D$191</definedName>
    <definedName name="OSRRefD22_4x_0" localSheetId="74">'Div 4'!$D$56</definedName>
    <definedName name="OSRRefD22_4x_0" localSheetId="97">'Div 5'!$D$41</definedName>
    <definedName name="OSRRefD22_4x_0" localSheetId="65">'Div 6'!$D$77</definedName>
    <definedName name="OSRRefD22_4x_0" localSheetId="2">Summary!$D$225</definedName>
    <definedName name="OSRRefD22_5x_0" localSheetId="41">'201'!$D$40</definedName>
    <definedName name="OSRRefD22_5x_0" localSheetId="42">'202'!$D$41</definedName>
    <definedName name="OSRRefD22_5x_0" localSheetId="43">'203'!$D$43</definedName>
    <definedName name="OSRRefD22_5x_0" localSheetId="44">'204'!$D$45</definedName>
    <definedName name="OSRRefD22_5x_0" localSheetId="45">'205'!$D$38</definedName>
    <definedName name="OSRRefD22_5x_0" localSheetId="46">'206'!$D$42:$D$43</definedName>
    <definedName name="OSRRefD22_5x_0" localSheetId="48">'300'!$D$188:$D$189</definedName>
    <definedName name="OSRRefD22_5x_0" localSheetId="49">'300 &amp; 317'!$D$213:$D$214</definedName>
    <definedName name="OSRRefD22_5x_0" localSheetId="50">'301'!$D$44:$D$45</definedName>
    <definedName name="OSRRefD22_5x_0" localSheetId="51">'306'!$D$42</definedName>
    <definedName name="OSRRefD22_5x_0" localSheetId="54">'307'!$D$95</definedName>
    <definedName name="OSRRefD22_5x_0" localSheetId="56">'308'!$D$87</definedName>
    <definedName name="OSRRefD22_5x_0" localSheetId="68">'309'!$D$45</definedName>
    <definedName name="OSRRefD22_5x_0" localSheetId="67">'310'!$D$55:$D$56</definedName>
    <definedName name="OSRRefD22_5x_0" localSheetId="75">'310 &amp; 491'!$D$65:$D$67</definedName>
    <definedName name="OSRRefD22_5x_0" localSheetId="57">'311'!$D$86</definedName>
    <definedName name="OSRRefD22_5x_0" localSheetId="69">'313'!$D$51</definedName>
    <definedName name="OSRRefD22_5x_0" localSheetId="55">'314'!$D$77</definedName>
    <definedName name="OSRRefD22_5x_0" localSheetId="60">'315'!$D$78:$D$79</definedName>
    <definedName name="OSRRefD22_5x_0" localSheetId="63">'316'!$D$53</definedName>
    <definedName name="OSRRefD22_5x_0" localSheetId="66">'317'!$D$79</definedName>
    <definedName name="OSRRefD22_5x_0" localSheetId="64">'320'!$D$49</definedName>
    <definedName name="OSRRefD22_5x_0" localSheetId="70">'321'!$D$44</definedName>
    <definedName name="OSRRefD22_5x_0" localSheetId="71">'322'!$D$45</definedName>
    <definedName name="OSRRefD22_5x_0" localSheetId="72">'325'!$D$46:$D$47</definedName>
    <definedName name="OSRRefD22_5x_0" localSheetId="61">'326'!$D$81</definedName>
    <definedName name="OSRRefD22_5x_0" localSheetId="53">'330'!$D$103</definedName>
    <definedName name="OSRRefD22_5x_0" localSheetId="59">'331'!$D$96:$D$97</definedName>
    <definedName name="OSRRefD22_5x_0" localSheetId="62">'332'!$D$62</definedName>
    <definedName name="OSRRefD22_5x_0" localSheetId="77">'405'!$D$44:$D$45</definedName>
    <definedName name="OSRRefD22_5x_0" localSheetId="78">'406'!$D$45</definedName>
    <definedName name="OSRRefD22_5x_0" localSheetId="79">'411'!$D$45</definedName>
    <definedName name="OSRRefD22_5x_0" localSheetId="80">'412'!$D$46</definedName>
    <definedName name="OSRRefD22_5x_0" localSheetId="82">'413'!$D$45</definedName>
    <definedName name="OSRRefD22_5x_0" localSheetId="83">'414'!$D$46</definedName>
    <definedName name="OSRRefD22_5x_0" localSheetId="84">'415'!$D$46:$D$47</definedName>
    <definedName name="OSRRefD22_5x_0" localSheetId="85">'418'!$D$46:$D$47</definedName>
    <definedName name="OSRRefD22_5x_0" localSheetId="81">'420'!$D$43:$D$44</definedName>
    <definedName name="OSRRefD22_5x_0" localSheetId="86">'423'!$D$38</definedName>
    <definedName name="OSRRefD22_5x_0" localSheetId="87">'424'!$D$40</definedName>
    <definedName name="OSRRefD22_5x_0" localSheetId="88">'425'!$D$50</definedName>
    <definedName name="OSRRefD22_5x_0" localSheetId="91">'430'!$D$37</definedName>
    <definedName name="OSRRefD22_5x_0" localSheetId="92">'433'!$D$49</definedName>
    <definedName name="OSRRefD22_5x_0" localSheetId="93">'435'!$D$39</definedName>
    <definedName name="OSRRefD22_5x_0" localSheetId="94">'444'!$D$48</definedName>
    <definedName name="OSRRefD22_5x_0" localSheetId="96">'450'!$D$48</definedName>
    <definedName name="OSRRefD22_5x_0" localSheetId="76">'491'!$D$57:$D$59</definedName>
    <definedName name="OSRRefD22_5x_0" localSheetId="90">'492'!$D$52</definedName>
    <definedName name="OSRRefD22_5x_0" localSheetId="98">'501'!$D$43:$D$44</definedName>
    <definedName name="OSRRefD22_5x_0" localSheetId="39">'Div 2'!$D$46:$D$47</definedName>
    <definedName name="OSRRefD22_5x_0" localSheetId="47">'Div 3'!$D$193:$D$194</definedName>
    <definedName name="OSRRefD22_5x_0" localSheetId="74">'Div 4'!$D$58:$D$60</definedName>
    <definedName name="OSRRefD22_5x_0" localSheetId="97">'Div 5'!$D$43:$D$44</definedName>
    <definedName name="OSRRefD22_5x_0" localSheetId="65">'Div 6'!$D$79</definedName>
    <definedName name="OSRRefD22_5x_0" localSheetId="2">Summary!$D$227:$D$229</definedName>
    <definedName name="OSRRefD22_6x_0" localSheetId="41">'201'!$D$42</definedName>
    <definedName name="OSRRefD22_6x_0" localSheetId="42">'202'!$D$43</definedName>
    <definedName name="OSRRefD22_6x_0" localSheetId="43">'203'!$D$45</definedName>
    <definedName name="OSRRefD22_6x_0" localSheetId="44">'204'!$D$47:$D$50</definedName>
    <definedName name="OSRRefD22_6x_0" localSheetId="45">'205'!$D$40:$D$41</definedName>
    <definedName name="OSRRefD22_6x_0" localSheetId="46">'206'!$D$45</definedName>
    <definedName name="OSRRefD22_6x_0" localSheetId="48">'300'!$D$191:$D$192</definedName>
    <definedName name="OSRRefD22_6x_0" localSheetId="49">'300 &amp; 317'!$D$216:$D$217</definedName>
    <definedName name="OSRRefD22_6x_0" localSheetId="50">'301'!$D$47:$D$48</definedName>
    <definedName name="OSRRefD22_6x_0" localSheetId="51">'306'!$D$44</definedName>
    <definedName name="OSRRefD22_6x_0" localSheetId="54">'307'!$D$97</definedName>
    <definedName name="OSRRefD22_6x_0" localSheetId="56">'308'!$D$89:$D$90</definedName>
    <definedName name="OSRRefD22_6x_0" localSheetId="68">'309'!$D$47</definedName>
    <definedName name="OSRRefD22_6x_0" localSheetId="67">'310'!$D$58</definedName>
    <definedName name="OSRRefD22_6x_0" localSheetId="75">'310 &amp; 491'!$D$69</definedName>
    <definedName name="OSRRefD22_6x_0" localSheetId="57">'311'!$D$88:$D$89</definedName>
    <definedName name="OSRRefD22_6x_0" localSheetId="69">'313'!$D$53</definedName>
    <definedName name="OSRRefD22_6x_0" localSheetId="55">'314'!$D$79</definedName>
    <definedName name="OSRRefD22_6x_0" localSheetId="60">'315'!$D$81</definedName>
    <definedName name="OSRRefD22_6x_0" localSheetId="63">'316'!$D$55</definedName>
    <definedName name="OSRRefD22_6x_0" localSheetId="66">'317'!$D$81</definedName>
    <definedName name="OSRRefD22_6x_0" localSheetId="64">'320'!$D$51</definedName>
    <definedName name="OSRRefD22_6x_0" localSheetId="70">'321'!$D$46</definedName>
    <definedName name="OSRRefD22_6x_0" localSheetId="71">'322'!$D$47</definedName>
    <definedName name="OSRRefD22_6x_0" localSheetId="72">'325'!$D$49</definedName>
    <definedName name="OSRRefD22_6x_0" localSheetId="61">'326'!$D$83</definedName>
    <definedName name="OSRRefD22_6x_0" localSheetId="53">'330'!$D$105</definedName>
    <definedName name="OSRRefD22_6x_0" localSheetId="59">'331'!$D$99</definedName>
    <definedName name="OSRRefD22_6x_0" localSheetId="62">'332'!$D$64:$D$65</definedName>
    <definedName name="OSRRefD22_6x_0" localSheetId="77">'405'!$D$47</definedName>
    <definedName name="OSRRefD22_6x_0" localSheetId="78">'406'!$D$47</definedName>
    <definedName name="OSRRefD22_6x_0" localSheetId="79">'411'!$D$47</definedName>
    <definedName name="OSRRefD22_6x_0" localSheetId="80">'412'!$D$48</definedName>
    <definedName name="OSRRefD22_6x_0" localSheetId="82">'413'!$D$47</definedName>
    <definedName name="OSRRefD22_6x_0" localSheetId="83">'414'!$D$48</definedName>
    <definedName name="OSRRefD22_6x_0" localSheetId="84">'415'!$D$49</definedName>
    <definedName name="OSRRefD22_6x_0" localSheetId="85">'418'!$D$49</definedName>
    <definedName name="OSRRefD22_6x_0" localSheetId="81">'420'!$D$46</definedName>
    <definedName name="OSRRefD22_6x_0" localSheetId="87">'424'!$D$42</definedName>
    <definedName name="OSRRefD22_6x_0" localSheetId="88">'425'!$D$52</definedName>
    <definedName name="OSRRefD22_6x_0" localSheetId="91">'430'!$D$39:$D$40</definedName>
    <definedName name="OSRRefD22_6x_0" localSheetId="92">'433'!$D$51</definedName>
    <definedName name="OSRRefD22_6x_0" localSheetId="93">'435'!$D$41</definedName>
    <definedName name="OSRRefD22_6x_0" localSheetId="94">'444'!$D$50</definedName>
    <definedName name="OSRRefD22_6x_0" localSheetId="96">'450'!$D$50</definedName>
    <definedName name="OSRRefD22_6x_0" localSheetId="76">'491'!$D$61</definedName>
    <definedName name="OSRRefD22_6x_0" localSheetId="90">'492'!$D$54</definedName>
    <definedName name="OSRRefD22_6x_0" localSheetId="98">'501'!$D$46</definedName>
    <definedName name="OSRRefD22_6x_0" localSheetId="39">'Div 2'!$D$49</definedName>
    <definedName name="OSRRefD22_6x_0" localSheetId="47">'Div 3'!$D$196:$D$197</definedName>
    <definedName name="OSRRefD22_6x_0" localSheetId="74">'Div 4'!$D$62</definedName>
    <definedName name="OSRRefD22_6x_0" localSheetId="97">'Div 5'!$D$46</definedName>
    <definedName name="OSRRefD22_6x_0" localSheetId="65">'Div 6'!$D$81</definedName>
    <definedName name="OSRRefD22_6x_0" localSheetId="2">Summary!$D$231:$D$232</definedName>
    <definedName name="OSRRefD22_7x_0" localSheetId="41">'201'!$D$44</definedName>
    <definedName name="OSRRefD22_7x_0" localSheetId="42">'202'!$D$45</definedName>
    <definedName name="OSRRefD22_7x_0" localSheetId="43">'203'!$D$47</definedName>
    <definedName name="OSRRefD22_7x_0" localSheetId="44">'204'!$D$52:$D$53</definedName>
    <definedName name="OSRRefD22_7x_0" localSheetId="45">'205'!$D$43</definedName>
    <definedName name="OSRRefD22_7x_0" localSheetId="46">'206'!$D$47</definedName>
    <definedName name="OSRRefD22_7x_0" localSheetId="48">'300'!$D$194</definedName>
    <definedName name="OSRRefD22_7x_0" localSheetId="49">'300 &amp; 317'!$D$219</definedName>
    <definedName name="OSRRefD22_7x_0" localSheetId="50">'301'!$D$50</definedName>
    <definedName name="OSRRefD22_7x_0" localSheetId="51">'306'!$D$46:$D$47</definedName>
    <definedName name="OSRRefD22_7x_0" localSheetId="54">'307'!$D$99</definedName>
    <definedName name="OSRRefD22_7x_0" localSheetId="56">'308'!$D$92</definedName>
    <definedName name="OSRRefD22_7x_0" localSheetId="68">'309'!$D$49</definedName>
    <definedName name="OSRRefD22_7x_0" localSheetId="67">'310'!$D$60</definedName>
    <definedName name="OSRRefD22_7x_0" localSheetId="75">'310 &amp; 491'!$D$71</definedName>
    <definedName name="OSRRefD22_7x_0" localSheetId="57">'311'!$D$91</definedName>
    <definedName name="OSRRefD22_7x_0" localSheetId="69">'313'!$D$55</definedName>
    <definedName name="OSRRefD22_7x_0" localSheetId="55">'314'!$D$81:$D$82</definedName>
    <definedName name="OSRRefD22_7x_0" localSheetId="60">'315'!$D$83</definedName>
    <definedName name="OSRRefD22_7x_0" localSheetId="63">'316'!$D$57</definedName>
    <definedName name="OSRRefD22_7x_0" localSheetId="66">'317'!$D$83</definedName>
    <definedName name="OSRRefD22_7x_0" localSheetId="64">'320'!$D$53:$D$54</definedName>
    <definedName name="OSRRefD22_7x_0" localSheetId="70">'321'!$D$48:$D$50</definedName>
    <definedName name="OSRRefD22_7x_0" localSheetId="71">'322'!$D$49</definedName>
    <definedName name="OSRRefD22_7x_0" localSheetId="72">'325'!$D$51</definedName>
    <definedName name="OSRRefD22_7x_0" localSheetId="61">'326'!$D$85</definedName>
    <definedName name="OSRRefD22_7x_0" localSheetId="53">'330'!$D$107</definedName>
    <definedName name="OSRRefD22_7x_0" localSheetId="59">'331'!$D$101</definedName>
    <definedName name="OSRRefD22_7x_0" localSheetId="62">'332'!$D$67</definedName>
    <definedName name="OSRRefD22_7x_0" localSheetId="77">'405'!$D$49</definedName>
    <definedName name="OSRRefD22_7x_0" localSheetId="78">'406'!$D$49</definedName>
    <definedName name="OSRRefD22_7x_0" localSheetId="79">'411'!$D$49</definedName>
    <definedName name="OSRRefD22_7x_0" localSheetId="80">'412'!$D$50</definedName>
    <definedName name="OSRRefD22_7x_0" localSheetId="82">'413'!$D$49:$D$51</definedName>
    <definedName name="OSRRefD22_7x_0" localSheetId="83">'414'!$D$50</definedName>
    <definedName name="OSRRefD22_7x_0" localSheetId="84">'415'!$D$51</definedName>
    <definedName name="OSRRefD22_7x_0" localSheetId="85">'418'!$D$51</definedName>
    <definedName name="OSRRefD22_7x_0" localSheetId="87">'424'!$D$44:$D$45</definedName>
    <definedName name="OSRRefD22_7x_0" localSheetId="88">'425'!$D$54</definedName>
    <definedName name="OSRRefD22_7x_0" localSheetId="91">'430'!$D$42</definedName>
    <definedName name="OSRRefD22_7x_0" localSheetId="92">'433'!$D$53</definedName>
    <definedName name="OSRRefD22_7x_0" localSheetId="93">'435'!$D$43</definedName>
    <definedName name="OSRRefD22_7x_0" localSheetId="94">'444'!$D$52</definedName>
    <definedName name="OSRRefD22_7x_0" localSheetId="96">'450'!$D$52</definedName>
    <definedName name="OSRRefD22_7x_0" localSheetId="76">'491'!$D$63</definedName>
    <definedName name="OSRRefD22_7x_0" localSheetId="90">'492'!$D$56</definedName>
    <definedName name="OSRRefD22_7x_0" localSheetId="98">'501'!$D$48</definedName>
    <definedName name="OSRRefD22_7x_0" localSheetId="39">'Div 2'!$D$51</definedName>
    <definedName name="OSRRefD22_7x_0" localSheetId="47">'Div 3'!$D$199</definedName>
    <definedName name="OSRRefD22_7x_0" localSheetId="74">'Div 4'!$D$64</definedName>
    <definedName name="OSRRefD22_7x_0" localSheetId="97">'Div 5'!$D$48</definedName>
    <definedName name="OSRRefD22_7x_0" localSheetId="65">'Div 6'!$D$83</definedName>
    <definedName name="OSRRefD22_7x_0" localSheetId="2">Summary!$D$234</definedName>
    <definedName name="OSRRefD22_8x_0" localSheetId="41">'201'!$D$46</definedName>
    <definedName name="OSRRefD22_8x_0" localSheetId="42">'202'!$D$47</definedName>
    <definedName name="OSRRefD22_8x_0" localSheetId="43">'203'!$D$49</definedName>
    <definedName name="OSRRefD22_8x_0" localSheetId="44">'204'!$D$55:$D$56</definedName>
    <definedName name="OSRRefD22_8x_0" localSheetId="45">'205'!$D$45</definedName>
    <definedName name="OSRRefD22_8x_0" localSheetId="48">'300'!$D$196</definedName>
    <definedName name="OSRRefD22_8x_0" localSheetId="49">'300 &amp; 317'!$D$221</definedName>
    <definedName name="OSRRefD22_8x_0" localSheetId="50">'301'!$D$52</definedName>
    <definedName name="OSRRefD22_8x_0" localSheetId="51">'306'!$D$49:$D$53</definedName>
    <definedName name="OSRRefD22_8x_0" localSheetId="54">'307'!$D$101</definedName>
    <definedName name="OSRRefD22_8x_0" localSheetId="56">'308'!$D$94</definedName>
    <definedName name="OSRRefD22_8x_0" localSheetId="68">'309'!$D$51</definedName>
    <definedName name="OSRRefD22_8x_0" localSheetId="67">'310'!$D$62</definedName>
    <definedName name="OSRRefD22_8x_0" localSheetId="75">'310 &amp; 491'!$D$73</definedName>
    <definedName name="OSRRefD22_8x_0" localSheetId="57">'311'!$D$93</definedName>
    <definedName name="OSRRefD22_8x_0" localSheetId="69">'313'!$D$57</definedName>
    <definedName name="OSRRefD22_8x_0" localSheetId="55">'314'!$D$84</definedName>
    <definedName name="OSRRefD22_8x_0" localSheetId="60">'315'!$D$85:$D$86</definedName>
    <definedName name="OSRRefD22_8x_0" localSheetId="63">'316'!$D$59:$D$60</definedName>
    <definedName name="OSRRefD22_8x_0" localSheetId="66">'317'!$D$85</definedName>
    <definedName name="OSRRefD22_8x_0" localSheetId="64">'320'!$D$56</definedName>
    <definedName name="OSRRefD22_8x_0" localSheetId="70">'321'!$D$52</definedName>
    <definedName name="OSRRefD22_8x_0" localSheetId="71">'322'!$D$51</definedName>
    <definedName name="OSRRefD22_8x_0" localSheetId="72">'325'!$D$53</definedName>
    <definedName name="OSRRefD22_8x_0" localSheetId="61">'326'!$D$87</definedName>
    <definedName name="OSRRefD22_8x_0" localSheetId="53">'330'!$D$109</definedName>
    <definedName name="OSRRefD22_8x_0" localSheetId="59">'331'!$D$103:$D$104</definedName>
    <definedName name="OSRRefD22_8x_0" localSheetId="62">'332'!$D$69</definedName>
    <definedName name="OSRRefD22_8x_0" localSheetId="77">'405'!$D$51</definedName>
    <definedName name="OSRRefD22_8x_0" localSheetId="78">'406'!$D$51</definedName>
    <definedName name="OSRRefD22_8x_0" localSheetId="79">'411'!$D$51</definedName>
    <definedName name="OSRRefD22_8x_0" localSheetId="80">'412'!$D$52</definedName>
    <definedName name="OSRRefD22_8x_0" localSheetId="82">'413'!$D$53:$D$54</definedName>
    <definedName name="OSRRefD22_8x_0" localSheetId="83">'414'!$D$52</definedName>
    <definedName name="OSRRefD22_8x_0" localSheetId="84">'415'!$D$53</definedName>
    <definedName name="OSRRefD22_8x_0" localSheetId="85">'418'!$D$53</definedName>
    <definedName name="OSRRefD22_8x_0" localSheetId="87">'424'!$D$47</definedName>
    <definedName name="OSRRefD22_8x_0" localSheetId="88">'425'!$D$56</definedName>
    <definedName name="OSRRefD22_8x_0" localSheetId="91">'430'!$D$44</definedName>
    <definedName name="OSRRefD22_8x_0" localSheetId="92">'433'!$D$55</definedName>
    <definedName name="OSRRefD22_8x_0" localSheetId="93">'435'!$D$45:$D$48</definedName>
    <definedName name="OSRRefD22_8x_0" localSheetId="94">'444'!$D$54</definedName>
    <definedName name="OSRRefD22_8x_0" localSheetId="96">'450'!$D$54</definedName>
    <definedName name="OSRRefD22_8x_0" localSheetId="76">'491'!$D$65</definedName>
    <definedName name="OSRRefD22_8x_0" localSheetId="90">'492'!$D$58</definedName>
    <definedName name="OSRRefD22_8x_0" localSheetId="98">'501'!$D$50</definedName>
    <definedName name="OSRRefD22_8x_0" localSheetId="39">'Div 2'!$D$53</definedName>
    <definedName name="OSRRefD22_8x_0" localSheetId="47">'Div 3'!$D$201</definedName>
    <definedName name="OSRRefD22_8x_0" localSheetId="74">'Div 4'!$D$66</definedName>
    <definedName name="OSRRefD22_8x_0" localSheetId="97">'Div 5'!$D$50</definedName>
    <definedName name="OSRRefD22_8x_0" localSheetId="65">'Div 6'!$D$85</definedName>
    <definedName name="OSRRefD22_8x_0" localSheetId="2">Summary!$D$236</definedName>
    <definedName name="OSRRefD22_9x_0" localSheetId="41">'201'!$D$48</definedName>
    <definedName name="OSRRefD22_9x_0" localSheetId="42">'202'!$D$49</definedName>
    <definedName name="OSRRefD22_9x_0" localSheetId="43">'203'!$D$51:$D$53</definedName>
    <definedName name="OSRRefD22_9x_0" localSheetId="44">'204'!$D$58</definedName>
    <definedName name="OSRRefD22_9x_0" localSheetId="48">'300'!$D$198</definedName>
    <definedName name="OSRRefD22_9x_0" localSheetId="49">'300 &amp; 317'!$D$223</definedName>
    <definedName name="OSRRefD22_9x_0" localSheetId="50">'301'!$D$54</definedName>
    <definedName name="OSRRefD22_9x_0" localSheetId="51">'306'!$D$55</definedName>
    <definedName name="OSRRefD22_9x_0" localSheetId="54">'307'!$D$103:$D$104</definedName>
    <definedName name="OSRRefD22_9x_0" localSheetId="56">'308'!$D$96:$D$97</definedName>
    <definedName name="OSRRefD22_9x_0" localSheetId="68">'309'!$D$53:$D$54</definedName>
    <definedName name="OSRRefD22_9x_0" localSheetId="67">'310'!$D$64:$D$65</definedName>
    <definedName name="OSRRefD22_9x_0" localSheetId="75">'310 &amp; 491'!$D$75</definedName>
    <definedName name="OSRRefD22_9x_0" localSheetId="57">'311'!$D$95:$D$96</definedName>
    <definedName name="OSRRefD22_9x_0" localSheetId="69">'313'!$D$59:$D$61</definedName>
    <definedName name="OSRRefD22_9x_0" localSheetId="55">'314'!$D$86</definedName>
    <definedName name="OSRRefD22_9x_0" localSheetId="60">'315'!$D$88:$D$89</definedName>
    <definedName name="OSRRefD22_9x_0" localSheetId="63">'316'!$D$62</definedName>
    <definedName name="OSRRefD22_9x_0" localSheetId="66">'317'!$D$87</definedName>
    <definedName name="OSRRefD22_9x_0" localSheetId="70">'321'!$D$54:$D$56</definedName>
    <definedName name="OSRRefD22_9x_0" localSheetId="71">'322'!$D$53</definedName>
    <definedName name="OSRRefD22_9x_0" localSheetId="72">'325'!$D$55</definedName>
    <definedName name="OSRRefD22_9x_0" localSheetId="61">'326'!$D$89</definedName>
    <definedName name="OSRRefD22_9x_0" localSheetId="53">'330'!$D$111</definedName>
    <definedName name="OSRRefD22_9x_0" localSheetId="59">'331'!$D$106</definedName>
    <definedName name="OSRRefD22_9x_0" localSheetId="62">'332'!$D$71:$D$72</definedName>
    <definedName name="OSRRefD22_9x_0" localSheetId="77">'405'!$D$53</definedName>
    <definedName name="OSRRefD22_9x_0" localSheetId="78">'406'!$D$53:$D$55</definedName>
    <definedName name="OSRRefD22_9x_0" localSheetId="79">'411'!$D$53</definedName>
    <definedName name="OSRRefD22_9x_0" localSheetId="80">'412'!$D$54:$D$55</definedName>
    <definedName name="OSRRefD22_9x_0" localSheetId="82">'413'!$D$56:$D$61</definedName>
    <definedName name="OSRRefD22_9x_0" localSheetId="83">'414'!$D$54:$D$55</definedName>
    <definedName name="OSRRefD22_9x_0" localSheetId="84">'415'!$D$55</definedName>
    <definedName name="OSRRefD22_9x_0" localSheetId="85">'418'!$D$55</definedName>
    <definedName name="OSRRefD22_9x_0" localSheetId="87">'424'!$D$49</definedName>
    <definedName name="OSRRefD22_9x_0" localSheetId="88">'425'!$D$58:$D$60</definedName>
    <definedName name="OSRRefD22_9x_0" localSheetId="91">'430'!$D$46</definedName>
    <definedName name="OSRRefD22_9x_0" localSheetId="92">'433'!$D$57</definedName>
    <definedName name="OSRRefD22_9x_0" localSheetId="93">'435'!$D$50</definedName>
    <definedName name="OSRRefD22_9x_0" localSheetId="94">'444'!$D$56</definedName>
    <definedName name="OSRRefD22_9x_0" localSheetId="96">'450'!$D$56</definedName>
    <definedName name="OSRRefD22_9x_0" localSheetId="76">'491'!$D$67</definedName>
    <definedName name="OSRRefD22_9x_0" localSheetId="90">'492'!$D$60</definedName>
    <definedName name="OSRRefD22_9x_0" localSheetId="98">'501'!$D$52</definedName>
    <definedName name="OSRRefD22_9x_0" localSheetId="39">'Div 2'!$D$55</definedName>
    <definedName name="OSRRefD22_9x_0" localSheetId="47">'Div 3'!$D$203</definedName>
    <definedName name="OSRRefD22_9x_0" localSheetId="74">'Div 4'!$D$68</definedName>
    <definedName name="OSRRefD22_9x_0" localSheetId="97">'Div 5'!$D$52</definedName>
    <definedName name="OSRRefD22_9x_0" localSheetId="65">'Div 6'!$D$87</definedName>
    <definedName name="OSRRefD22_9x_0" localSheetId="2">Summary!$D$238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'201'!$D$20:$D$28,'201'!$D$30:$D$32,'201'!$D$34,'201'!$D$36,'201'!$D$38,'201'!$D$40,'201'!$D$42,'201'!$D$44,'201'!$D$46,'201'!$D$48,'201'!$D$50:$D$52,'201'!$D$54:$D$56,'201'!$D$58,'201'!$D$60:$D$62,'201'!$D$64,'201'!$D$66,'201'!$D$68:$D$69</definedName>
    <definedName name="OSRRefD22x_0" localSheetId="42">'202'!$D$20:$D$27,'202'!$D$29:$D$33,'202'!$D$35,'202'!$D$37,'202'!$D$39,'202'!$D$41,'202'!$D$43,'202'!$D$45,'202'!$D$47,'202'!$D$49,'202'!$D$51:$D$53,'202'!$D$55,'202'!$D$57,'202'!$D$59:$D$61,'202'!$D$63,'202'!$D$65,'202'!$D$67</definedName>
    <definedName name="OSRRefD22x_0" localSheetId="43">'203'!$D$20:$D$29,'203'!$D$31:$D$35,'203'!$D$37,'203'!$D$39,'203'!$D$41,'203'!$D$43,'203'!$D$45,'203'!$D$47,'203'!$D$49,'203'!$D$51:$D$53,'203'!$D$55:$D$56,'203'!$D$58:$D$59,'203'!$D$61:$D$63,'203'!$D$65,'203'!$D$67,'203'!$D$69</definedName>
    <definedName name="OSRRefD22x_0" localSheetId="44">'204'!$D$20:$D$29,'204'!$D$31:$D$36,'204'!$D$38,'204'!$D$40:$D$41,'204'!$D$43,'204'!$D$45,'204'!$D$47:$D$50,'204'!$D$52:$D$53,'204'!$D$55:$D$56,'204'!$D$58,'204'!$D$60:$D$61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48">'300'!$D$163:$D$171,'300'!$D$173:$D$179,'300'!$D$181,'300'!$D$183:$D$184,'300'!$D$186,'300'!$D$188:$D$189,'300'!$D$191:$D$192,'300'!$D$194,'300'!$D$196,'300'!$D$198,'300'!$D$200:$D$201,'300'!$D$203,'300'!$D$205,'300'!$D$207,'300'!$D$209,'300'!$D$211,'300'!$D$213:$D$216,'300'!$D$218:$D$220,'300'!$D$222:$D$225,'300'!$D$227:$D$228,'300'!$D$230:$D$236,'300'!$D$238:$D$239,'300'!$D$241,'300'!$D$243:$D$245,'300'!$D$247</definedName>
    <definedName name="OSRRefD22x_0" localSheetId="49">'300 &amp; 317'!$D$188:$D$196,'300 &amp; 317'!$D$198:$D$204,'300 &amp; 317'!$D$206,'300 &amp; 317'!$D$208:$D$209,'300 &amp; 317'!$D$211,'300 &amp; 317'!$D$213:$D$214,'300 &amp; 317'!$D$216:$D$217,'300 &amp; 317'!$D$219,'300 &amp; 317'!$D$221,'300 &amp; 317'!$D$223,'300 &amp; 317'!$D$225:$D$226,'300 &amp; 317'!$D$228,'300 &amp; 317'!$D$230,'300 &amp; 317'!$D$232,'300 &amp; 317'!$D$234,'300 &amp; 317'!$D$236,'300 &amp; 317'!$D$238:$D$241,'300 &amp; 317'!$D$243:$D$245,'300 &amp; 317'!$D$247:$D$250,'300 &amp; 317'!$D$252:$D$253,'300 &amp; 317'!$D$255:$D$261,'300 &amp; 317'!$D$263:$D$264,'300 &amp; 317'!$D$266,'300 &amp; 317'!$D$268:$D$270,'300 &amp; 317'!$D$272</definedName>
    <definedName name="OSRRefD22x_0" localSheetId="50">'301'!$D$20:$D$27,'301'!$D$29:$D$35,'301'!$D$37,'301'!$D$39:$D$40,'301'!$D$42,'301'!$D$44:$D$45,'301'!$D$47:$D$48,'301'!$D$50,'301'!$D$52,'301'!$D$54,'301'!$D$56,'301'!$D$58,'301'!$D$60,'301'!$D$62,'301'!$D$64:$D$67,'301'!$D$69,'301'!$D$71:$D$73,'301'!$D$75,'301'!$D$77:$D$81,'301'!$D$83,'301'!$D$85,'301'!$D$87:$D$89,'301'!$D$91</definedName>
    <definedName name="OSRRefD22x_0" localSheetId="51">'306'!$D$20:$D$28,'306'!$D$30:$D$34,'306'!$D$36,'306'!$D$38,'306'!$D$40,'306'!$D$42,'306'!$D$44,'306'!$D$46:$D$47,'306'!$D$49:$D$53,'306'!$D$55,'306'!$D$57</definedName>
    <definedName name="OSRRefD22x_0" localSheetId="54">'307'!$D$74:$D$81,'307'!$D$83:$D$86,'307'!$D$88,'307'!$D$90,'307'!$D$92:$D$93,'307'!$D$95,'307'!$D$97,'307'!$D$99,'307'!$D$101,'307'!$D$103:$D$104,'307'!$D$106:$D$107,'307'!$D$109:$D$111,'307'!$D$113,'307'!$D$115</definedName>
    <definedName name="OSRRefD22x_0" localSheetId="56">'308'!$D$64:$D$72,'308'!$D$74:$D$78,'308'!$D$80,'308'!$D$82:$D$83,'308'!$D$85,'308'!$D$87,'308'!$D$89:$D$90,'308'!$D$92,'308'!$D$94,'308'!$D$96:$D$97,'308'!$D$99:$D$100,'308'!$D$102:$D$105,'308'!$D$107:$D$108,'308'!$D$110,'308'!$D$112</definedName>
    <definedName name="OSRRefD22x_0" localSheetId="68">'309'!$D$24:$D$31,'309'!$D$33:$D$37,'309'!$D$39,'309'!$D$41,'309'!$D$43,'309'!$D$45,'309'!$D$47,'309'!$D$49,'309'!$D$51,'309'!$D$53:$D$54,'309'!$D$56:$D$58,'309'!$D$60,'309'!$D$62:$D$67,'309'!$D$69</definedName>
    <definedName name="OSRRefD22x_0" localSheetId="67">'310'!$D$33:$D$40,'310'!$D$42:$D$47,'310'!$D$49,'310'!$D$51,'310'!$D$53,'310'!$D$55:$D$56,'310'!$D$58,'310'!$D$60,'310'!$D$62,'310'!$D$64:$D$65,'310'!$D$67,'310'!$D$69,'310'!$D$71,'310'!$D$73,'310'!$D$75:$D$77,'310'!$D$79,'310'!$D$81:$D$84,'310'!$D$86:$D$87,'310'!$D$89:$D$96,'310'!$D$98,'310'!$D$100,'310'!$D$102</definedName>
    <definedName name="OSRRefD22x_0" localSheetId="75">'310 &amp; 491'!$D$41:$D$49,'310 &amp; 491'!$D$51:$D$57,'310 &amp; 491'!$D$59,'310 &amp; 491'!$D$61,'310 &amp; 491'!$D$63,'310 &amp; 491'!$D$65:$D$67,'310 &amp; 491'!$D$69,'310 &amp; 491'!$D$71,'310 &amp; 491'!$D$73,'310 &amp; 491'!$D$75,'310 &amp; 491'!$D$77:$D$78,'310 &amp; 491'!$D$80:$D$81,'310 &amp; 491'!$D$83,'310 &amp; 491'!$D$85,'310 &amp; 491'!$D$87,'310 &amp; 491'!$D$89,'310 &amp; 491'!$D$91:$D$94,'310 &amp; 491'!$D$96:$D$97,'310 &amp; 491'!$D$99:$D$103,'310 &amp; 491'!$D$105:$D$106,'310 &amp; 491'!$D$108:$D$115,'310 &amp; 491'!$D$117,'310 &amp; 491'!$D$119,'310 &amp; 491'!$D$121:$D$123,'310 &amp; 491'!$D$125</definedName>
    <definedName name="OSRRefD22x_0" localSheetId="57">'311'!$D$63:$D$71,'311'!$D$73:$D$77,'311'!$D$79,'311'!$D$81:$D$82,'311'!$D$84,'311'!$D$86,'311'!$D$88:$D$89,'311'!$D$91,'311'!$D$93,'311'!$D$95:$D$96,'311'!$D$98:$D$99,'311'!$D$101:$D$104,'311'!$D$106:$D$107,'311'!$D$109,'311'!$D$111</definedName>
    <definedName name="OSRRefD22x_0" localSheetId="69">'313'!$D$30:$D$37,'313'!$D$39:$D$43,'313'!$D$45,'313'!$D$47,'313'!$D$49,'313'!$D$51,'313'!$D$53,'313'!$D$55,'313'!$D$57,'313'!$D$59:$D$61,'313'!$D$63:$D$64,'313'!$D$66:$D$67,'313'!$D$69:$D$74,'313'!$D$76,'313'!$D$78</definedName>
    <definedName name="OSRRefD22x_0" localSheetId="55">'314'!$D$56:$D$63,'314'!$D$65:$D$68,'314'!$D$70,'314'!$D$72:$D$73,'314'!$D$75,'314'!$D$77,'314'!$D$79,'314'!$D$81:$D$82,'314'!$D$84,'314'!$D$86</definedName>
    <definedName name="OSRRefD22x_0" localSheetId="60">'315'!$D$55:$D$62,'315'!$D$64:$D$69,'315'!$D$71,'315'!$D$73:$D$74,'315'!$D$76,'315'!$D$78:$D$79,'315'!$D$81,'315'!$D$83,'315'!$D$85:$D$86,'315'!$D$88:$D$89,'315'!$D$91:$D$92,'315'!$D$94:$D$98,'315'!$D$100,'315'!$D$102,'315'!$D$104:$D$105</definedName>
    <definedName name="OSRRefD22x_0" localSheetId="63">'316'!$D$33:$D$40,'316'!$D$42:$D$45,'316'!$D$47,'316'!$D$49,'316'!$D$51,'316'!$D$53,'316'!$D$55,'316'!$D$57,'316'!$D$59:$D$60,'316'!$D$62,'316'!$D$64:$D$68,'316'!$D$70,'316'!$D$72</definedName>
    <definedName name="OSRRefD22x_0" localSheetId="66">'317'!$D$58:$D$66,'317'!$D$68:$D$71,'317'!$D$73,'317'!$D$75,'317'!$D$77,'317'!$D$79,'317'!$D$81,'317'!$D$83,'317'!$D$85,'317'!$D$87,'317'!$D$89,'317'!$D$91,'317'!$D$93:$D$94,'317'!$D$96,'317'!$D$98,'317'!$D$100</definedName>
    <definedName name="OSRRefD22x_0" localSheetId="64">'320'!$D$29:$D$36,'320'!$D$38:$D$40,'320'!$D$42,'320'!$D$44,'320'!$D$46:$D$47,'320'!$D$49,'320'!$D$51,'320'!$D$53:$D$54,'320'!$D$56</definedName>
    <definedName name="OSRRefD22x_0" localSheetId="70">'321'!$D$24:$D$30,'321'!$D$32:$D$36,'321'!$D$38,'321'!$D$40,'321'!$D$42,'321'!$D$44,'321'!$D$46,'321'!$D$48:$D$50,'321'!$D$52,'321'!$D$54:$D$56,'321'!$D$58:$D$62,'321'!$D$64,'321'!$D$66,'321'!$D$68</definedName>
    <definedName name="OSRRefD22x_0" localSheetId="71">'322'!$D$24:$D$31,'322'!$D$33:$D$37,'322'!$D$39,'322'!$D$41,'322'!$D$43,'322'!$D$45,'322'!$D$47,'322'!$D$49,'322'!$D$51,'322'!$D$53,'322'!$D$55:$D$56,'322'!$D$58:$D$60,'322'!$D$62,'322'!$D$64:$D$70,'322'!$D$72,'322'!$D$74</definedName>
    <definedName name="OSRRefD22x_0" localSheetId="58">'324'!$D$25</definedName>
    <definedName name="OSRRefD22x_0" localSheetId="72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61">'326'!$D$61:$D$68,'326'!$D$70:$D$73,'326'!$D$75,'326'!$D$77,'326'!$D$79,'326'!$D$81,'326'!$D$83,'326'!$D$85,'326'!$D$87,'326'!$D$89,'326'!$D$91,'326'!$D$93,'326'!$D$95,'326'!$D$97:$D$98,'326'!$D$100:$D$102,'326'!$D$104,'326'!$D$106:$D$110,'326'!$D$112,'326'!$D$114,'326'!$D$116</definedName>
    <definedName name="OSRRefD22x_0" localSheetId="73">'327'!$D$22,'327'!$D$24,'327'!$D$26</definedName>
    <definedName name="OSRRefD22x_0" localSheetId="53">'330'!$D$81:$D$88,'330'!$D$90:$D$94,'330'!$D$96,'330'!$D$98,'330'!$D$100:$D$101,'330'!$D$103,'330'!$D$105,'330'!$D$107,'330'!$D$109,'330'!$D$111,'330'!$D$113,'330'!$D$115:$D$116,'330'!$D$118:$D$119,'330'!$D$121,'330'!$D$123:$D$125,'330'!$D$127,'330'!$D$129,'330'!$D$131</definedName>
    <definedName name="OSRRefD22x_0" localSheetId="59">'331'!$D$74:$D$81,'331'!$D$83:$D$88,'331'!$D$90,'331'!$D$92,'331'!$D$94,'331'!$D$96:$D$97,'331'!$D$99,'331'!$D$101,'331'!$D$103:$D$104,'331'!$D$106,'331'!$D$108,'331'!$D$110,'331'!$D$112,'331'!$D$114,'331'!$D$116:$D$118,'331'!$D$120:$D$121,'331'!$D$123:$D$125,'331'!$D$127:$D$128,'331'!$D$130:$D$135,'331'!$D$137,'331'!$D$139,'331'!$D$141:$D$142,'331'!$D$144</definedName>
    <definedName name="OSRRefD22x_0" localSheetId="62">'332'!$D$42:$D$49,'332'!$D$51:$D$54,'332'!$D$56,'332'!$D$58,'332'!$D$60,'332'!$D$62,'332'!$D$64:$D$65,'332'!$D$67,'332'!$D$69,'332'!$D$71:$D$72,'332'!$D$74,'332'!$D$76:$D$80,'332'!$D$82,'332'!$D$84</definedName>
    <definedName name="OSRRefD22x_0" localSheetId="52">'335'!$D$20</definedName>
    <definedName name="OSRRefD22x_0" localSheetId="77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8">'406'!$D$24:$D$31,'406'!$D$33:$D$37,'406'!$D$39,'406'!$D$41,'406'!$D$43,'406'!$D$45,'406'!$D$47,'406'!$D$49,'406'!$D$51,'406'!$D$53:$D$55,'406'!$D$57:$D$58,'406'!$D$60:$D$65,'406'!$D$67,'406'!$D$69</definedName>
    <definedName name="OSRRefD22x_0" localSheetId="79">'411'!$D$20:$D$28,'411'!$D$30:$D$35,'411'!$D$37,'411'!$D$39:$D$41,'411'!$D$43,'411'!$D$45,'411'!$D$47,'411'!$D$49,'411'!$D$51,'411'!$D$53,'411'!$D$55,'411'!$D$57:$D$59,'411'!$D$61:$D$65,'411'!$D$67:$D$68,'411'!$D$70:$D$77,'411'!$D$79,'411'!$D$81,'411'!$D$83:$D$85,'411'!$D$87</definedName>
    <definedName name="OSRRefD22x_0" localSheetId="80">'412'!$D$24:$D$31,'412'!$D$33:$D$38,'412'!$D$40,'412'!$D$42,'412'!$D$44,'412'!$D$46,'412'!$D$48,'412'!$D$50,'412'!$D$52,'412'!$D$54:$D$55,'412'!$D$57,'412'!$D$59:$D$61,'412'!$D$63:$D$69,'412'!$D$71,'412'!$D$73</definedName>
    <definedName name="OSRRefD22x_0" localSheetId="82">'413'!$D$24:$D$31,'413'!$D$33:$D$37,'413'!$D$39,'413'!$D$41,'413'!$D$43,'413'!$D$45,'413'!$D$47,'413'!$D$49:$D$51,'413'!$D$53:$D$54,'413'!$D$56:$D$61,'413'!$D$63</definedName>
    <definedName name="OSRRefD22x_0" localSheetId="83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4">'415'!$D$24:$D$31,'415'!$D$33:$D$38,'415'!$D$40,'415'!$D$42,'415'!$D$44,'415'!$D$46:$D$47,'415'!$D$49,'415'!$D$51,'415'!$D$53,'415'!$D$55,'415'!$D$57,'415'!$D$59:$D$62,'415'!$D$64:$D$68,'415'!$D$70:$D$71,'415'!$D$73:$D$79,'415'!$D$81,'415'!$D$83,'415'!$D$85</definedName>
    <definedName name="OSRRefD22x_0" localSheetId="85">'418'!$D$24:$D$31,'418'!$D$33:$D$38,'418'!$D$40,'418'!$D$42,'418'!$D$44,'418'!$D$46:$D$47,'418'!$D$49,'418'!$D$51,'418'!$D$53,'418'!$D$55,'418'!$D$57:$D$58,'418'!$D$60:$D$62,'418'!$D$64:$D$66,'418'!$D$68:$D$69,'418'!$D$71:$D$77,'418'!$D$79,'418'!$D$81</definedName>
    <definedName name="OSRRefD22x_0" localSheetId="81">'420'!$D$23:$D$30,'420'!$D$32:$D$35,'420'!$D$37,'420'!$D$39,'420'!$D$41,'420'!$D$43:$D$44,'420'!$D$46</definedName>
    <definedName name="OSRRefD22x_0" localSheetId="86">'423'!$D$21:$D$28,'423'!$D$30,'423'!$D$32,'423'!$D$34,'423'!$D$36,'423'!$D$38</definedName>
    <definedName name="OSRRefD22x_0" localSheetId="87">'424'!$D$24:$D$26,'424'!$D$28:$D$32,'424'!$D$34,'424'!$D$36,'424'!$D$38,'424'!$D$40,'424'!$D$42,'424'!$D$44:$D$45,'424'!$D$47,'424'!$D$49,'424'!$D$51:$D$56,'424'!$D$58</definedName>
    <definedName name="OSRRefD22x_0" localSheetId="88">'425'!$D$27:$D$35,'425'!$D$37:$D$42,'425'!$D$44,'425'!$D$46,'425'!$D$48,'425'!$D$50,'425'!$D$52,'425'!$D$54,'425'!$D$56,'425'!$D$58:$D$60,'425'!$D$62,'425'!$D$64:$D$65,'425'!$D$67:$D$73,'425'!$D$75,'425'!$D$77,'425'!$D$79</definedName>
    <definedName name="OSRRefD22x_0" localSheetId="91">'430'!$D$20:$D$27,'430'!$D$29,'430'!$D$31,'430'!$D$33,'430'!$D$35,'430'!$D$37,'430'!$D$39:$D$40,'430'!$D$42,'430'!$D$44,'430'!$D$46</definedName>
    <definedName name="OSRRefD22x_0" localSheetId="92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3">'435'!$D$25:$D$27,'435'!$D$29:$D$31,'435'!$D$33,'435'!$D$35,'435'!$D$37,'435'!$D$39,'435'!$D$41,'435'!$D$43,'435'!$D$45:$D$48,'435'!$D$50</definedName>
    <definedName name="OSRRefD22x_0" localSheetId="94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5">'445'!$D$20</definedName>
    <definedName name="OSRRefD22x_0" localSheetId="96">'450'!$D$25:$D$33,'450'!$D$35:$D$40,'450'!$D$42,'450'!$D$44,'450'!$D$46,'450'!$D$48,'450'!$D$50,'450'!$D$52,'450'!$D$54,'450'!$D$56,'450'!$D$58,'450'!$D$60:$D$62,'450'!$D$64:$D$66,'450'!$D$68:$D$74,'450'!$D$76,'450'!$D$78,'450'!$D$80:$D$81</definedName>
    <definedName name="OSRRefD22x_0" localSheetId="89">'455'!$D$20:$D$26,'455'!$D$28:$D$29,'455'!$D$31</definedName>
    <definedName name="OSRRefD22x_0" localSheetId="76">'491'!$D$33:$D$41,'491'!$D$43:$D$49,'491'!$D$51,'491'!$D$53,'491'!$D$55,'491'!$D$57:$D$59,'491'!$D$61,'491'!$D$63,'491'!$D$65,'491'!$D$67,'491'!$D$69,'491'!$D$71:$D$72,'491'!$D$74,'491'!$D$76,'491'!$D$78,'491'!$D$80,'491'!$D$82:$D$85,'491'!$D$87:$D$88,'491'!$D$90:$D$94,'491'!$D$96:$D$97,'491'!$D$99:$D$106,'491'!$D$108,'491'!$D$110,'491'!$D$112:$D$114,'491'!$D$116</definedName>
    <definedName name="OSRRefD22x_0" localSheetId="90">'492'!$D$28:$D$36,'492'!$D$38:$D$44,'492'!$D$46,'492'!$D$48,'492'!$D$50,'492'!$D$52,'492'!$D$54,'492'!$D$56,'492'!$D$58,'492'!$D$60,'492'!$D$62,'492'!$D$64,'492'!$D$66:$D$68,'492'!$D$70:$D$72,'492'!$D$74:$D$81,'492'!$D$83,'492'!$D$85,'492'!$D$87:$D$88</definedName>
    <definedName name="OSRRefD22x_0" localSheetId="98">'501'!$D$21:$D$28,'501'!$D$30:$D$35,'501'!$D$37,'501'!$D$39,'501'!$D$41,'501'!$D$43:$D$44,'501'!$D$46,'501'!$D$48,'501'!$D$50,'501'!$D$52,'501'!$D$54:$D$55,'501'!$D$57,'501'!$D$59:$D$62,'501'!$D$64,'501'!$D$66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2'!$D$77:$D$80,'Div 2'!$D$82:$D$83,'Div 2'!$D$85,'Div 2'!$D$87:$D$88</definedName>
    <definedName name="OSRRefD22x_0" localSheetId="47">'Div 3'!$D$168:$D$176,'Div 3'!$D$178:$D$184,'Div 3'!$D$186,'Div 3'!$D$188:$D$189,'Div 3'!$D$191,'Div 3'!$D$193:$D$194,'Div 3'!$D$196:$D$197,'Div 3'!$D$199,'Div 3'!$D$201,'Div 3'!$D$203,'Div 3'!$D$205:$D$206,'Div 3'!$D$208,'Div 3'!$D$210,'Div 3'!$D$212,'Div 3'!$D$214,'Div 3'!$D$216,'Div 3'!$D$218,'Div 3'!$D$220:$D$223,'Div 3'!$D$225:$D$227,'Div 3'!$D$229:$D$233,'Div 3'!$D$235:$D$236,'Div 3'!$D$238:$D$245,'Div 3'!$D$247:$D$248,'Div 3'!$D$250,'Div 3'!$D$252:$D$254,'Div 3'!$D$256</definedName>
    <definedName name="OSRRefD22x_0" localSheetId="74">'Div 4'!$D$34:$D$42,'Div 4'!$D$44:$D$50,'Div 4'!$D$52,'Div 4'!$D$54,'Div 4'!$D$56,'Div 4'!$D$58:$D$60,'Div 4'!$D$62,'Div 4'!$D$64,'Div 4'!$D$66,'Div 4'!$D$68,'Div 4'!$D$70,'Div 4'!$D$72:$D$73,'Div 4'!$D$75,'Div 4'!$D$77,'Div 4'!$D$79,'Div 4'!$D$81,'Div 4'!$D$83,'Div 4'!$D$85:$D$88,'Div 4'!$D$90:$D$91,'Div 4'!$D$93:$D$97,'Div 4'!$D$99:$D$100,'Div 4'!$D$102:$D$109,'Div 4'!$D$111,'Div 4'!$D$113,'Div 4'!$D$115:$D$117,'Div 4'!$D$119</definedName>
    <definedName name="OSRRefD22x_0" localSheetId="97">'Div 5'!$D$21:$D$28,'Div 5'!$D$30:$D$35,'Div 5'!$D$37,'Div 5'!$D$39,'Div 5'!$D$41,'Div 5'!$D$43:$D$44,'Div 5'!$D$46,'Div 5'!$D$48,'Div 5'!$D$50,'Div 5'!$D$52,'Div 5'!$D$54:$D$55,'Div 5'!$D$57,'Div 5'!$D$59:$D$62,'Div 5'!$D$64,'Div 5'!$D$66</definedName>
    <definedName name="OSRRefD22x_0" localSheetId="65">'Div 6'!$D$58:$D$66,'Div 6'!$D$68:$D$71,'Div 6'!$D$73,'Div 6'!$D$75,'Div 6'!$D$77,'Div 6'!$D$79,'Div 6'!$D$81,'Div 6'!$D$83,'Div 6'!$D$85,'Div 6'!$D$87,'Div 6'!$D$89,'Div 6'!$D$91,'Div 6'!$D$93:$D$94,'Div 6'!$D$96,'Div 6'!$D$98,'Div 6'!$D$100</definedName>
    <definedName name="OSRRefD22x_0" localSheetId="2">Summary!$D$202:$D$210,Summary!$D$212:$D$218,Summary!$D$220,Summary!$D$222:$D$223,Summary!$D$225,Summary!$D$227:$D$229,Summary!$D$231:$D$232,Summary!$D$234,Summary!$D$236,Summary!$D$238,Summary!$D$240:$D$241,Summary!$D$243:$D$244,Summary!$D$246,Summary!$D$248,Summary!$D$250,Summary!$D$252,Summary!$D$254,Summary!$D$256,Summary!$D$258:$D$261,Summary!$D$263:$D$265,Summary!$D$267:$D$271,Summary!$D$273:$D$274,Summary!$D$276:$D$283,Summary!$D$285:$D$286,Summary!$D$288,Summary!$D$290:$D$292,Summary!$D$294</definedName>
    <definedName name="OSRRefD25x_0" localSheetId="48">'300'!$D$250:$D$258</definedName>
    <definedName name="OSRRefD25x_0" localSheetId="49">'300 &amp; 317'!$D$275:$D$286</definedName>
    <definedName name="OSRRefD25x_0" localSheetId="50">'301'!$D$94:$D$96</definedName>
    <definedName name="OSRRefD25x_0" localSheetId="54">'307'!$D$118</definedName>
    <definedName name="OSRRefD25x_0" localSheetId="56">'308'!$D$115:$D$117</definedName>
    <definedName name="OSRRefD25x_0" localSheetId="75">'310 &amp; 491'!$D$128:$D$130</definedName>
    <definedName name="OSRRefD25x_0" localSheetId="57">'311'!$D$114:$D$116</definedName>
    <definedName name="OSRRefD25x_0" localSheetId="60">'315'!$D$108</definedName>
    <definedName name="OSRRefD25x_0" localSheetId="63">'316'!$D$75</definedName>
    <definedName name="OSRRefD25x_0" localSheetId="66">'317'!$D$103:$D$106</definedName>
    <definedName name="OSRRefD25x_0" localSheetId="64">'320'!$D$59:$D$63</definedName>
    <definedName name="OSRRefD25x_0" localSheetId="53">'330'!$D$134</definedName>
    <definedName name="OSRRefD25x_0" localSheetId="59">'331'!$D$147</definedName>
    <definedName name="OSRRefD25x_0" localSheetId="62">'332'!$D$87:$D$92</definedName>
    <definedName name="OSRRefD25x_0" localSheetId="79">'411'!$D$90:$D$91</definedName>
    <definedName name="OSRRefD25x_0" localSheetId="82">'413'!$D$66</definedName>
    <definedName name="OSRRefD25x_0" localSheetId="84">'415'!$D$88</definedName>
    <definedName name="OSRRefD25x_0" localSheetId="85">'418'!$D$84</definedName>
    <definedName name="OSRRefD25x_0" localSheetId="86">'423'!$D$41</definedName>
    <definedName name="OSRRefD25x_0" localSheetId="87">'424'!$D$61</definedName>
    <definedName name="OSRRefD25x_0" localSheetId="88">'425'!$D$82</definedName>
    <definedName name="OSRRefD25x_0" localSheetId="89">'455'!$D$34:$D$35</definedName>
    <definedName name="OSRRefD25x_0" localSheetId="76">'491'!$D$119:$D$121</definedName>
    <definedName name="OSRRefD25x_0" localSheetId="98">'501'!$D$69:$D$70</definedName>
    <definedName name="OSRRefD25x_0" localSheetId="47">'Div 3'!$D$259:$D$267</definedName>
    <definedName name="OSRRefD25x_0" localSheetId="74">'Div 4'!$D$122:$D$124</definedName>
    <definedName name="OSRRefD25x_0" localSheetId="97">'Div 5'!$D$69:$D$70</definedName>
    <definedName name="OSRRefD25x_0" localSheetId="65">'Div 6'!$D$103:$D$106</definedName>
    <definedName name="OSRRefD25x_0" localSheetId="2">Summary!$D$297:$D$309</definedName>
    <definedName name="OSRRefH13x_0" localSheetId="48">'300'!$H$13:$H$105</definedName>
    <definedName name="OSRRefH13x_0" localSheetId="49">'300 &amp; 317'!$H$13:$H$123</definedName>
    <definedName name="OSRRefH13x_0" localSheetId="54">'307'!$H$13:$H$46</definedName>
    <definedName name="OSRRefH13x_0" localSheetId="56">'308'!$H$13:$H$40</definedName>
    <definedName name="OSRRefH13x_0" localSheetId="68">'309'!$H$13:$H$14</definedName>
    <definedName name="OSRRefH13x_0" localSheetId="67">'310'!$H$13:$H$23</definedName>
    <definedName name="OSRRefH13x_0" localSheetId="75">'310 &amp; 491'!$H$13:$H$31</definedName>
    <definedName name="OSRRefH13x_0" localSheetId="57">'311'!$H$13:$H$39</definedName>
    <definedName name="OSRRefH13x_0" localSheetId="69">'313'!$H$13:$H$20</definedName>
    <definedName name="OSRRefH13x_0" localSheetId="55">'314'!$H$13:$H$33</definedName>
    <definedName name="OSRRefH13x_0" localSheetId="60">'315'!$H$13:$H$32</definedName>
    <definedName name="OSRRefH13x_0" localSheetId="63">'316'!$H$13:$H$25</definedName>
    <definedName name="OSRRefH13x_0" localSheetId="66">'317'!$H$13:$H$36</definedName>
    <definedName name="OSRRefH13x_0" localSheetId="64">'320'!$H$13:$H$16</definedName>
    <definedName name="OSRRefH13x_0" localSheetId="70">'321'!$H$13:$H$14</definedName>
    <definedName name="OSRRefH13x_0" localSheetId="71">'322'!$H$13:$H$14</definedName>
    <definedName name="OSRRefH13x_0" localSheetId="58">'324'!$H$13:$H$15</definedName>
    <definedName name="OSRRefH13x_0" localSheetId="72">'325'!$H$13:$H$14</definedName>
    <definedName name="OSRRefH13x_0" localSheetId="61">'326'!$H$13:$H$35</definedName>
    <definedName name="OSRRefH13x_0" localSheetId="73">'327'!$H$13</definedName>
    <definedName name="OSRRefH13x_0" localSheetId="53">'330'!$H$13:$H$50</definedName>
    <definedName name="OSRRefH13x_0" localSheetId="59">'331'!$H$13:$H$43</definedName>
    <definedName name="OSRRefH13x_0" localSheetId="62">'332'!$H$13:$H$29</definedName>
    <definedName name="OSRRefH13x_0" localSheetId="77">'405'!$H$13:$H$14</definedName>
    <definedName name="OSRRefH13x_0" localSheetId="78">'406'!$H$13:$H$14</definedName>
    <definedName name="OSRRefH13x_0" localSheetId="80">'412'!$H$13:$H$15</definedName>
    <definedName name="OSRRefH13x_0" localSheetId="82">'413'!$H$13:$H$14</definedName>
    <definedName name="OSRRefH13x_0" localSheetId="83">'414'!$H$13:$H$14</definedName>
    <definedName name="OSRRefH13x_0" localSheetId="84">'415'!$H$13:$H$14</definedName>
    <definedName name="OSRRefH13x_0" localSheetId="85">'418'!$H$13:$H$14</definedName>
    <definedName name="OSRRefH13x_0" localSheetId="81">'420'!$H$13:$H$14</definedName>
    <definedName name="OSRRefH13x_0" localSheetId="87">'424'!$H$13:$H$14</definedName>
    <definedName name="OSRRefH13x_0" localSheetId="88">'425'!$H$13:$H$17</definedName>
    <definedName name="OSRRefH13x_0" localSheetId="92">'433'!$H$13:$H$16</definedName>
    <definedName name="OSRRefH13x_0" localSheetId="93">'435'!$H$13:$H$15</definedName>
    <definedName name="OSRRefH13x_0" localSheetId="94">'444'!$H$13:$H$15</definedName>
    <definedName name="OSRRefH13x_0" localSheetId="96">'450'!$H$13:$H$15</definedName>
    <definedName name="OSRRefH13x_0" localSheetId="76">'491'!$H$13:$H$23</definedName>
    <definedName name="OSRRefH13x_0" localSheetId="90">'492'!$H$13:$H$18</definedName>
    <definedName name="OSRRefH13x_0" localSheetId="98">'501'!$H$13</definedName>
    <definedName name="OSRRefH13x_0" localSheetId="47">'Div 3'!$H$13:$H$108</definedName>
    <definedName name="OSRRefH13x_0" localSheetId="74">'Div 4'!$H$13:$H$24</definedName>
    <definedName name="OSRRefH13x_0" localSheetId="97">'Div 5'!$H$13</definedName>
    <definedName name="OSRRefH13x_0" localSheetId="65">'Div 6'!$H$13:$H$36</definedName>
    <definedName name="OSRRefH13x_0" localSheetId="2">Summary!$H$13:$H$135</definedName>
    <definedName name="OSRRefH16x_0" localSheetId="48">'300'!$H$108:$H$157</definedName>
    <definedName name="OSRRefH16x_0" localSheetId="49">'300 &amp; 317'!$H$126:$H$182</definedName>
    <definedName name="OSRRefH16x_0" localSheetId="54">'307'!$H$49:$H$68</definedName>
    <definedName name="OSRRefH16x_0" localSheetId="56">'308'!$H$43:$H$58</definedName>
    <definedName name="OSRRefH16x_0" localSheetId="68">'309'!$H$17:$H$18</definedName>
    <definedName name="OSRRefH16x_0" localSheetId="67">'310'!$H$26:$H$27</definedName>
    <definedName name="OSRRefH16x_0" localSheetId="75">'310 &amp; 491'!$H$34:$H$35</definedName>
    <definedName name="OSRRefH16x_0" localSheetId="57">'311'!$H$42:$H$57</definedName>
    <definedName name="OSRRefH16x_0" localSheetId="69">'313'!$H$23:$H$24</definedName>
    <definedName name="OSRRefH16x_0" localSheetId="55">'314'!$H$36:$H$50</definedName>
    <definedName name="OSRRefH16x_0" localSheetId="60">'315'!$H$35:$H$49</definedName>
    <definedName name="OSRRefH16x_0" localSheetId="66">'317'!$H$39:$H$52</definedName>
    <definedName name="OSRRefH16x_0" localSheetId="64">'320'!$H$19:$H$23</definedName>
    <definedName name="OSRRefH16x_0" localSheetId="70">'321'!$H$17:$H$18</definedName>
    <definedName name="OSRRefH16x_0" localSheetId="71">'322'!$H$17:$H$18</definedName>
    <definedName name="OSRRefH16x_0" localSheetId="58">'324'!$H$18:$H$19</definedName>
    <definedName name="OSRRefH16x_0" localSheetId="72">'325'!$H$17:$H$18</definedName>
    <definedName name="OSRRefH16x_0" localSheetId="61">'326'!$H$38:$H$55</definedName>
    <definedName name="OSRRefH16x_0" localSheetId="73">'327'!$H$16</definedName>
    <definedName name="OSRRefH16x_0" localSheetId="53">'330'!$H$53:$H$75</definedName>
    <definedName name="OSRRefH16x_0" localSheetId="59">'331'!$H$46:$H$68</definedName>
    <definedName name="OSRRefH16x_0" localSheetId="62">'332'!$H$32:$H$36</definedName>
    <definedName name="OSRRefH16x_0" localSheetId="77">'405'!$H$17:$H$18</definedName>
    <definedName name="OSRRefH16x_0" localSheetId="78">'406'!$H$17:$H$18</definedName>
    <definedName name="OSRRefH16x_0" localSheetId="80">'412'!$H$18</definedName>
    <definedName name="OSRRefH16x_0" localSheetId="82">'413'!$H$17:$H$18</definedName>
    <definedName name="OSRRefH16x_0" localSheetId="83">'414'!$H$17:$H$18</definedName>
    <definedName name="OSRRefH16x_0" localSheetId="84">'415'!$H$17:$H$18</definedName>
    <definedName name="OSRRefH16x_0" localSheetId="85">'418'!$H$17:$H$18</definedName>
    <definedName name="OSRRefH16x_0" localSheetId="81">'420'!$H$17</definedName>
    <definedName name="OSRRefH16x_0" localSheetId="86">'423'!$H$15</definedName>
    <definedName name="OSRRefH16x_0" localSheetId="87">'424'!$H$17:$H$18</definedName>
    <definedName name="OSRRefH16x_0" localSheetId="88">'425'!$H$20:$H$21</definedName>
    <definedName name="OSRRefH16x_0" localSheetId="92">'433'!$H$19:$H$20</definedName>
    <definedName name="OSRRefH16x_0" localSheetId="93">'435'!$H$18:$H$19</definedName>
    <definedName name="OSRRefH16x_0" localSheetId="94">'444'!$H$18:$H$19</definedName>
    <definedName name="OSRRefH16x_0" localSheetId="96">'450'!$H$18:$H$19</definedName>
    <definedName name="OSRRefH16x_0" localSheetId="76">'491'!$H$26:$H$27</definedName>
    <definedName name="OSRRefH16x_0" localSheetId="90">'492'!$H$21:$H$22</definedName>
    <definedName name="OSRRefH16x_0" localSheetId="47">'Div 3'!$H$111:$H$162</definedName>
    <definedName name="OSRRefH16x_0" localSheetId="74">'Div 4'!$H$27:$H$28</definedName>
    <definedName name="OSRRefH16x_0" localSheetId="65">'Div 6'!$H$39:$H$52</definedName>
    <definedName name="OSRRefH16x_0" localSheetId="2">Summary!$H$138:$H$196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'300'!$H$163:$H$171</definedName>
    <definedName name="OSRRefH22_0x_0" localSheetId="49">'300 &amp; 317'!$H$188:$H$196</definedName>
    <definedName name="OSRRefH22_0x_0" localSheetId="50">'301'!$H$20:$H$27</definedName>
    <definedName name="OSRRefH22_0x_0" localSheetId="51">'306'!$H$20:$H$28</definedName>
    <definedName name="OSRRefH22_0x_0" localSheetId="54">'307'!$H$74:$H$81</definedName>
    <definedName name="OSRRefH22_0x_0" localSheetId="56">'308'!$H$64:$H$72</definedName>
    <definedName name="OSRRefH22_0x_0" localSheetId="68">'309'!$H$24:$H$31</definedName>
    <definedName name="OSRRefH22_0x_0" localSheetId="67">'310'!$H$33:$H$40</definedName>
    <definedName name="OSRRefH22_0x_0" localSheetId="75">'310 &amp; 491'!$H$41:$H$49</definedName>
    <definedName name="OSRRefH22_0x_0" localSheetId="57">'311'!$H$63:$H$71</definedName>
    <definedName name="OSRRefH22_0x_0" localSheetId="69">'313'!$H$30:$H$37</definedName>
    <definedName name="OSRRefH22_0x_0" localSheetId="55">'314'!$H$56:$H$63</definedName>
    <definedName name="OSRRefH22_0x_0" localSheetId="60">'315'!$H$55:$H$62</definedName>
    <definedName name="OSRRefH22_0x_0" localSheetId="63">'316'!$H$33:$H$40</definedName>
    <definedName name="OSRRefH22_0x_0" localSheetId="66">'317'!$H$58:$H$66</definedName>
    <definedName name="OSRRefH22_0x_0" localSheetId="64">'320'!$H$29:$H$36</definedName>
    <definedName name="OSRRefH22_0x_0" localSheetId="70">'321'!$H$24:$H$30</definedName>
    <definedName name="OSRRefH22_0x_0" localSheetId="71">'322'!$H$24:$H$31</definedName>
    <definedName name="OSRRefH22_0x_0" localSheetId="58">'324'!$H$25</definedName>
    <definedName name="OSRRefH22_0x_0" localSheetId="72">'325'!$H$24:$H$31</definedName>
    <definedName name="OSRRefH22_0x_0" localSheetId="61">'326'!$H$61:$H$68</definedName>
    <definedName name="OSRRefH22_0x_0" localSheetId="73">'327'!$H$22</definedName>
    <definedName name="OSRRefH22_0x_0" localSheetId="53">'330'!$H$81:$H$88</definedName>
    <definedName name="OSRRefH22_0x_0" localSheetId="59">'331'!$H$74:$H$81</definedName>
    <definedName name="OSRRefH22_0x_0" localSheetId="62">'332'!$H$42:$H$49</definedName>
    <definedName name="OSRRefH22_0x_0" localSheetId="52">'335'!$H$20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'412'!$H$24:$H$31</definedName>
    <definedName name="OSRRefH22_0x_0" localSheetId="82">'413'!$H$24:$H$31</definedName>
    <definedName name="OSRRefH22_0x_0" localSheetId="83">'414'!$H$24:$H$31</definedName>
    <definedName name="OSRRefH22_0x_0" localSheetId="84">'415'!$H$24:$H$31</definedName>
    <definedName name="OSRRefH22_0x_0" localSheetId="85">'418'!$H$24:$H$31</definedName>
    <definedName name="OSRRefH22_0x_0" localSheetId="81">'420'!$H$23:$H$30</definedName>
    <definedName name="OSRRefH22_0x_0" localSheetId="86">'423'!$H$21:$H$28</definedName>
    <definedName name="OSRRefH22_0x_0" localSheetId="87">'424'!$H$24:$H$26</definedName>
    <definedName name="OSRRefH22_0x_0" localSheetId="88">'425'!$H$27:$H$35</definedName>
    <definedName name="OSRRefH22_0x_0" localSheetId="91">'430'!$H$20:$H$27</definedName>
    <definedName name="OSRRefH22_0x_0" localSheetId="92">'433'!$H$26:$H$34</definedName>
    <definedName name="OSRRefH22_0x_0" localSheetId="93">'435'!$H$25:$H$27</definedName>
    <definedName name="OSRRefH22_0x_0" localSheetId="94">'444'!$H$25:$H$33</definedName>
    <definedName name="OSRRefH22_0x_0" localSheetId="95">'445'!$H$20</definedName>
    <definedName name="OSRRefH22_0x_0" localSheetId="96">'450'!$H$25:$H$33</definedName>
    <definedName name="OSRRefH22_0x_0" localSheetId="89">'455'!$H$20:$H$26</definedName>
    <definedName name="OSRRefH22_0x_0" localSheetId="76">'491'!$H$33:$H$41</definedName>
    <definedName name="OSRRefH22_0x_0" localSheetId="90">'492'!$H$28:$H$36</definedName>
    <definedName name="OSRRefH22_0x_0" localSheetId="98">'501'!$H$21:$H$28</definedName>
    <definedName name="OSRRefH22_0x_0" localSheetId="39">'Div 2'!$H$20:$H$30</definedName>
    <definedName name="OSRRefH22_0x_0" localSheetId="47">'Div 3'!$H$168:$H$176</definedName>
    <definedName name="OSRRefH22_0x_0" localSheetId="74">'Div 4'!$H$34:$H$42</definedName>
    <definedName name="OSRRefH22_0x_0" localSheetId="97">'Div 5'!$H$21:$H$28</definedName>
    <definedName name="OSRRefH22_0x_0" localSheetId="65">'Div 6'!$H$58:$H$66</definedName>
    <definedName name="OSRRefH22_0x_0" localSheetId="2">Summary!$H$202:$H$210</definedName>
    <definedName name="OSRRefH22_10x_0" localSheetId="41">'201'!$H$50:$H$52</definedName>
    <definedName name="OSRRefH22_10x_0" localSheetId="42">'202'!$H$51:$H$53</definedName>
    <definedName name="OSRRefH22_10x_0" localSheetId="43">'203'!$H$55:$H$56</definedName>
    <definedName name="OSRRefH22_10x_0" localSheetId="44">'204'!$H$60:$H$61</definedName>
    <definedName name="OSRRefH22_10x_0" localSheetId="48">'300'!$H$200:$H$201</definedName>
    <definedName name="OSRRefH22_10x_0" localSheetId="49">'300 &amp; 317'!$H$225:$H$226</definedName>
    <definedName name="OSRRefH22_10x_0" localSheetId="50">'301'!$H$56</definedName>
    <definedName name="OSRRefH22_10x_0" localSheetId="51">'306'!$H$57</definedName>
    <definedName name="OSRRefH22_10x_0" localSheetId="54">'307'!$H$106:$H$107</definedName>
    <definedName name="OSRRefH22_10x_0" localSheetId="56">'308'!$H$99:$H$100</definedName>
    <definedName name="OSRRefH22_10x_0" localSheetId="68">'309'!$H$56:$H$58</definedName>
    <definedName name="OSRRefH22_10x_0" localSheetId="67">'310'!$H$67</definedName>
    <definedName name="OSRRefH22_10x_0" localSheetId="75">'310 &amp; 491'!$H$77:$H$78</definedName>
    <definedName name="OSRRefH22_10x_0" localSheetId="57">'311'!$H$98:$H$99</definedName>
    <definedName name="OSRRefH22_10x_0" localSheetId="69">'313'!$H$63:$H$64</definedName>
    <definedName name="OSRRefH22_10x_0" localSheetId="60">'315'!$H$91:$H$92</definedName>
    <definedName name="OSRRefH22_10x_0" localSheetId="63">'316'!$H$64:$H$68</definedName>
    <definedName name="OSRRefH22_10x_0" localSheetId="66">'317'!$H$89</definedName>
    <definedName name="OSRRefH22_10x_0" localSheetId="70">'321'!$H$58:$H$62</definedName>
    <definedName name="OSRRefH22_10x_0" localSheetId="71">'322'!$H$55:$H$56</definedName>
    <definedName name="OSRRefH22_10x_0" localSheetId="72">'325'!$H$57</definedName>
    <definedName name="OSRRefH22_10x_0" localSheetId="61">'326'!$H$91</definedName>
    <definedName name="OSRRefH22_10x_0" localSheetId="53">'330'!$H$113</definedName>
    <definedName name="OSRRefH22_10x_0" localSheetId="59">'331'!$H$108</definedName>
    <definedName name="OSRRefH22_10x_0" localSheetId="62">'332'!$H$74</definedName>
    <definedName name="OSRRefH22_10x_0" localSheetId="77">'405'!$H$55:$H$56</definedName>
    <definedName name="OSRRefH22_10x_0" localSheetId="78">'406'!$H$57:$H$58</definedName>
    <definedName name="OSRRefH22_10x_0" localSheetId="79">'411'!$H$55</definedName>
    <definedName name="OSRRefH22_10x_0" localSheetId="80">'412'!$H$57</definedName>
    <definedName name="OSRRefH22_10x_0" localSheetId="82">'413'!$H$63</definedName>
    <definedName name="OSRRefH22_10x_0" localSheetId="83">'414'!$H$57</definedName>
    <definedName name="OSRRefH22_10x_0" localSheetId="84">'415'!$H$57</definedName>
    <definedName name="OSRRefH22_10x_0" localSheetId="85">'418'!$H$57:$H$58</definedName>
    <definedName name="OSRRefH22_10x_0" localSheetId="87">'424'!$H$51:$H$56</definedName>
    <definedName name="OSRRefH22_10x_0" localSheetId="88">'425'!$H$62</definedName>
    <definedName name="OSRRefH22_10x_0" localSheetId="92">'433'!$H$59:$H$61</definedName>
    <definedName name="OSRRefH22_10x_0" localSheetId="94">'444'!$H$58</definedName>
    <definedName name="OSRRefH22_10x_0" localSheetId="96">'450'!$H$58</definedName>
    <definedName name="OSRRefH22_10x_0" localSheetId="76">'491'!$H$69</definedName>
    <definedName name="OSRRefH22_10x_0" localSheetId="90">'492'!$H$62</definedName>
    <definedName name="OSRRefH22_10x_0" localSheetId="98">'501'!$H$54:$H$55</definedName>
    <definedName name="OSRRefH22_10x_0" localSheetId="39">'Div 2'!$H$57</definedName>
    <definedName name="OSRRefH22_10x_0" localSheetId="47">'Div 3'!$H$205:$H$206</definedName>
    <definedName name="OSRRefH22_10x_0" localSheetId="74">'Div 4'!$H$70</definedName>
    <definedName name="OSRRefH22_10x_0" localSheetId="97">'Div 5'!$H$54:$H$55</definedName>
    <definedName name="OSRRefH22_10x_0" localSheetId="65">'Div 6'!$H$89</definedName>
    <definedName name="OSRRefH22_10x_0" localSheetId="2">Summary!$H$240:$H$241</definedName>
    <definedName name="OSRRefH22_11x_0" localSheetId="41">'201'!$H$54:$H$56</definedName>
    <definedName name="OSRRefH22_11x_0" localSheetId="42">'202'!$H$55</definedName>
    <definedName name="OSRRefH22_11x_0" localSheetId="43">'203'!$H$58:$H$59</definedName>
    <definedName name="OSRRefH22_11x_0" localSheetId="48">'300'!$H$203</definedName>
    <definedName name="OSRRefH22_11x_0" localSheetId="49">'300 &amp; 317'!$H$228</definedName>
    <definedName name="OSRRefH22_11x_0" localSheetId="50">'301'!$H$58</definedName>
    <definedName name="OSRRefH22_11x_0" localSheetId="54">'307'!$H$109:$H$111</definedName>
    <definedName name="OSRRefH22_11x_0" localSheetId="56">'308'!$H$102:$H$105</definedName>
    <definedName name="OSRRefH22_11x_0" localSheetId="68">'309'!$H$60</definedName>
    <definedName name="OSRRefH22_11x_0" localSheetId="67">'310'!$H$69</definedName>
    <definedName name="OSRRefH22_11x_0" localSheetId="75">'310 &amp; 491'!$H$80:$H$81</definedName>
    <definedName name="OSRRefH22_11x_0" localSheetId="57">'311'!$H$101:$H$104</definedName>
    <definedName name="OSRRefH22_11x_0" localSheetId="69">'313'!$H$66:$H$67</definedName>
    <definedName name="OSRRefH22_11x_0" localSheetId="60">'315'!$H$94:$H$98</definedName>
    <definedName name="OSRRefH22_11x_0" localSheetId="63">'316'!$H$70</definedName>
    <definedName name="OSRRefH22_11x_0" localSheetId="66">'317'!$H$91</definedName>
    <definedName name="OSRRefH22_11x_0" localSheetId="70">'321'!$H$64</definedName>
    <definedName name="OSRRefH22_11x_0" localSheetId="71">'322'!$H$58:$H$60</definedName>
    <definedName name="OSRRefH22_11x_0" localSheetId="72">'325'!$H$59:$H$61</definedName>
    <definedName name="OSRRefH22_11x_0" localSheetId="61">'326'!$H$93</definedName>
    <definedName name="OSRRefH22_11x_0" localSheetId="53">'330'!$H$115:$H$116</definedName>
    <definedName name="OSRRefH22_11x_0" localSheetId="59">'331'!$H$110</definedName>
    <definedName name="OSRRefH22_11x_0" localSheetId="62">'332'!$H$76:$H$80</definedName>
    <definedName name="OSRRefH22_11x_0" localSheetId="77">'405'!$H$58</definedName>
    <definedName name="OSRRefH22_11x_0" localSheetId="78">'406'!$H$60:$H$65</definedName>
    <definedName name="OSRRefH22_11x_0" localSheetId="79">'411'!$H$57:$H$59</definedName>
    <definedName name="OSRRefH22_11x_0" localSheetId="80">'412'!$H$59:$H$61</definedName>
    <definedName name="OSRRefH22_11x_0" localSheetId="83">'414'!$H$59</definedName>
    <definedName name="OSRRefH22_11x_0" localSheetId="84">'415'!$H$59:$H$62</definedName>
    <definedName name="OSRRefH22_11x_0" localSheetId="85">'418'!$H$60:$H$62</definedName>
    <definedName name="OSRRefH22_11x_0" localSheetId="87">'424'!$H$58</definedName>
    <definedName name="OSRRefH22_11x_0" localSheetId="88">'425'!$H$64:$H$65</definedName>
    <definedName name="OSRRefH22_11x_0" localSheetId="92">'433'!$H$63:$H$65</definedName>
    <definedName name="OSRRefH22_11x_0" localSheetId="94">'444'!$H$60:$H$62</definedName>
    <definedName name="OSRRefH22_11x_0" localSheetId="96">'450'!$H$60:$H$62</definedName>
    <definedName name="OSRRefH22_11x_0" localSheetId="76">'491'!$H$71:$H$72</definedName>
    <definedName name="OSRRefH22_11x_0" localSheetId="90">'492'!$H$64</definedName>
    <definedName name="OSRRefH22_11x_0" localSheetId="98">'501'!$H$57</definedName>
    <definedName name="OSRRefH22_11x_0" localSheetId="39">'Div 2'!$H$59</definedName>
    <definedName name="OSRRefH22_11x_0" localSheetId="47">'Div 3'!$H$208</definedName>
    <definedName name="OSRRefH22_11x_0" localSheetId="74">'Div 4'!$H$72:$H$73</definedName>
    <definedName name="OSRRefH22_11x_0" localSheetId="97">'Div 5'!$H$57</definedName>
    <definedName name="OSRRefH22_11x_0" localSheetId="65">'Div 6'!$H$91</definedName>
    <definedName name="OSRRefH22_11x_0" localSheetId="2">Summary!$H$243:$H$244</definedName>
    <definedName name="OSRRefH22_12x_0" localSheetId="41">'201'!$H$58</definedName>
    <definedName name="OSRRefH22_12x_0" localSheetId="42">'202'!$H$57</definedName>
    <definedName name="OSRRefH22_12x_0" localSheetId="43">'203'!$H$61:$H$63</definedName>
    <definedName name="OSRRefH22_12x_0" localSheetId="48">'300'!$H$205</definedName>
    <definedName name="OSRRefH22_12x_0" localSheetId="49">'300 &amp; 317'!$H$230</definedName>
    <definedName name="OSRRefH22_12x_0" localSheetId="50">'301'!$H$60</definedName>
    <definedName name="OSRRefH22_12x_0" localSheetId="54">'307'!$H$113</definedName>
    <definedName name="OSRRefH22_12x_0" localSheetId="56">'308'!$H$107:$H$108</definedName>
    <definedName name="OSRRefH22_12x_0" localSheetId="68">'309'!$H$62:$H$67</definedName>
    <definedName name="OSRRefH22_12x_0" localSheetId="67">'310'!$H$71</definedName>
    <definedName name="OSRRefH22_12x_0" localSheetId="75">'310 &amp; 491'!$H$83</definedName>
    <definedName name="OSRRefH22_12x_0" localSheetId="57">'311'!$H$106:$H$107</definedName>
    <definedName name="OSRRefH22_12x_0" localSheetId="69">'313'!$H$69:$H$74</definedName>
    <definedName name="OSRRefH22_12x_0" localSheetId="60">'315'!$H$100</definedName>
    <definedName name="OSRRefH22_12x_0" localSheetId="63">'316'!$H$72</definedName>
    <definedName name="OSRRefH22_12x_0" localSheetId="66">'317'!$H$93:$H$94</definedName>
    <definedName name="OSRRefH22_12x_0" localSheetId="70">'321'!$H$66</definedName>
    <definedName name="OSRRefH22_12x_0" localSheetId="71">'322'!$H$62</definedName>
    <definedName name="OSRRefH22_12x_0" localSheetId="72">'325'!$H$63:$H$66</definedName>
    <definedName name="OSRRefH22_12x_0" localSheetId="61">'326'!$H$95</definedName>
    <definedName name="OSRRefH22_12x_0" localSheetId="53">'330'!$H$118:$H$119</definedName>
    <definedName name="OSRRefH22_12x_0" localSheetId="59">'331'!$H$112</definedName>
    <definedName name="OSRRefH22_12x_0" localSheetId="62">'332'!$H$82</definedName>
    <definedName name="OSRRefH22_12x_0" localSheetId="77">'405'!$H$60:$H$62</definedName>
    <definedName name="OSRRefH22_12x_0" localSheetId="78">'406'!$H$67</definedName>
    <definedName name="OSRRefH22_12x_0" localSheetId="79">'411'!$H$61:$H$65</definedName>
    <definedName name="OSRRefH22_12x_0" localSheetId="80">'412'!$H$63:$H$69</definedName>
    <definedName name="OSRRefH22_12x_0" localSheetId="83">'414'!$H$61</definedName>
    <definedName name="OSRRefH22_12x_0" localSheetId="84">'415'!$H$64:$H$68</definedName>
    <definedName name="OSRRefH22_12x_0" localSheetId="85">'418'!$H$64:$H$66</definedName>
    <definedName name="OSRRefH22_12x_0" localSheetId="88">'425'!$H$67:$H$73</definedName>
    <definedName name="OSRRefH22_12x_0" localSheetId="92">'433'!$H$67:$H$73</definedName>
    <definedName name="OSRRefH22_12x_0" localSheetId="94">'444'!$H$64:$H$66</definedName>
    <definedName name="OSRRefH22_12x_0" localSheetId="96">'450'!$H$64:$H$66</definedName>
    <definedName name="OSRRefH22_12x_0" localSheetId="76">'491'!$H$74</definedName>
    <definedName name="OSRRefH22_12x_0" localSheetId="90">'492'!$H$66:$H$68</definedName>
    <definedName name="OSRRefH22_12x_0" localSheetId="98">'501'!$H$59:$H$62</definedName>
    <definedName name="OSRRefH22_12x_0" localSheetId="39">'Div 2'!$H$61:$H$64</definedName>
    <definedName name="OSRRefH22_12x_0" localSheetId="47">'Div 3'!$H$210</definedName>
    <definedName name="OSRRefH22_12x_0" localSheetId="74">'Div 4'!$H$75</definedName>
    <definedName name="OSRRefH22_12x_0" localSheetId="97">'Div 5'!$H$59:$H$62</definedName>
    <definedName name="OSRRefH22_12x_0" localSheetId="65">'Div 6'!$H$93:$H$94</definedName>
    <definedName name="OSRRefH22_12x_0" localSheetId="2">Summary!$H$246</definedName>
    <definedName name="OSRRefH22_13x_0" localSheetId="41">'201'!$H$60:$H$62</definedName>
    <definedName name="OSRRefH22_13x_0" localSheetId="42">'202'!$H$59:$H$61</definedName>
    <definedName name="OSRRefH22_13x_0" localSheetId="43">'203'!$H$65</definedName>
    <definedName name="OSRRefH22_13x_0" localSheetId="48">'300'!$H$207</definedName>
    <definedName name="OSRRefH22_13x_0" localSheetId="49">'300 &amp; 317'!$H$232</definedName>
    <definedName name="OSRRefH22_13x_0" localSheetId="50">'301'!$H$62</definedName>
    <definedName name="OSRRefH22_13x_0" localSheetId="54">'307'!$H$115</definedName>
    <definedName name="OSRRefH22_13x_0" localSheetId="56">'308'!$H$110</definedName>
    <definedName name="OSRRefH22_13x_0" localSheetId="68">'309'!$H$69</definedName>
    <definedName name="OSRRefH22_13x_0" localSheetId="67">'310'!$H$73</definedName>
    <definedName name="OSRRefH22_13x_0" localSheetId="75">'310 &amp; 491'!$H$85</definedName>
    <definedName name="OSRRefH22_13x_0" localSheetId="57">'311'!$H$109</definedName>
    <definedName name="OSRRefH22_13x_0" localSheetId="69">'313'!$H$76</definedName>
    <definedName name="OSRRefH22_13x_0" localSheetId="60">'315'!$H$102</definedName>
    <definedName name="OSRRefH22_13x_0" localSheetId="66">'317'!$H$96</definedName>
    <definedName name="OSRRefH22_13x_0" localSheetId="70">'321'!$H$68</definedName>
    <definedName name="OSRRefH22_13x_0" localSheetId="71">'322'!$H$64:$H$70</definedName>
    <definedName name="OSRRefH22_13x_0" localSheetId="72">'325'!$H$68:$H$69</definedName>
    <definedName name="OSRRefH22_13x_0" localSheetId="61">'326'!$H$97:$H$98</definedName>
    <definedName name="OSRRefH22_13x_0" localSheetId="53">'330'!$H$121</definedName>
    <definedName name="OSRRefH22_13x_0" localSheetId="59">'331'!$H$114</definedName>
    <definedName name="OSRRefH22_13x_0" localSheetId="62">'332'!$H$84</definedName>
    <definedName name="OSRRefH22_13x_0" localSheetId="77">'405'!$H$64:$H$65</definedName>
    <definedName name="OSRRefH22_13x_0" localSheetId="78">'406'!$H$69</definedName>
    <definedName name="OSRRefH22_13x_0" localSheetId="79">'411'!$H$67:$H$68</definedName>
    <definedName name="OSRRefH22_13x_0" localSheetId="80">'412'!$H$71</definedName>
    <definedName name="OSRRefH22_13x_0" localSheetId="83">'414'!$H$63:$H$69</definedName>
    <definedName name="OSRRefH22_13x_0" localSheetId="84">'415'!$H$70:$H$71</definedName>
    <definedName name="OSRRefH22_13x_0" localSheetId="85">'418'!$H$68:$H$69</definedName>
    <definedName name="OSRRefH22_13x_0" localSheetId="88">'425'!$H$75</definedName>
    <definedName name="OSRRefH22_13x_0" localSheetId="92">'433'!$H$75</definedName>
    <definedName name="OSRRefH22_13x_0" localSheetId="94">'444'!$H$68:$H$75</definedName>
    <definedName name="OSRRefH22_13x_0" localSheetId="96">'450'!$H$68:$H$74</definedName>
    <definedName name="OSRRefH22_13x_0" localSheetId="76">'491'!$H$76</definedName>
    <definedName name="OSRRefH22_13x_0" localSheetId="90">'492'!$H$70:$H$72</definedName>
    <definedName name="OSRRefH22_13x_0" localSheetId="98">'501'!$H$64</definedName>
    <definedName name="OSRRefH22_13x_0" localSheetId="39">'Div 2'!$H$66:$H$69</definedName>
    <definedName name="OSRRefH22_13x_0" localSheetId="47">'Div 3'!$H$212</definedName>
    <definedName name="OSRRefH22_13x_0" localSheetId="74">'Div 4'!$H$77</definedName>
    <definedName name="OSRRefH22_13x_0" localSheetId="97">'Div 5'!$H$64</definedName>
    <definedName name="OSRRefH22_13x_0" localSheetId="65">'Div 6'!$H$96</definedName>
    <definedName name="OSRRefH22_13x_0" localSheetId="2">Summary!$H$248</definedName>
    <definedName name="OSRRefH22_14x_0" localSheetId="41">'201'!$H$64</definedName>
    <definedName name="OSRRefH22_14x_0" localSheetId="42">'202'!$H$63</definedName>
    <definedName name="OSRRefH22_14x_0" localSheetId="43">'203'!$H$67</definedName>
    <definedName name="OSRRefH22_14x_0" localSheetId="48">'300'!$H$209</definedName>
    <definedName name="OSRRefH22_14x_0" localSheetId="49">'300 &amp; 317'!$H$234</definedName>
    <definedName name="OSRRefH22_14x_0" localSheetId="50">'301'!$H$64:$H$67</definedName>
    <definedName name="OSRRefH22_14x_0" localSheetId="56">'308'!$H$112</definedName>
    <definedName name="OSRRefH22_14x_0" localSheetId="67">'310'!$H$75:$H$77</definedName>
    <definedName name="OSRRefH22_14x_0" localSheetId="75">'310 &amp; 491'!$H$87</definedName>
    <definedName name="OSRRefH22_14x_0" localSheetId="57">'311'!$H$111</definedName>
    <definedName name="OSRRefH22_14x_0" localSheetId="69">'313'!$H$78</definedName>
    <definedName name="OSRRefH22_14x_0" localSheetId="60">'315'!$H$104:$H$105</definedName>
    <definedName name="OSRRefH22_14x_0" localSheetId="66">'317'!$H$98</definedName>
    <definedName name="OSRRefH22_14x_0" localSheetId="71">'322'!$H$72</definedName>
    <definedName name="OSRRefH22_14x_0" localSheetId="72">'325'!$H$71:$H$76</definedName>
    <definedName name="OSRRefH22_14x_0" localSheetId="61">'326'!$H$100:$H$102</definedName>
    <definedName name="OSRRefH22_14x_0" localSheetId="53">'330'!$H$123:$H$125</definedName>
    <definedName name="OSRRefH22_14x_0" localSheetId="59">'331'!$H$116:$H$118</definedName>
    <definedName name="OSRRefH22_14x_0" localSheetId="77">'405'!$H$67:$H$73</definedName>
    <definedName name="OSRRefH22_14x_0" localSheetId="79">'411'!$H$70:$H$77</definedName>
    <definedName name="OSRRefH22_14x_0" localSheetId="80">'412'!$H$73</definedName>
    <definedName name="OSRRefH22_14x_0" localSheetId="83">'414'!$H$71</definedName>
    <definedName name="OSRRefH22_14x_0" localSheetId="84">'415'!$H$73:$H$79</definedName>
    <definedName name="OSRRefH22_14x_0" localSheetId="85">'418'!$H$71:$H$77</definedName>
    <definedName name="OSRRefH22_14x_0" localSheetId="88">'425'!$H$77</definedName>
    <definedName name="OSRRefH22_14x_0" localSheetId="92">'433'!$H$77</definedName>
    <definedName name="OSRRefH22_14x_0" localSheetId="94">'444'!$H$77</definedName>
    <definedName name="OSRRefH22_14x_0" localSheetId="96">'450'!$H$76</definedName>
    <definedName name="OSRRefH22_14x_0" localSheetId="76">'491'!$H$78</definedName>
    <definedName name="OSRRefH22_14x_0" localSheetId="90">'492'!$H$74:$H$81</definedName>
    <definedName name="OSRRefH22_14x_0" localSheetId="98">'501'!$H$66</definedName>
    <definedName name="OSRRefH22_14x_0" localSheetId="39">'Div 2'!$H$71:$H$72</definedName>
    <definedName name="OSRRefH22_14x_0" localSheetId="47">'Div 3'!$H$214</definedName>
    <definedName name="OSRRefH22_14x_0" localSheetId="74">'Div 4'!$H$79</definedName>
    <definedName name="OSRRefH22_14x_0" localSheetId="97">'Div 5'!$H$66</definedName>
    <definedName name="OSRRefH22_14x_0" localSheetId="65">'Div 6'!$H$98</definedName>
    <definedName name="OSRRefH22_14x_0" localSheetId="2">Summary!$H$250</definedName>
    <definedName name="OSRRefH22_15x_0" localSheetId="41">'201'!$H$66</definedName>
    <definedName name="OSRRefH22_15x_0" localSheetId="42">'202'!$H$65</definedName>
    <definedName name="OSRRefH22_15x_0" localSheetId="43">'203'!$H$69</definedName>
    <definedName name="OSRRefH22_15x_0" localSheetId="48">'300'!$H$211</definedName>
    <definedName name="OSRRefH22_15x_0" localSheetId="49">'300 &amp; 317'!$H$236</definedName>
    <definedName name="OSRRefH22_15x_0" localSheetId="50">'301'!$H$69</definedName>
    <definedName name="OSRRefH22_15x_0" localSheetId="67">'310'!$H$79</definedName>
    <definedName name="OSRRefH22_15x_0" localSheetId="75">'310 &amp; 491'!$H$89</definedName>
    <definedName name="OSRRefH22_15x_0" localSheetId="66">'317'!$H$100</definedName>
    <definedName name="OSRRefH22_15x_0" localSheetId="71">'322'!$H$74</definedName>
    <definedName name="OSRRefH22_15x_0" localSheetId="72">'325'!$H$78</definedName>
    <definedName name="OSRRefH22_15x_0" localSheetId="61">'326'!$H$104</definedName>
    <definedName name="OSRRefH22_15x_0" localSheetId="53">'330'!$H$127</definedName>
    <definedName name="OSRRefH22_15x_0" localSheetId="59">'331'!$H$120:$H$121</definedName>
    <definedName name="OSRRefH22_15x_0" localSheetId="77">'405'!$H$75</definedName>
    <definedName name="OSRRefH22_15x_0" localSheetId="79">'411'!$H$79</definedName>
    <definedName name="OSRRefH22_15x_0" localSheetId="83">'414'!$H$73</definedName>
    <definedName name="OSRRefH22_15x_0" localSheetId="84">'415'!$H$81</definedName>
    <definedName name="OSRRefH22_15x_0" localSheetId="85">'418'!$H$79</definedName>
    <definedName name="OSRRefH22_15x_0" localSheetId="88">'425'!$H$79</definedName>
    <definedName name="OSRRefH22_15x_0" localSheetId="92">'433'!$H$79:$H$80</definedName>
    <definedName name="OSRRefH22_15x_0" localSheetId="94">'444'!$H$79</definedName>
    <definedName name="OSRRefH22_15x_0" localSheetId="96">'450'!$H$78</definedName>
    <definedName name="OSRRefH22_15x_0" localSheetId="76">'491'!$H$80</definedName>
    <definedName name="OSRRefH22_15x_0" localSheetId="90">'492'!$H$83</definedName>
    <definedName name="OSRRefH22_15x_0" localSheetId="39">'Div 2'!$H$74:$H$75</definedName>
    <definedName name="OSRRefH22_15x_0" localSheetId="47">'Div 3'!$H$216</definedName>
    <definedName name="OSRRefH22_15x_0" localSheetId="74">'Div 4'!$H$81</definedName>
    <definedName name="OSRRefH22_15x_0" localSheetId="65">'Div 6'!$H$100</definedName>
    <definedName name="OSRRefH22_15x_0" localSheetId="2">Summary!$H$252</definedName>
    <definedName name="OSRRefH22_16x_0" localSheetId="41">'201'!$H$68:$H$69</definedName>
    <definedName name="OSRRefH22_16x_0" localSheetId="42">'202'!$H$67</definedName>
    <definedName name="OSRRefH22_16x_0" localSheetId="48">'300'!$H$213:$H$216</definedName>
    <definedName name="OSRRefH22_16x_0" localSheetId="49">'300 &amp; 317'!$H$238:$H$241</definedName>
    <definedName name="OSRRefH22_16x_0" localSheetId="50">'301'!$H$71:$H$73</definedName>
    <definedName name="OSRRefH22_16x_0" localSheetId="67">'310'!$H$81:$H$84</definedName>
    <definedName name="OSRRefH22_16x_0" localSheetId="75">'310 &amp; 491'!$H$91:$H$94</definedName>
    <definedName name="OSRRefH22_16x_0" localSheetId="72">'325'!$H$80</definedName>
    <definedName name="OSRRefH22_16x_0" localSheetId="61">'326'!$H$106:$H$110</definedName>
    <definedName name="OSRRefH22_16x_0" localSheetId="53">'330'!$H$129</definedName>
    <definedName name="OSRRefH22_16x_0" localSheetId="59">'331'!$H$123:$H$125</definedName>
    <definedName name="OSRRefH22_16x_0" localSheetId="77">'405'!$H$77</definedName>
    <definedName name="OSRRefH22_16x_0" localSheetId="79">'411'!$H$81</definedName>
    <definedName name="OSRRefH22_16x_0" localSheetId="84">'415'!$H$83</definedName>
    <definedName name="OSRRefH22_16x_0" localSheetId="85">'418'!$H$81</definedName>
    <definedName name="OSRRefH22_16x_0" localSheetId="94">'444'!$H$81</definedName>
    <definedName name="OSRRefH22_16x_0" localSheetId="96">'450'!$H$80:$H$81</definedName>
    <definedName name="OSRRefH22_16x_0" localSheetId="76">'491'!$H$82:$H$85</definedName>
    <definedName name="OSRRefH22_16x_0" localSheetId="90">'492'!$H$85</definedName>
    <definedName name="OSRRefH22_16x_0" localSheetId="39">'Div 2'!$H$77:$H$80</definedName>
    <definedName name="OSRRefH22_16x_0" localSheetId="47">'Div 3'!$H$218</definedName>
    <definedName name="OSRRefH22_16x_0" localSheetId="74">'Div 4'!$H$83</definedName>
    <definedName name="OSRRefH22_16x_0" localSheetId="2">Summary!$H$254</definedName>
    <definedName name="OSRRefH22_17x_0" localSheetId="48">'300'!$H$218:$H$220</definedName>
    <definedName name="OSRRefH22_17x_0" localSheetId="49">'300 &amp; 317'!$H$243:$H$245</definedName>
    <definedName name="OSRRefH22_17x_0" localSheetId="50">'301'!$H$75</definedName>
    <definedName name="OSRRefH22_17x_0" localSheetId="67">'310'!$H$86:$H$87</definedName>
    <definedName name="OSRRefH22_17x_0" localSheetId="75">'310 &amp; 491'!$H$96:$H$97</definedName>
    <definedName name="OSRRefH22_17x_0" localSheetId="72">'325'!$H$82</definedName>
    <definedName name="OSRRefH22_17x_0" localSheetId="61">'326'!$H$112</definedName>
    <definedName name="OSRRefH22_17x_0" localSheetId="53">'330'!$H$131</definedName>
    <definedName name="OSRRefH22_17x_0" localSheetId="59">'331'!$H$127:$H$128</definedName>
    <definedName name="OSRRefH22_17x_0" localSheetId="77">'405'!$H$79</definedName>
    <definedName name="OSRRefH22_17x_0" localSheetId="79">'411'!$H$83:$H$85</definedName>
    <definedName name="OSRRefH22_17x_0" localSheetId="84">'415'!$H$85</definedName>
    <definedName name="OSRRefH22_17x_0" localSheetId="76">'491'!$H$87:$H$88</definedName>
    <definedName name="OSRRefH22_17x_0" localSheetId="90">'492'!$H$87:$H$88</definedName>
    <definedName name="OSRRefH22_17x_0" localSheetId="39">'Div 2'!$H$82:$H$83</definedName>
    <definedName name="OSRRefH22_17x_0" localSheetId="47">'Div 3'!$H$220:$H$223</definedName>
    <definedName name="OSRRefH22_17x_0" localSheetId="74">'Div 4'!$H$85:$H$88</definedName>
    <definedName name="OSRRefH22_17x_0" localSheetId="2">Summary!$H$256</definedName>
    <definedName name="OSRRefH22_18x_0" localSheetId="48">'300'!$H$222:$H$225</definedName>
    <definedName name="OSRRefH22_18x_0" localSheetId="49">'300 &amp; 317'!$H$247:$H$250</definedName>
    <definedName name="OSRRefH22_18x_0" localSheetId="50">'301'!$H$77:$H$81</definedName>
    <definedName name="OSRRefH22_18x_0" localSheetId="67">'310'!$H$89:$H$96</definedName>
    <definedName name="OSRRefH22_18x_0" localSheetId="75">'310 &amp; 491'!$H$99:$H$103</definedName>
    <definedName name="OSRRefH22_18x_0" localSheetId="61">'326'!$H$114</definedName>
    <definedName name="OSRRefH22_18x_0" localSheetId="59">'331'!$H$130:$H$135</definedName>
    <definedName name="OSRRefH22_18x_0" localSheetId="79">'411'!$H$87</definedName>
    <definedName name="OSRRefH22_18x_0" localSheetId="76">'491'!$H$90:$H$94</definedName>
    <definedName name="OSRRefH22_18x_0" localSheetId="39">'Div 2'!$H$85</definedName>
    <definedName name="OSRRefH22_18x_0" localSheetId="47">'Div 3'!$H$225:$H$227</definedName>
    <definedName name="OSRRefH22_18x_0" localSheetId="74">'Div 4'!$H$90:$H$91</definedName>
    <definedName name="OSRRefH22_18x_0" localSheetId="2">Summary!$H$258:$H$261</definedName>
    <definedName name="OSRRefH22_19x_0" localSheetId="48">'300'!$H$227:$H$228</definedName>
    <definedName name="OSRRefH22_19x_0" localSheetId="49">'300 &amp; 317'!$H$252:$H$253</definedName>
    <definedName name="OSRRefH22_19x_0" localSheetId="50">'301'!$H$83</definedName>
    <definedName name="OSRRefH22_19x_0" localSheetId="67">'310'!$H$98</definedName>
    <definedName name="OSRRefH22_19x_0" localSheetId="75">'310 &amp; 491'!$H$105:$H$106</definedName>
    <definedName name="OSRRefH22_19x_0" localSheetId="61">'326'!$H$116</definedName>
    <definedName name="OSRRefH22_19x_0" localSheetId="59">'331'!$H$137</definedName>
    <definedName name="OSRRefH22_19x_0" localSheetId="76">'491'!$H$96:$H$97</definedName>
    <definedName name="OSRRefH22_19x_0" localSheetId="39">'Div 2'!$H$87:$H$88</definedName>
    <definedName name="OSRRefH22_19x_0" localSheetId="47">'Div 3'!$H$229:$H$233</definedName>
    <definedName name="OSRRefH22_19x_0" localSheetId="74">'Div 4'!$H$93:$H$97</definedName>
    <definedName name="OSRRefH22_19x_0" localSheetId="2">Summary!$H$263:$H$265</definedName>
    <definedName name="OSRRefH22_1x_0" localSheetId="40">'200'!$H$22</definedName>
    <definedName name="OSRRefH22_1x_0" localSheetId="41">'201'!$H$30:$H$32</definedName>
    <definedName name="OSRRefH22_1x_0" localSheetId="42">'202'!$H$29:$H$33</definedName>
    <definedName name="OSRRefH22_1x_0" localSheetId="43">'203'!$H$31:$H$35</definedName>
    <definedName name="OSRRefH22_1x_0" localSheetId="44">'204'!$H$31:$H$36</definedName>
    <definedName name="OSRRefH22_1x_0" localSheetId="45">'205'!$H$29</definedName>
    <definedName name="OSRRefH22_1x_0" localSheetId="46">'206'!$H$29:$H$34</definedName>
    <definedName name="OSRRefH22_1x_0" localSheetId="48">'300'!$H$173:$H$179</definedName>
    <definedName name="OSRRefH22_1x_0" localSheetId="49">'300 &amp; 317'!$H$198:$H$204</definedName>
    <definedName name="OSRRefH22_1x_0" localSheetId="50">'301'!$H$29:$H$35</definedName>
    <definedName name="OSRRefH22_1x_0" localSheetId="51">'306'!$H$30:$H$34</definedName>
    <definedName name="OSRRefH22_1x_0" localSheetId="54">'307'!$H$83:$H$86</definedName>
    <definedName name="OSRRefH22_1x_0" localSheetId="56">'308'!$H$74:$H$78</definedName>
    <definedName name="OSRRefH22_1x_0" localSheetId="68">'309'!$H$33:$H$37</definedName>
    <definedName name="OSRRefH22_1x_0" localSheetId="67">'310'!$H$42:$H$47</definedName>
    <definedName name="OSRRefH22_1x_0" localSheetId="75">'310 &amp; 491'!$H$51:$H$57</definedName>
    <definedName name="OSRRefH22_1x_0" localSheetId="57">'311'!$H$73:$H$77</definedName>
    <definedName name="OSRRefH22_1x_0" localSheetId="69">'313'!$H$39:$H$43</definedName>
    <definedName name="OSRRefH22_1x_0" localSheetId="55">'314'!$H$65:$H$68</definedName>
    <definedName name="OSRRefH22_1x_0" localSheetId="60">'315'!$H$64:$H$69</definedName>
    <definedName name="OSRRefH22_1x_0" localSheetId="63">'316'!$H$42:$H$45</definedName>
    <definedName name="OSRRefH22_1x_0" localSheetId="66">'317'!$H$68:$H$71</definedName>
    <definedName name="OSRRefH22_1x_0" localSheetId="64">'320'!$H$38:$H$40</definedName>
    <definedName name="OSRRefH22_1x_0" localSheetId="70">'321'!$H$32:$H$36</definedName>
    <definedName name="OSRRefH22_1x_0" localSheetId="71">'322'!$H$33:$H$37</definedName>
    <definedName name="OSRRefH22_1x_0" localSheetId="72">'325'!$H$33:$H$38</definedName>
    <definedName name="OSRRefH22_1x_0" localSheetId="61">'326'!$H$70:$H$73</definedName>
    <definedName name="OSRRefH22_1x_0" localSheetId="73">'327'!$H$24</definedName>
    <definedName name="OSRRefH22_1x_0" localSheetId="53">'330'!$H$90:$H$94</definedName>
    <definedName name="OSRRefH22_1x_0" localSheetId="59">'331'!$H$83:$H$88</definedName>
    <definedName name="OSRRefH22_1x_0" localSheetId="62">'332'!$H$51:$H$54</definedName>
    <definedName name="OSRRefH22_1x_0" localSheetId="77">'405'!$H$33:$H$36</definedName>
    <definedName name="OSRRefH22_1x_0" localSheetId="78">'406'!$H$33:$H$37</definedName>
    <definedName name="OSRRefH22_1x_0" localSheetId="79">'411'!$H$30:$H$35</definedName>
    <definedName name="OSRRefH22_1x_0" localSheetId="80">'412'!$H$33:$H$38</definedName>
    <definedName name="OSRRefH22_1x_0" localSheetId="82">'413'!$H$33:$H$37</definedName>
    <definedName name="OSRRefH22_1x_0" localSheetId="83">'414'!$H$33:$H$38</definedName>
    <definedName name="OSRRefH22_1x_0" localSheetId="84">'415'!$H$33:$H$38</definedName>
    <definedName name="OSRRefH22_1x_0" localSheetId="85">'418'!$H$33:$H$38</definedName>
    <definedName name="OSRRefH22_1x_0" localSheetId="81">'420'!$H$32:$H$35</definedName>
    <definedName name="OSRRefH22_1x_0" localSheetId="86">'423'!$H$30</definedName>
    <definedName name="OSRRefH22_1x_0" localSheetId="87">'424'!$H$28:$H$32</definedName>
    <definedName name="OSRRefH22_1x_0" localSheetId="88">'425'!$H$37:$H$42</definedName>
    <definedName name="OSRRefH22_1x_0" localSheetId="91">'430'!$H$29</definedName>
    <definedName name="OSRRefH22_1x_0" localSheetId="92">'433'!$H$36:$H$41</definedName>
    <definedName name="OSRRefH22_1x_0" localSheetId="93">'435'!$H$29:$H$31</definedName>
    <definedName name="OSRRefH22_1x_0" localSheetId="94">'444'!$H$35:$H$40</definedName>
    <definedName name="OSRRefH22_1x_0" localSheetId="96">'450'!$H$35:$H$40</definedName>
    <definedName name="OSRRefH22_1x_0" localSheetId="89">'455'!$H$28:$H$29</definedName>
    <definedName name="OSRRefH22_1x_0" localSheetId="76">'491'!$H$43:$H$49</definedName>
    <definedName name="OSRRefH22_1x_0" localSheetId="90">'492'!$H$38:$H$44</definedName>
    <definedName name="OSRRefH22_1x_0" localSheetId="98">'501'!$H$30:$H$35</definedName>
    <definedName name="OSRRefH22_1x_0" localSheetId="39">'Div 2'!$H$32:$H$38</definedName>
    <definedName name="OSRRefH22_1x_0" localSheetId="47">'Div 3'!$H$178:$H$184</definedName>
    <definedName name="OSRRefH22_1x_0" localSheetId="74">'Div 4'!$H$44:$H$50</definedName>
    <definedName name="OSRRefH22_1x_0" localSheetId="97">'Div 5'!$H$30:$H$35</definedName>
    <definedName name="OSRRefH22_1x_0" localSheetId="65">'Div 6'!$H$68:$H$71</definedName>
    <definedName name="OSRRefH22_1x_0" localSheetId="2">Summary!$H$212:$H$218</definedName>
    <definedName name="OSRRefH22_20x_0" localSheetId="48">'300'!$H$230:$H$236</definedName>
    <definedName name="OSRRefH22_20x_0" localSheetId="49">'300 &amp; 317'!$H$255:$H$261</definedName>
    <definedName name="OSRRefH22_20x_0" localSheetId="50">'301'!$H$85</definedName>
    <definedName name="OSRRefH22_20x_0" localSheetId="67">'310'!$H$100</definedName>
    <definedName name="OSRRefH22_20x_0" localSheetId="75">'310 &amp; 491'!$H$108:$H$115</definedName>
    <definedName name="OSRRefH22_20x_0" localSheetId="59">'331'!$H$139</definedName>
    <definedName name="OSRRefH22_20x_0" localSheetId="76">'491'!$H$99:$H$106</definedName>
    <definedName name="OSRRefH22_20x_0" localSheetId="47">'Div 3'!$H$235:$H$236</definedName>
    <definedName name="OSRRefH22_20x_0" localSheetId="74">'Div 4'!$H$99:$H$100</definedName>
    <definedName name="OSRRefH22_20x_0" localSheetId="2">Summary!$H$267:$H$271</definedName>
    <definedName name="OSRRefH22_21x_0" localSheetId="48">'300'!$H$238:$H$239</definedName>
    <definedName name="OSRRefH22_21x_0" localSheetId="49">'300 &amp; 317'!$H$263:$H$264</definedName>
    <definedName name="OSRRefH22_21x_0" localSheetId="50">'301'!$H$87:$H$89</definedName>
    <definedName name="OSRRefH22_21x_0" localSheetId="67">'310'!$H$102</definedName>
    <definedName name="OSRRefH22_21x_0" localSheetId="75">'310 &amp; 491'!$H$117</definedName>
    <definedName name="OSRRefH22_21x_0" localSheetId="59">'331'!$H$141:$H$142</definedName>
    <definedName name="OSRRefH22_21x_0" localSheetId="76">'491'!$H$108</definedName>
    <definedName name="OSRRefH22_21x_0" localSheetId="47">'Div 3'!$H$238:$H$245</definedName>
    <definedName name="OSRRefH22_21x_0" localSheetId="74">'Div 4'!$H$102:$H$109</definedName>
    <definedName name="OSRRefH22_21x_0" localSheetId="2">Summary!$H$273:$H$274</definedName>
    <definedName name="OSRRefH22_22x_0" localSheetId="48">'300'!$H$241</definedName>
    <definedName name="OSRRefH22_22x_0" localSheetId="49">'300 &amp; 317'!$H$266</definedName>
    <definedName name="OSRRefH22_22x_0" localSheetId="50">'301'!$H$91</definedName>
    <definedName name="OSRRefH22_22x_0" localSheetId="75">'310 &amp; 491'!$H$119</definedName>
    <definedName name="OSRRefH22_22x_0" localSheetId="59">'331'!$H$144</definedName>
    <definedName name="OSRRefH22_22x_0" localSheetId="76">'491'!$H$110</definedName>
    <definedName name="OSRRefH22_22x_0" localSheetId="47">'Div 3'!$H$247:$H$248</definedName>
    <definedName name="OSRRefH22_22x_0" localSheetId="74">'Div 4'!$H$111</definedName>
    <definedName name="OSRRefH22_22x_0" localSheetId="2">Summary!$H$276:$H$283</definedName>
    <definedName name="OSRRefH22_23x_0" localSheetId="48">'300'!$H$243:$H$245</definedName>
    <definedName name="OSRRefH22_23x_0" localSheetId="49">'300 &amp; 317'!$H$268:$H$270</definedName>
    <definedName name="OSRRefH22_23x_0" localSheetId="75">'310 &amp; 491'!$H$121:$H$123</definedName>
    <definedName name="OSRRefH22_23x_0" localSheetId="76">'491'!$H$112:$H$114</definedName>
    <definedName name="OSRRefH22_23x_0" localSheetId="47">'Div 3'!$H$250</definedName>
    <definedName name="OSRRefH22_23x_0" localSheetId="74">'Div 4'!$H$113</definedName>
    <definedName name="OSRRefH22_23x_0" localSheetId="2">Summary!$H$285:$H$286</definedName>
    <definedName name="OSRRefH22_24x_0" localSheetId="48">'300'!$H$247</definedName>
    <definedName name="OSRRefH22_24x_0" localSheetId="49">'300 &amp; 317'!$H$272</definedName>
    <definedName name="OSRRefH22_24x_0" localSheetId="75">'310 &amp; 491'!$H$125</definedName>
    <definedName name="OSRRefH22_24x_0" localSheetId="76">'491'!$H$116</definedName>
    <definedName name="OSRRefH22_24x_0" localSheetId="47">'Div 3'!$H$252:$H$254</definedName>
    <definedName name="OSRRefH22_24x_0" localSheetId="74">'Div 4'!$H$115:$H$117</definedName>
    <definedName name="OSRRefH22_24x_0" localSheetId="2">Summary!$H$288</definedName>
    <definedName name="OSRRefH22_25x_0" localSheetId="47">'Div 3'!$H$256</definedName>
    <definedName name="OSRRefH22_25x_0" localSheetId="74">'Div 4'!$H$119</definedName>
    <definedName name="OSRRefH22_25x_0" localSheetId="2">Summary!$H$290:$H$292</definedName>
    <definedName name="OSRRefH22_26x_0" localSheetId="2">Summary!$H$294</definedName>
    <definedName name="OSRRefH22_2x_0" localSheetId="40">'200'!$H$24</definedName>
    <definedName name="OSRRefH22_2x_0" localSheetId="41">'201'!$H$34</definedName>
    <definedName name="OSRRefH22_2x_0" localSheetId="42">'202'!$H$35</definedName>
    <definedName name="OSRRefH22_2x_0" localSheetId="43">'203'!$H$37</definedName>
    <definedName name="OSRRefH22_2x_0" localSheetId="44">'204'!$H$38</definedName>
    <definedName name="OSRRefH22_2x_0" localSheetId="45">'205'!$H$31</definedName>
    <definedName name="OSRRefH22_2x_0" localSheetId="46">'206'!$H$36</definedName>
    <definedName name="OSRRefH22_2x_0" localSheetId="48">'300'!$H$181</definedName>
    <definedName name="OSRRefH22_2x_0" localSheetId="49">'300 &amp; 317'!$H$206</definedName>
    <definedName name="OSRRefH22_2x_0" localSheetId="50">'301'!$H$37</definedName>
    <definedName name="OSRRefH22_2x_0" localSheetId="51">'306'!$H$36</definedName>
    <definedName name="OSRRefH22_2x_0" localSheetId="54">'307'!$H$88</definedName>
    <definedName name="OSRRefH22_2x_0" localSheetId="56">'308'!$H$80</definedName>
    <definedName name="OSRRefH22_2x_0" localSheetId="68">'309'!$H$39</definedName>
    <definedName name="OSRRefH22_2x_0" localSheetId="67">'310'!$H$49</definedName>
    <definedName name="OSRRefH22_2x_0" localSheetId="75">'310 &amp; 491'!$H$59</definedName>
    <definedName name="OSRRefH22_2x_0" localSheetId="57">'311'!$H$79</definedName>
    <definedName name="OSRRefH22_2x_0" localSheetId="69">'313'!$H$45</definedName>
    <definedName name="OSRRefH22_2x_0" localSheetId="55">'314'!$H$70</definedName>
    <definedName name="OSRRefH22_2x_0" localSheetId="60">'315'!$H$71</definedName>
    <definedName name="OSRRefH22_2x_0" localSheetId="63">'316'!$H$47</definedName>
    <definedName name="OSRRefH22_2x_0" localSheetId="66">'317'!$H$73</definedName>
    <definedName name="OSRRefH22_2x_0" localSheetId="64">'320'!$H$42</definedName>
    <definedName name="OSRRefH22_2x_0" localSheetId="70">'321'!$H$38</definedName>
    <definedName name="OSRRefH22_2x_0" localSheetId="71">'322'!$H$39</definedName>
    <definedName name="OSRRefH22_2x_0" localSheetId="72">'325'!$H$40</definedName>
    <definedName name="OSRRefH22_2x_0" localSheetId="61">'326'!$H$75</definedName>
    <definedName name="OSRRefH22_2x_0" localSheetId="73">'327'!$H$26</definedName>
    <definedName name="OSRRefH22_2x_0" localSheetId="53">'330'!$H$96</definedName>
    <definedName name="OSRRefH22_2x_0" localSheetId="59">'331'!$H$90</definedName>
    <definedName name="OSRRefH22_2x_0" localSheetId="62">'332'!$H$56</definedName>
    <definedName name="OSRRefH22_2x_0" localSheetId="77">'405'!$H$38</definedName>
    <definedName name="OSRRefH22_2x_0" localSheetId="78">'406'!$H$39</definedName>
    <definedName name="OSRRefH22_2x_0" localSheetId="79">'411'!$H$37</definedName>
    <definedName name="OSRRefH22_2x_0" localSheetId="80">'412'!$H$40</definedName>
    <definedName name="OSRRefH22_2x_0" localSheetId="82">'413'!$H$39</definedName>
    <definedName name="OSRRefH22_2x_0" localSheetId="83">'414'!$H$40</definedName>
    <definedName name="OSRRefH22_2x_0" localSheetId="84">'415'!$H$40</definedName>
    <definedName name="OSRRefH22_2x_0" localSheetId="85">'418'!$H$40</definedName>
    <definedName name="OSRRefH22_2x_0" localSheetId="81">'420'!$H$37</definedName>
    <definedName name="OSRRefH22_2x_0" localSheetId="86">'423'!$H$32</definedName>
    <definedName name="OSRRefH22_2x_0" localSheetId="87">'424'!$H$34</definedName>
    <definedName name="OSRRefH22_2x_0" localSheetId="88">'425'!$H$44</definedName>
    <definedName name="OSRRefH22_2x_0" localSheetId="91">'430'!$H$31</definedName>
    <definedName name="OSRRefH22_2x_0" localSheetId="92">'433'!$H$43</definedName>
    <definedName name="OSRRefH22_2x_0" localSheetId="93">'435'!$H$33</definedName>
    <definedName name="OSRRefH22_2x_0" localSheetId="94">'444'!$H$42</definedName>
    <definedName name="OSRRefH22_2x_0" localSheetId="96">'450'!$H$42</definedName>
    <definedName name="OSRRefH22_2x_0" localSheetId="89">'455'!$H$31</definedName>
    <definedName name="OSRRefH22_2x_0" localSheetId="76">'491'!$H$51</definedName>
    <definedName name="OSRRefH22_2x_0" localSheetId="90">'492'!$H$46</definedName>
    <definedName name="OSRRefH22_2x_0" localSheetId="98">'501'!$H$37</definedName>
    <definedName name="OSRRefH22_2x_0" localSheetId="39">'Div 2'!$H$40</definedName>
    <definedName name="OSRRefH22_2x_0" localSheetId="47">'Div 3'!$H$186</definedName>
    <definedName name="OSRRefH22_2x_0" localSheetId="74">'Div 4'!$H$52</definedName>
    <definedName name="OSRRefH22_2x_0" localSheetId="97">'Div 5'!$H$37</definedName>
    <definedName name="OSRRefH22_2x_0" localSheetId="65">'Div 6'!$H$73</definedName>
    <definedName name="OSRRefH22_2x_0" localSheetId="2">Summary!$H$220</definedName>
    <definedName name="OSRRefH22_3x_0" localSheetId="40">'200'!$H$26</definedName>
    <definedName name="OSRRefH22_3x_0" localSheetId="41">'201'!$H$36</definedName>
    <definedName name="OSRRefH22_3x_0" localSheetId="42">'202'!$H$37</definedName>
    <definedName name="OSRRefH22_3x_0" localSheetId="43">'203'!$H$39</definedName>
    <definedName name="OSRRefH22_3x_0" localSheetId="44">'204'!$H$40:$H$41</definedName>
    <definedName name="OSRRefH22_3x_0" localSheetId="45">'205'!$H$33</definedName>
    <definedName name="OSRRefH22_3x_0" localSheetId="46">'206'!$H$38</definedName>
    <definedName name="OSRRefH22_3x_0" localSheetId="48">'300'!$H$183:$H$184</definedName>
    <definedName name="OSRRefH22_3x_0" localSheetId="49">'300 &amp; 317'!$H$208:$H$209</definedName>
    <definedName name="OSRRefH22_3x_0" localSheetId="50">'301'!$H$39:$H$40</definedName>
    <definedName name="OSRRefH22_3x_0" localSheetId="51">'306'!$H$38</definedName>
    <definedName name="OSRRefH22_3x_0" localSheetId="54">'307'!$H$90</definedName>
    <definedName name="OSRRefH22_3x_0" localSheetId="56">'308'!$H$82:$H$83</definedName>
    <definedName name="OSRRefH22_3x_0" localSheetId="68">'309'!$H$41</definedName>
    <definedName name="OSRRefH22_3x_0" localSheetId="67">'310'!$H$51</definedName>
    <definedName name="OSRRefH22_3x_0" localSheetId="75">'310 &amp; 491'!$H$61</definedName>
    <definedName name="OSRRefH22_3x_0" localSheetId="57">'311'!$H$81:$H$82</definedName>
    <definedName name="OSRRefH22_3x_0" localSheetId="69">'313'!$H$47</definedName>
    <definedName name="OSRRefH22_3x_0" localSheetId="55">'314'!$H$72:$H$73</definedName>
    <definedName name="OSRRefH22_3x_0" localSheetId="60">'315'!$H$73:$H$74</definedName>
    <definedName name="OSRRefH22_3x_0" localSheetId="63">'316'!$H$49</definedName>
    <definedName name="OSRRefH22_3x_0" localSheetId="66">'317'!$H$75</definedName>
    <definedName name="OSRRefH22_3x_0" localSheetId="64">'320'!$H$44</definedName>
    <definedName name="OSRRefH22_3x_0" localSheetId="70">'321'!$H$40</definedName>
    <definedName name="OSRRefH22_3x_0" localSheetId="71">'322'!$H$41</definedName>
    <definedName name="OSRRefH22_3x_0" localSheetId="72">'325'!$H$42</definedName>
    <definedName name="OSRRefH22_3x_0" localSheetId="61">'326'!$H$77</definedName>
    <definedName name="OSRRefH22_3x_0" localSheetId="53">'330'!$H$98</definedName>
    <definedName name="OSRRefH22_3x_0" localSheetId="59">'331'!$H$92</definedName>
    <definedName name="OSRRefH22_3x_0" localSheetId="62">'332'!$H$58</definedName>
    <definedName name="OSRRefH22_3x_0" localSheetId="77">'405'!$H$40</definedName>
    <definedName name="OSRRefH22_3x_0" localSheetId="78">'406'!$H$41</definedName>
    <definedName name="OSRRefH22_3x_0" localSheetId="79">'411'!$H$39:$H$41</definedName>
    <definedName name="OSRRefH22_3x_0" localSheetId="80">'412'!$H$42</definedName>
    <definedName name="OSRRefH22_3x_0" localSheetId="82">'413'!$H$41</definedName>
    <definedName name="OSRRefH22_3x_0" localSheetId="83">'414'!$H$42</definedName>
    <definedName name="OSRRefH22_3x_0" localSheetId="84">'415'!$H$42</definedName>
    <definedName name="OSRRefH22_3x_0" localSheetId="85">'418'!$H$42</definedName>
    <definedName name="OSRRefH22_3x_0" localSheetId="81">'420'!$H$39</definedName>
    <definedName name="OSRRefH22_3x_0" localSheetId="86">'423'!$H$34</definedName>
    <definedName name="OSRRefH22_3x_0" localSheetId="87">'424'!$H$36</definedName>
    <definedName name="OSRRefH22_3x_0" localSheetId="88">'425'!$H$46</definedName>
    <definedName name="OSRRefH22_3x_0" localSheetId="91">'430'!$H$33</definedName>
    <definedName name="OSRRefH22_3x_0" localSheetId="92">'433'!$H$45</definedName>
    <definedName name="OSRRefH22_3x_0" localSheetId="93">'435'!$H$35</definedName>
    <definedName name="OSRRefH22_3x_0" localSheetId="94">'444'!$H$44</definedName>
    <definedName name="OSRRefH22_3x_0" localSheetId="96">'450'!$H$44</definedName>
    <definedName name="OSRRefH22_3x_0" localSheetId="76">'491'!$H$53</definedName>
    <definedName name="OSRRefH22_3x_0" localSheetId="90">'492'!$H$48</definedName>
    <definedName name="OSRRefH22_3x_0" localSheetId="98">'501'!$H$39</definedName>
    <definedName name="OSRRefH22_3x_0" localSheetId="39">'Div 2'!$H$42</definedName>
    <definedName name="OSRRefH22_3x_0" localSheetId="47">'Div 3'!$H$188:$H$189</definedName>
    <definedName name="OSRRefH22_3x_0" localSheetId="74">'Div 4'!$H$54</definedName>
    <definedName name="OSRRefH22_3x_0" localSheetId="97">'Div 5'!$H$39</definedName>
    <definedName name="OSRRefH22_3x_0" localSheetId="65">'Div 6'!$H$75</definedName>
    <definedName name="OSRRefH22_3x_0" localSheetId="2">Summary!$H$222:$H$223</definedName>
    <definedName name="OSRRefH22_4x_0" localSheetId="40">'200'!$H$28:$H$29</definedName>
    <definedName name="OSRRefH22_4x_0" localSheetId="41">'201'!$H$38</definedName>
    <definedName name="OSRRefH22_4x_0" localSheetId="42">'202'!$H$39</definedName>
    <definedName name="OSRRefH22_4x_0" localSheetId="43">'203'!$H$41</definedName>
    <definedName name="OSRRefH22_4x_0" localSheetId="44">'204'!$H$43</definedName>
    <definedName name="OSRRefH22_4x_0" localSheetId="45">'205'!$H$35:$H$36</definedName>
    <definedName name="OSRRefH22_4x_0" localSheetId="46">'206'!$H$40</definedName>
    <definedName name="OSRRefH22_4x_0" localSheetId="48">'300'!$H$186</definedName>
    <definedName name="OSRRefH22_4x_0" localSheetId="49">'300 &amp; 317'!$H$211</definedName>
    <definedName name="OSRRefH22_4x_0" localSheetId="50">'301'!$H$42</definedName>
    <definedName name="OSRRefH22_4x_0" localSheetId="51">'306'!$H$40</definedName>
    <definedName name="OSRRefH22_4x_0" localSheetId="54">'307'!$H$92:$H$93</definedName>
    <definedName name="OSRRefH22_4x_0" localSheetId="56">'308'!$H$85</definedName>
    <definedName name="OSRRefH22_4x_0" localSheetId="68">'309'!$H$43</definedName>
    <definedName name="OSRRefH22_4x_0" localSheetId="67">'310'!$H$53</definedName>
    <definedName name="OSRRefH22_4x_0" localSheetId="75">'310 &amp; 491'!$H$63</definedName>
    <definedName name="OSRRefH22_4x_0" localSheetId="57">'311'!$H$84</definedName>
    <definedName name="OSRRefH22_4x_0" localSheetId="69">'313'!$H$49</definedName>
    <definedName name="OSRRefH22_4x_0" localSheetId="55">'314'!$H$75</definedName>
    <definedName name="OSRRefH22_4x_0" localSheetId="60">'315'!$H$76</definedName>
    <definedName name="OSRRefH22_4x_0" localSheetId="63">'316'!$H$51</definedName>
    <definedName name="OSRRefH22_4x_0" localSheetId="66">'317'!$H$77</definedName>
    <definedName name="OSRRefH22_4x_0" localSheetId="64">'320'!$H$46:$H$47</definedName>
    <definedName name="OSRRefH22_4x_0" localSheetId="70">'321'!$H$42</definedName>
    <definedName name="OSRRefH22_4x_0" localSheetId="71">'322'!$H$43</definedName>
    <definedName name="OSRRefH22_4x_0" localSheetId="72">'325'!$H$44</definedName>
    <definedName name="OSRRefH22_4x_0" localSheetId="61">'326'!$H$79</definedName>
    <definedName name="OSRRefH22_4x_0" localSheetId="53">'330'!$H$100:$H$101</definedName>
    <definedName name="OSRRefH22_4x_0" localSheetId="59">'331'!$H$94</definedName>
    <definedName name="OSRRefH22_4x_0" localSheetId="62">'332'!$H$60</definedName>
    <definedName name="OSRRefH22_4x_0" localSheetId="77">'405'!$H$42</definedName>
    <definedName name="OSRRefH22_4x_0" localSheetId="78">'406'!$H$43</definedName>
    <definedName name="OSRRefH22_4x_0" localSheetId="79">'411'!$H$43</definedName>
    <definedName name="OSRRefH22_4x_0" localSheetId="80">'412'!$H$44</definedName>
    <definedName name="OSRRefH22_4x_0" localSheetId="82">'413'!$H$43</definedName>
    <definedName name="OSRRefH22_4x_0" localSheetId="83">'414'!$H$44</definedName>
    <definedName name="OSRRefH22_4x_0" localSheetId="84">'415'!$H$44</definedName>
    <definedName name="OSRRefH22_4x_0" localSheetId="85">'418'!$H$44</definedName>
    <definedName name="OSRRefH22_4x_0" localSheetId="81">'420'!$H$41</definedName>
    <definedName name="OSRRefH22_4x_0" localSheetId="86">'423'!$H$36</definedName>
    <definedName name="OSRRefH22_4x_0" localSheetId="87">'424'!$H$38</definedName>
    <definedName name="OSRRefH22_4x_0" localSheetId="88">'425'!$H$48</definedName>
    <definedName name="OSRRefH22_4x_0" localSheetId="91">'430'!$H$35</definedName>
    <definedName name="OSRRefH22_4x_0" localSheetId="92">'433'!$H$47</definedName>
    <definedName name="OSRRefH22_4x_0" localSheetId="93">'435'!$H$37</definedName>
    <definedName name="OSRRefH22_4x_0" localSheetId="94">'444'!$H$46</definedName>
    <definedName name="OSRRefH22_4x_0" localSheetId="96">'450'!$H$46</definedName>
    <definedName name="OSRRefH22_4x_0" localSheetId="76">'491'!$H$55</definedName>
    <definedName name="OSRRefH22_4x_0" localSheetId="90">'492'!$H$50</definedName>
    <definedName name="OSRRefH22_4x_0" localSheetId="98">'501'!$H$41</definedName>
    <definedName name="OSRRefH22_4x_0" localSheetId="39">'Div 2'!$H$44</definedName>
    <definedName name="OSRRefH22_4x_0" localSheetId="47">'Div 3'!$H$191</definedName>
    <definedName name="OSRRefH22_4x_0" localSheetId="74">'Div 4'!$H$56</definedName>
    <definedName name="OSRRefH22_4x_0" localSheetId="97">'Div 5'!$H$41</definedName>
    <definedName name="OSRRefH22_4x_0" localSheetId="65">'Div 6'!$H$77</definedName>
    <definedName name="OSRRefH22_4x_0" localSheetId="2">Summary!$H$225</definedName>
    <definedName name="OSRRefH22_5x_0" localSheetId="41">'201'!$H$40</definedName>
    <definedName name="OSRRefH22_5x_0" localSheetId="42">'202'!$H$41</definedName>
    <definedName name="OSRRefH22_5x_0" localSheetId="43">'203'!$H$43</definedName>
    <definedName name="OSRRefH22_5x_0" localSheetId="44">'204'!$H$45</definedName>
    <definedName name="OSRRefH22_5x_0" localSheetId="45">'205'!$H$38</definedName>
    <definedName name="OSRRefH22_5x_0" localSheetId="46">'206'!$H$42:$H$43</definedName>
    <definedName name="OSRRefH22_5x_0" localSheetId="48">'300'!$H$188:$H$189</definedName>
    <definedName name="OSRRefH22_5x_0" localSheetId="49">'300 &amp; 317'!$H$213:$H$214</definedName>
    <definedName name="OSRRefH22_5x_0" localSheetId="50">'301'!$H$44:$H$45</definedName>
    <definedName name="OSRRefH22_5x_0" localSheetId="51">'306'!$H$42</definedName>
    <definedName name="OSRRefH22_5x_0" localSheetId="54">'307'!$H$95</definedName>
    <definedName name="OSRRefH22_5x_0" localSheetId="56">'308'!$H$87</definedName>
    <definedName name="OSRRefH22_5x_0" localSheetId="68">'309'!$H$45</definedName>
    <definedName name="OSRRefH22_5x_0" localSheetId="67">'310'!$H$55:$H$56</definedName>
    <definedName name="OSRRefH22_5x_0" localSheetId="75">'310 &amp; 491'!$H$65:$H$67</definedName>
    <definedName name="OSRRefH22_5x_0" localSheetId="57">'311'!$H$86</definedName>
    <definedName name="OSRRefH22_5x_0" localSheetId="69">'313'!$H$51</definedName>
    <definedName name="OSRRefH22_5x_0" localSheetId="55">'314'!$H$77</definedName>
    <definedName name="OSRRefH22_5x_0" localSheetId="60">'315'!$H$78:$H$79</definedName>
    <definedName name="OSRRefH22_5x_0" localSheetId="63">'316'!$H$53</definedName>
    <definedName name="OSRRefH22_5x_0" localSheetId="66">'317'!$H$79</definedName>
    <definedName name="OSRRefH22_5x_0" localSheetId="64">'320'!$H$49</definedName>
    <definedName name="OSRRefH22_5x_0" localSheetId="70">'321'!$H$44</definedName>
    <definedName name="OSRRefH22_5x_0" localSheetId="71">'322'!$H$45</definedName>
    <definedName name="OSRRefH22_5x_0" localSheetId="72">'325'!$H$46:$H$47</definedName>
    <definedName name="OSRRefH22_5x_0" localSheetId="61">'326'!$H$81</definedName>
    <definedName name="OSRRefH22_5x_0" localSheetId="53">'330'!$H$103</definedName>
    <definedName name="OSRRefH22_5x_0" localSheetId="59">'331'!$H$96:$H$97</definedName>
    <definedName name="OSRRefH22_5x_0" localSheetId="62">'332'!$H$62</definedName>
    <definedName name="OSRRefH22_5x_0" localSheetId="77">'405'!$H$44:$H$45</definedName>
    <definedName name="OSRRefH22_5x_0" localSheetId="78">'406'!$H$45</definedName>
    <definedName name="OSRRefH22_5x_0" localSheetId="79">'411'!$H$45</definedName>
    <definedName name="OSRRefH22_5x_0" localSheetId="80">'412'!$H$46</definedName>
    <definedName name="OSRRefH22_5x_0" localSheetId="82">'413'!$H$45</definedName>
    <definedName name="OSRRefH22_5x_0" localSheetId="83">'414'!$H$46</definedName>
    <definedName name="OSRRefH22_5x_0" localSheetId="84">'415'!$H$46:$H$47</definedName>
    <definedName name="OSRRefH22_5x_0" localSheetId="85">'418'!$H$46:$H$47</definedName>
    <definedName name="OSRRefH22_5x_0" localSheetId="81">'420'!$H$43:$H$44</definedName>
    <definedName name="OSRRefH22_5x_0" localSheetId="86">'423'!$H$38</definedName>
    <definedName name="OSRRefH22_5x_0" localSheetId="87">'424'!$H$40</definedName>
    <definedName name="OSRRefH22_5x_0" localSheetId="88">'425'!$H$50</definedName>
    <definedName name="OSRRefH22_5x_0" localSheetId="91">'430'!$H$37</definedName>
    <definedName name="OSRRefH22_5x_0" localSheetId="92">'433'!$H$49</definedName>
    <definedName name="OSRRefH22_5x_0" localSheetId="93">'435'!$H$39</definedName>
    <definedName name="OSRRefH22_5x_0" localSheetId="94">'444'!$H$48</definedName>
    <definedName name="OSRRefH22_5x_0" localSheetId="96">'450'!$H$48</definedName>
    <definedName name="OSRRefH22_5x_0" localSheetId="76">'491'!$H$57:$H$59</definedName>
    <definedName name="OSRRefH22_5x_0" localSheetId="90">'492'!$H$52</definedName>
    <definedName name="OSRRefH22_5x_0" localSheetId="98">'501'!$H$43:$H$44</definedName>
    <definedName name="OSRRefH22_5x_0" localSheetId="39">'Div 2'!$H$46:$H$47</definedName>
    <definedName name="OSRRefH22_5x_0" localSheetId="47">'Div 3'!$H$193:$H$194</definedName>
    <definedName name="OSRRefH22_5x_0" localSheetId="74">'Div 4'!$H$58:$H$60</definedName>
    <definedName name="OSRRefH22_5x_0" localSheetId="97">'Div 5'!$H$43:$H$44</definedName>
    <definedName name="OSRRefH22_5x_0" localSheetId="65">'Div 6'!$H$79</definedName>
    <definedName name="OSRRefH22_5x_0" localSheetId="2">Summary!$H$227:$H$229</definedName>
    <definedName name="OSRRefH22_6x_0" localSheetId="41">'201'!$H$42</definedName>
    <definedName name="OSRRefH22_6x_0" localSheetId="42">'202'!$H$43</definedName>
    <definedName name="OSRRefH22_6x_0" localSheetId="43">'203'!$H$45</definedName>
    <definedName name="OSRRefH22_6x_0" localSheetId="44">'204'!$H$47:$H$50</definedName>
    <definedName name="OSRRefH22_6x_0" localSheetId="45">'205'!$H$40:$H$41</definedName>
    <definedName name="OSRRefH22_6x_0" localSheetId="46">'206'!$H$45</definedName>
    <definedName name="OSRRefH22_6x_0" localSheetId="48">'300'!$H$191:$H$192</definedName>
    <definedName name="OSRRefH22_6x_0" localSheetId="49">'300 &amp; 317'!$H$216:$H$217</definedName>
    <definedName name="OSRRefH22_6x_0" localSheetId="50">'301'!$H$47:$H$48</definedName>
    <definedName name="OSRRefH22_6x_0" localSheetId="51">'306'!$H$44</definedName>
    <definedName name="OSRRefH22_6x_0" localSheetId="54">'307'!$H$97</definedName>
    <definedName name="OSRRefH22_6x_0" localSheetId="56">'308'!$H$89:$H$90</definedName>
    <definedName name="OSRRefH22_6x_0" localSheetId="68">'309'!$H$47</definedName>
    <definedName name="OSRRefH22_6x_0" localSheetId="67">'310'!$H$58</definedName>
    <definedName name="OSRRefH22_6x_0" localSheetId="75">'310 &amp; 491'!$H$69</definedName>
    <definedName name="OSRRefH22_6x_0" localSheetId="57">'311'!$H$88:$H$89</definedName>
    <definedName name="OSRRefH22_6x_0" localSheetId="69">'313'!$H$53</definedName>
    <definedName name="OSRRefH22_6x_0" localSheetId="55">'314'!$H$79</definedName>
    <definedName name="OSRRefH22_6x_0" localSheetId="60">'315'!$H$81</definedName>
    <definedName name="OSRRefH22_6x_0" localSheetId="63">'316'!$H$55</definedName>
    <definedName name="OSRRefH22_6x_0" localSheetId="66">'317'!$H$81</definedName>
    <definedName name="OSRRefH22_6x_0" localSheetId="64">'320'!$H$51</definedName>
    <definedName name="OSRRefH22_6x_0" localSheetId="70">'321'!$H$46</definedName>
    <definedName name="OSRRefH22_6x_0" localSheetId="71">'322'!$H$47</definedName>
    <definedName name="OSRRefH22_6x_0" localSheetId="72">'325'!$H$49</definedName>
    <definedName name="OSRRefH22_6x_0" localSheetId="61">'326'!$H$83</definedName>
    <definedName name="OSRRefH22_6x_0" localSheetId="53">'330'!$H$105</definedName>
    <definedName name="OSRRefH22_6x_0" localSheetId="59">'331'!$H$99</definedName>
    <definedName name="OSRRefH22_6x_0" localSheetId="62">'332'!$H$64:$H$65</definedName>
    <definedName name="OSRRefH22_6x_0" localSheetId="77">'405'!$H$47</definedName>
    <definedName name="OSRRefH22_6x_0" localSheetId="78">'406'!$H$47</definedName>
    <definedName name="OSRRefH22_6x_0" localSheetId="79">'411'!$H$47</definedName>
    <definedName name="OSRRefH22_6x_0" localSheetId="80">'412'!$H$48</definedName>
    <definedName name="OSRRefH22_6x_0" localSheetId="82">'413'!$H$47</definedName>
    <definedName name="OSRRefH22_6x_0" localSheetId="83">'414'!$H$48</definedName>
    <definedName name="OSRRefH22_6x_0" localSheetId="84">'415'!$H$49</definedName>
    <definedName name="OSRRefH22_6x_0" localSheetId="85">'418'!$H$49</definedName>
    <definedName name="OSRRefH22_6x_0" localSheetId="81">'420'!$H$46</definedName>
    <definedName name="OSRRefH22_6x_0" localSheetId="87">'424'!$H$42</definedName>
    <definedName name="OSRRefH22_6x_0" localSheetId="88">'425'!$H$52</definedName>
    <definedName name="OSRRefH22_6x_0" localSheetId="91">'430'!$H$39:$H$40</definedName>
    <definedName name="OSRRefH22_6x_0" localSheetId="92">'433'!$H$51</definedName>
    <definedName name="OSRRefH22_6x_0" localSheetId="93">'435'!$H$41</definedName>
    <definedName name="OSRRefH22_6x_0" localSheetId="94">'444'!$H$50</definedName>
    <definedName name="OSRRefH22_6x_0" localSheetId="96">'450'!$H$50</definedName>
    <definedName name="OSRRefH22_6x_0" localSheetId="76">'491'!$H$61</definedName>
    <definedName name="OSRRefH22_6x_0" localSheetId="90">'492'!$H$54</definedName>
    <definedName name="OSRRefH22_6x_0" localSheetId="98">'501'!$H$46</definedName>
    <definedName name="OSRRefH22_6x_0" localSheetId="39">'Div 2'!$H$49</definedName>
    <definedName name="OSRRefH22_6x_0" localSheetId="47">'Div 3'!$H$196:$H$197</definedName>
    <definedName name="OSRRefH22_6x_0" localSheetId="74">'Div 4'!$H$62</definedName>
    <definedName name="OSRRefH22_6x_0" localSheetId="97">'Div 5'!$H$46</definedName>
    <definedName name="OSRRefH22_6x_0" localSheetId="65">'Div 6'!$H$81</definedName>
    <definedName name="OSRRefH22_6x_0" localSheetId="2">Summary!$H$231:$H$232</definedName>
    <definedName name="OSRRefH22_7x_0" localSheetId="41">'201'!$H$44</definedName>
    <definedName name="OSRRefH22_7x_0" localSheetId="42">'202'!$H$45</definedName>
    <definedName name="OSRRefH22_7x_0" localSheetId="43">'203'!$H$47</definedName>
    <definedName name="OSRRefH22_7x_0" localSheetId="44">'204'!$H$52:$H$53</definedName>
    <definedName name="OSRRefH22_7x_0" localSheetId="45">'205'!$H$43</definedName>
    <definedName name="OSRRefH22_7x_0" localSheetId="46">'206'!$H$47</definedName>
    <definedName name="OSRRefH22_7x_0" localSheetId="48">'300'!$H$194</definedName>
    <definedName name="OSRRefH22_7x_0" localSheetId="49">'300 &amp; 317'!$H$219</definedName>
    <definedName name="OSRRefH22_7x_0" localSheetId="50">'301'!$H$50</definedName>
    <definedName name="OSRRefH22_7x_0" localSheetId="51">'306'!$H$46:$H$47</definedName>
    <definedName name="OSRRefH22_7x_0" localSheetId="54">'307'!$H$99</definedName>
    <definedName name="OSRRefH22_7x_0" localSheetId="56">'308'!$H$92</definedName>
    <definedName name="OSRRefH22_7x_0" localSheetId="68">'309'!$H$49</definedName>
    <definedName name="OSRRefH22_7x_0" localSheetId="67">'310'!$H$60</definedName>
    <definedName name="OSRRefH22_7x_0" localSheetId="75">'310 &amp; 491'!$H$71</definedName>
    <definedName name="OSRRefH22_7x_0" localSheetId="57">'311'!$H$91</definedName>
    <definedName name="OSRRefH22_7x_0" localSheetId="69">'313'!$H$55</definedName>
    <definedName name="OSRRefH22_7x_0" localSheetId="55">'314'!$H$81:$H$82</definedName>
    <definedName name="OSRRefH22_7x_0" localSheetId="60">'315'!$H$83</definedName>
    <definedName name="OSRRefH22_7x_0" localSheetId="63">'316'!$H$57</definedName>
    <definedName name="OSRRefH22_7x_0" localSheetId="66">'317'!$H$83</definedName>
    <definedName name="OSRRefH22_7x_0" localSheetId="64">'320'!$H$53:$H$54</definedName>
    <definedName name="OSRRefH22_7x_0" localSheetId="70">'321'!$H$48:$H$50</definedName>
    <definedName name="OSRRefH22_7x_0" localSheetId="71">'322'!$H$49</definedName>
    <definedName name="OSRRefH22_7x_0" localSheetId="72">'325'!$H$51</definedName>
    <definedName name="OSRRefH22_7x_0" localSheetId="61">'326'!$H$85</definedName>
    <definedName name="OSRRefH22_7x_0" localSheetId="53">'330'!$H$107</definedName>
    <definedName name="OSRRefH22_7x_0" localSheetId="59">'331'!$H$101</definedName>
    <definedName name="OSRRefH22_7x_0" localSheetId="62">'332'!$H$67</definedName>
    <definedName name="OSRRefH22_7x_0" localSheetId="77">'405'!$H$49</definedName>
    <definedName name="OSRRefH22_7x_0" localSheetId="78">'406'!$H$49</definedName>
    <definedName name="OSRRefH22_7x_0" localSheetId="79">'411'!$H$49</definedName>
    <definedName name="OSRRefH22_7x_0" localSheetId="80">'412'!$H$50</definedName>
    <definedName name="OSRRefH22_7x_0" localSheetId="82">'413'!$H$49:$H$51</definedName>
    <definedName name="OSRRefH22_7x_0" localSheetId="83">'414'!$H$50</definedName>
    <definedName name="OSRRefH22_7x_0" localSheetId="84">'415'!$H$51</definedName>
    <definedName name="OSRRefH22_7x_0" localSheetId="85">'418'!$H$51</definedName>
    <definedName name="OSRRefH22_7x_0" localSheetId="87">'424'!$H$44:$H$45</definedName>
    <definedName name="OSRRefH22_7x_0" localSheetId="88">'425'!$H$54</definedName>
    <definedName name="OSRRefH22_7x_0" localSheetId="91">'430'!$H$42</definedName>
    <definedName name="OSRRefH22_7x_0" localSheetId="92">'433'!$H$53</definedName>
    <definedName name="OSRRefH22_7x_0" localSheetId="93">'435'!$H$43</definedName>
    <definedName name="OSRRefH22_7x_0" localSheetId="94">'444'!$H$52</definedName>
    <definedName name="OSRRefH22_7x_0" localSheetId="96">'450'!$H$52</definedName>
    <definedName name="OSRRefH22_7x_0" localSheetId="76">'491'!$H$63</definedName>
    <definedName name="OSRRefH22_7x_0" localSheetId="90">'492'!$H$56</definedName>
    <definedName name="OSRRefH22_7x_0" localSheetId="98">'501'!$H$48</definedName>
    <definedName name="OSRRefH22_7x_0" localSheetId="39">'Div 2'!$H$51</definedName>
    <definedName name="OSRRefH22_7x_0" localSheetId="47">'Div 3'!$H$199</definedName>
    <definedName name="OSRRefH22_7x_0" localSheetId="74">'Div 4'!$H$64</definedName>
    <definedName name="OSRRefH22_7x_0" localSheetId="97">'Div 5'!$H$48</definedName>
    <definedName name="OSRRefH22_7x_0" localSheetId="65">'Div 6'!$H$83</definedName>
    <definedName name="OSRRefH22_7x_0" localSheetId="2">Summary!$H$234</definedName>
    <definedName name="OSRRefH22_8x_0" localSheetId="41">'201'!$H$46</definedName>
    <definedName name="OSRRefH22_8x_0" localSheetId="42">'202'!$H$47</definedName>
    <definedName name="OSRRefH22_8x_0" localSheetId="43">'203'!$H$49</definedName>
    <definedName name="OSRRefH22_8x_0" localSheetId="44">'204'!$H$55:$H$56</definedName>
    <definedName name="OSRRefH22_8x_0" localSheetId="45">'205'!$H$45</definedName>
    <definedName name="OSRRefH22_8x_0" localSheetId="48">'300'!$H$196</definedName>
    <definedName name="OSRRefH22_8x_0" localSheetId="49">'300 &amp; 317'!$H$221</definedName>
    <definedName name="OSRRefH22_8x_0" localSheetId="50">'301'!$H$52</definedName>
    <definedName name="OSRRefH22_8x_0" localSheetId="51">'306'!$H$49:$H$53</definedName>
    <definedName name="OSRRefH22_8x_0" localSheetId="54">'307'!$H$101</definedName>
    <definedName name="OSRRefH22_8x_0" localSheetId="56">'308'!$H$94</definedName>
    <definedName name="OSRRefH22_8x_0" localSheetId="68">'309'!$H$51</definedName>
    <definedName name="OSRRefH22_8x_0" localSheetId="67">'310'!$H$62</definedName>
    <definedName name="OSRRefH22_8x_0" localSheetId="75">'310 &amp; 491'!$H$73</definedName>
    <definedName name="OSRRefH22_8x_0" localSheetId="57">'311'!$H$93</definedName>
    <definedName name="OSRRefH22_8x_0" localSheetId="69">'313'!$H$57</definedName>
    <definedName name="OSRRefH22_8x_0" localSheetId="55">'314'!$H$84</definedName>
    <definedName name="OSRRefH22_8x_0" localSheetId="60">'315'!$H$85:$H$86</definedName>
    <definedName name="OSRRefH22_8x_0" localSheetId="63">'316'!$H$59:$H$60</definedName>
    <definedName name="OSRRefH22_8x_0" localSheetId="66">'317'!$H$85</definedName>
    <definedName name="OSRRefH22_8x_0" localSheetId="64">'320'!$H$56</definedName>
    <definedName name="OSRRefH22_8x_0" localSheetId="70">'321'!$H$52</definedName>
    <definedName name="OSRRefH22_8x_0" localSheetId="71">'322'!$H$51</definedName>
    <definedName name="OSRRefH22_8x_0" localSheetId="72">'325'!$H$53</definedName>
    <definedName name="OSRRefH22_8x_0" localSheetId="61">'326'!$H$87</definedName>
    <definedName name="OSRRefH22_8x_0" localSheetId="53">'330'!$H$109</definedName>
    <definedName name="OSRRefH22_8x_0" localSheetId="59">'331'!$H$103:$H$104</definedName>
    <definedName name="OSRRefH22_8x_0" localSheetId="62">'332'!$H$69</definedName>
    <definedName name="OSRRefH22_8x_0" localSheetId="77">'405'!$H$51</definedName>
    <definedName name="OSRRefH22_8x_0" localSheetId="78">'406'!$H$51</definedName>
    <definedName name="OSRRefH22_8x_0" localSheetId="79">'411'!$H$51</definedName>
    <definedName name="OSRRefH22_8x_0" localSheetId="80">'412'!$H$52</definedName>
    <definedName name="OSRRefH22_8x_0" localSheetId="82">'413'!$H$53:$H$54</definedName>
    <definedName name="OSRRefH22_8x_0" localSheetId="83">'414'!$H$52</definedName>
    <definedName name="OSRRefH22_8x_0" localSheetId="84">'415'!$H$53</definedName>
    <definedName name="OSRRefH22_8x_0" localSheetId="85">'418'!$H$53</definedName>
    <definedName name="OSRRefH22_8x_0" localSheetId="87">'424'!$H$47</definedName>
    <definedName name="OSRRefH22_8x_0" localSheetId="88">'425'!$H$56</definedName>
    <definedName name="OSRRefH22_8x_0" localSheetId="91">'430'!$H$44</definedName>
    <definedName name="OSRRefH22_8x_0" localSheetId="92">'433'!$H$55</definedName>
    <definedName name="OSRRefH22_8x_0" localSheetId="93">'435'!$H$45:$H$48</definedName>
    <definedName name="OSRRefH22_8x_0" localSheetId="94">'444'!$H$54</definedName>
    <definedName name="OSRRefH22_8x_0" localSheetId="96">'450'!$H$54</definedName>
    <definedName name="OSRRefH22_8x_0" localSheetId="76">'491'!$H$65</definedName>
    <definedName name="OSRRefH22_8x_0" localSheetId="90">'492'!$H$58</definedName>
    <definedName name="OSRRefH22_8x_0" localSheetId="98">'501'!$H$50</definedName>
    <definedName name="OSRRefH22_8x_0" localSheetId="39">'Div 2'!$H$53</definedName>
    <definedName name="OSRRefH22_8x_0" localSheetId="47">'Div 3'!$H$201</definedName>
    <definedName name="OSRRefH22_8x_0" localSheetId="74">'Div 4'!$H$66</definedName>
    <definedName name="OSRRefH22_8x_0" localSheetId="97">'Div 5'!$H$50</definedName>
    <definedName name="OSRRefH22_8x_0" localSheetId="65">'Div 6'!$H$85</definedName>
    <definedName name="OSRRefH22_8x_0" localSheetId="2">Summary!$H$236</definedName>
    <definedName name="OSRRefH22_9x_0" localSheetId="41">'201'!$H$48</definedName>
    <definedName name="OSRRefH22_9x_0" localSheetId="42">'202'!$H$49</definedName>
    <definedName name="OSRRefH22_9x_0" localSheetId="43">'203'!$H$51:$H$53</definedName>
    <definedName name="OSRRefH22_9x_0" localSheetId="44">'204'!$H$58</definedName>
    <definedName name="OSRRefH22_9x_0" localSheetId="48">'300'!$H$198</definedName>
    <definedName name="OSRRefH22_9x_0" localSheetId="49">'300 &amp; 317'!$H$223</definedName>
    <definedName name="OSRRefH22_9x_0" localSheetId="50">'301'!$H$54</definedName>
    <definedName name="OSRRefH22_9x_0" localSheetId="51">'306'!$H$55</definedName>
    <definedName name="OSRRefH22_9x_0" localSheetId="54">'307'!$H$103:$H$104</definedName>
    <definedName name="OSRRefH22_9x_0" localSheetId="56">'308'!$H$96:$H$97</definedName>
    <definedName name="OSRRefH22_9x_0" localSheetId="68">'309'!$H$53:$H$54</definedName>
    <definedName name="OSRRefH22_9x_0" localSheetId="67">'310'!$H$64:$H$65</definedName>
    <definedName name="OSRRefH22_9x_0" localSheetId="75">'310 &amp; 491'!$H$75</definedName>
    <definedName name="OSRRefH22_9x_0" localSheetId="57">'311'!$H$95:$H$96</definedName>
    <definedName name="OSRRefH22_9x_0" localSheetId="69">'313'!$H$59:$H$61</definedName>
    <definedName name="OSRRefH22_9x_0" localSheetId="55">'314'!$H$86</definedName>
    <definedName name="OSRRefH22_9x_0" localSheetId="60">'315'!$H$88:$H$89</definedName>
    <definedName name="OSRRefH22_9x_0" localSheetId="63">'316'!$H$62</definedName>
    <definedName name="OSRRefH22_9x_0" localSheetId="66">'317'!$H$87</definedName>
    <definedName name="OSRRefH22_9x_0" localSheetId="70">'321'!$H$54:$H$56</definedName>
    <definedName name="OSRRefH22_9x_0" localSheetId="71">'322'!$H$53</definedName>
    <definedName name="OSRRefH22_9x_0" localSheetId="72">'325'!$H$55</definedName>
    <definedName name="OSRRefH22_9x_0" localSheetId="61">'326'!$H$89</definedName>
    <definedName name="OSRRefH22_9x_0" localSheetId="53">'330'!$H$111</definedName>
    <definedName name="OSRRefH22_9x_0" localSheetId="59">'331'!$H$106</definedName>
    <definedName name="OSRRefH22_9x_0" localSheetId="62">'332'!$H$71:$H$72</definedName>
    <definedName name="OSRRefH22_9x_0" localSheetId="77">'405'!$H$53</definedName>
    <definedName name="OSRRefH22_9x_0" localSheetId="78">'406'!$H$53:$H$55</definedName>
    <definedName name="OSRRefH22_9x_0" localSheetId="79">'411'!$H$53</definedName>
    <definedName name="OSRRefH22_9x_0" localSheetId="80">'412'!$H$54:$H$55</definedName>
    <definedName name="OSRRefH22_9x_0" localSheetId="82">'413'!$H$56:$H$61</definedName>
    <definedName name="OSRRefH22_9x_0" localSheetId="83">'414'!$H$54:$H$55</definedName>
    <definedName name="OSRRefH22_9x_0" localSheetId="84">'415'!$H$55</definedName>
    <definedName name="OSRRefH22_9x_0" localSheetId="85">'418'!$H$55</definedName>
    <definedName name="OSRRefH22_9x_0" localSheetId="87">'424'!$H$49</definedName>
    <definedName name="OSRRefH22_9x_0" localSheetId="88">'425'!$H$58:$H$60</definedName>
    <definedName name="OSRRefH22_9x_0" localSheetId="91">'430'!$H$46</definedName>
    <definedName name="OSRRefH22_9x_0" localSheetId="92">'433'!$H$57</definedName>
    <definedName name="OSRRefH22_9x_0" localSheetId="93">'435'!$H$50</definedName>
    <definedName name="OSRRefH22_9x_0" localSheetId="94">'444'!$H$56</definedName>
    <definedName name="OSRRefH22_9x_0" localSheetId="96">'450'!$H$56</definedName>
    <definedName name="OSRRefH22_9x_0" localSheetId="76">'491'!$H$67</definedName>
    <definedName name="OSRRefH22_9x_0" localSheetId="90">'492'!$H$60</definedName>
    <definedName name="OSRRefH22_9x_0" localSheetId="98">'501'!$H$52</definedName>
    <definedName name="OSRRefH22_9x_0" localSheetId="39">'Div 2'!$H$55</definedName>
    <definedName name="OSRRefH22_9x_0" localSheetId="47">'Div 3'!$H$203</definedName>
    <definedName name="OSRRefH22_9x_0" localSheetId="74">'Div 4'!$H$68</definedName>
    <definedName name="OSRRefH22_9x_0" localSheetId="97">'Div 5'!$H$52</definedName>
    <definedName name="OSRRefH22_9x_0" localSheetId="65">'Div 6'!$H$87</definedName>
    <definedName name="OSRRefH22_9x_0" localSheetId="2">Summary!$H$238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'201'!$H$20:$H$28,'201'!$H$30:$H$32,'201'!$H$34,'201'!$H$36,'201'!$H$38,'201'!$H$40,'201'!$H$42,'201'!$H$44,'201'!$H$46,'201'!$H$48,'201'!$H$50:$H$52,'201'!$H$54:$H$56,'201'!$H$58,'201'!$H$60:$H$62,'201'!$H$64,'201'!$H$66,'201'!$H$68:$H$69</definedName>
    <definedName name="OSRRefH22x_0" localSheetId="42">'202'!$H$20:$H$27,'202'!$H$29:$H$33,'202'!$H$35,'202'!$H$37,'202'!$H$39,'202'!$H$41,'202'!$H$43,'202'!$H$45,'202'!$H$47,'202'!$H$49,'202'!$H$51:$H$53,'202'!$H$55,'202'!$H$57,'202'!$H$59:$H$61,'202'!$H$63,'202'!$H$65,'202'!$H$67</definedName>
    <definedName name="OSRRefH22x_0" localSheetId="43">'203'!$H$20:$H$29,'203'!$H$31:$H$35,'203'!$H$37,'203'!$H$39,'203'!$H$41,'203'!$H$43,'203'!$H$45,'203'!$H$47,'203'!$H$49,'203'!$H$51:$H$53,'203'!$H$55:$H$56,'203'!$H$58:$H$59,'203'!$H$61:$H$63,'203'!$H$65,'203'!$H$67,'203'!$H$69</definedName>
    <definedName name="OSRRefH22x_0" localSheetId="44">'204'!$H$20:$H$29,'204'!$H$31:$H$36,'204'!$H$38,'204'!$H$40:$H$41,'204'!$H$43,'204'!$H$45,'204'!$H$47:$H$50,'204'!$H$52:$H$53,'204'!$H$55:$H$56,'204'!$H$58,'204'!$H$60:$H$61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48">'300'!$H$163:$H$171,'300'!$H$173:$H$179,'300'!$H$181,'300'!$H$183:$H$184,'300'!$H$186,'300'!$H$188:$H$189,'300'!$H$191:$H$192,'300'!$H$194,'300'!$H$196,'300'!$H$198,'300'!$H$200:$H$201,'300'!$H$203,'300'!$H$205,'300'!$H$207,'300'!$H$209,'300'!$H$211,'300'!$H$213:$H$216,'300'!$H$218:$H$220,'300'!$H$222:$H$225,'300'!$H$227:$H$228,'300'!$H$230:$H$236,'300'!$H$238:$H$239,'300'!$H$241,'300'!$H$243:$H$245,'300'!$H$247</definedName>
    <definedName name="OSRRefH22x_0" localSheetId="49">'300 &amp; 317'!$H$188:$H$196,'300 &amp; 317'!$H$198:$H$204,'300 &amp; 317'!$H$206,'300 &amp; 317'!$H$208:$H$209,'300 &amp; 317'!$H$211,'300 &amp; 317'!$H$213:$H$214,'300 &amp; 317'!$H$216:$H$217,'300 &amp; 317'!$H$219,'300 &amp; 317'!$H$221,'300 &amp; 317'!$H$223,'300 &amp; 317'!$H$225:$H$226,'300 &amp; 317'!$H$228,'300 &amp; 317'!$H$230,'300 &amp; 317'!$H$232,'300 &amp; 317'!$H$234,'300 &amp; 317'!$H$236,'300 &amp; 317'!$H$238:$H$241,'300 &amp; 317'!$H$243:$H$245,'300 &amp; 317'!$H$247:$H$250,'300 &amp; 317'!$H$252:$H$253,'300 &amp; 317'!$H$255:$H$261,'300 &amp; 317'!$H$263:$H$264,'300 &amp; 317'!$H$266,'300 &amp; 317'!$H$268:$H$270,'300 &amp; 317'!$H$272</definedName>
    <definedName name="OSRRefH22x_0" localSheetId="50">'301'!$H$20:$H$27,'301'!$H$29:$H$35,'301'!$H$37,'301'!$H$39:$H$40,'301'!$H$42,'301'!$H$44:$H$45,'301'!$H$47:$H$48,'301'!$H$50,'301'!$H$52,'301'!$H$54,'301'!$H$56,'301'!$H$58,'301'!$H$60,'301'!$H$62,'301'!$H$64:$H$67,'301'!$H$69,'301'!$H$71:$H$73,'301'!$H$75,'301'!$H$77:$H$81,'301'!$H$83,'301'!$H$85,'301'!$H$87:$H$89,'301'!$H$91</definedName>
    <definedName name="OSRRefH22x_0" localSheetId="51">'306'!$H$20:$H$28,'306'!$H$30:$H$34,'306'!$H$36,'306'!$H$38,'306'!$H$40,'306'!$H$42,'306'!$H$44,'306'!$H$46:$H$47,'306'!$H$49:$H$53,'306'!$H$55,'306'!$H$57</definedName>
    <definedName name="OSRRefH22x_0" localSheetId="54">'307'!$H$74:$H$81,'307'!$H$83:$H$86,'307'!$H$88,'307'!$H$90,'307'!$H$92:$H$93,'307'!$H$95,'307'!$H$97,'307'!$H$99,'307'!$H$101,'307'!$H$103:$H$104,'307'!$H$106:$H$107,'307'!$H$109:$H$111,'307'!$H$113,'307'!$H$115</definedName>
    <definedName name="OSRRefH22x_0" localSheetId="56">'308'!$H$64:$H$72,'308'!$H$74:$H$78,'308'!$H$80,'308'!$H$82:$H$83,'308'!$H$85,'308'!$H$87,'308'!$H$89:$H$90,'308'!$H$92,'308'!$H$94,'308'!$H$96:$H$97,'308'!$H$99:$H$100,'308'!$H$102:$H$105,'308'!$H$107:$H$108,'308'!$H$110,'308'!$H$112</definedName>
    <definedName name="OSRRefH22x_0" localSheetId="68">'309'!$H$24:$H$31,'309'!$H$33:$H$37,'309'!$H$39,'309'!$H$41,'309'!$H$43,'309'!$H$45,'309'!$H$47,'309'!$H$49,'309'!$H$51,'309'!$H$53:$H$54,'309'!$H$56:$H$58,'309'!$H$60,'309'!$H$62:$H$67,'309'!$H$69</definedName>
    <definedName name="OSRRefH22x_0" localSheetId="67">'310'!$H$33:$H$40,'310'!$H$42:$H$47,'310'!$H$49,'310'!$H$51,'310'!$H$53,'310'!$H$55:$H$56,'310'!$H$58,'310'!$H$60,'310'!$H$62,'310'!$H$64:$H$65,'310'!$H$67,'310'!$H$69,'310'!$H$71,'310'!$H$73,'310'!$H$75:$H$77,'310'!$H$79,'310'!$H$81:$H$84,'310'!$H$86:$H$87,'310'!$H$89:$H$96,'310'!$H$98,'310'!$H$100,'310'!$H$102</definedName>
    <definedName name="OSRRefH22x_0" localSheetId="75">'310 &amp; 491'!$H$41:$H$49,'310 &amp; 491'!$H$51:$H$57,'310 &amp; 491'!$H$59,'310 &amp; 491'!$H$61,'310 &amp; 491'!$H$63,'310 &amp; 491'!$H$65:$H$67,'310 &amp; 491'!$H$69,'310 &amp; 491'!$H$71,'310 &amp; 491'!$H$73,'310 &amp; 491'!$H$75,'310 &amp; 491'!$H$77:$H$78,'310 &amp; 491'!$H$80:$H$81,'310 &amp; 491'!$H$83,'310 &amp; 491'!$H$85,'310 &amp; 491'!$H$87,'310 &amp; 491'!$H$89,'310 &amp; 491'!$H$91:$H$94,'310 &amp; 491'!$H$96:$H$97,'310 &amp; 491'!$H$99:$H$103,'310 &amp; 491'!$H$105:$H$106,'310 &amp; 491'!$H$108:$H$115,'310 &amp; 491'!$H$117,'310 &amp; 491'!$H$119,'310 &amp; 491'!$H$121:$H$123,'310 &amp; 491'!$H$125</definedName>
    <definedName name="OSRRefH22x_0" localSheetId="57">'311'!$H$63:$H$71,'311'!$H$73:$H$77,'311'!$H$79,'311'!$H$81:$H$82,'311'!$H$84,'311'!$H$86,'311'!$H$88:$H$89,'311'!$H$91,'311'!$H$93,'311'!$H$95:$H$96,'311'!$H$98:$H$99,'311'!$H$101:$H$104,'311'!$H$106:$H$107,'311'!$H$109,'311'!$H$111</definedName>
    <definedName name="OSRRefH22x_0" localSheetId="69">'313'!$H$30:$H$37,'313'!$H$39:$H$43,'313'!$H$45,'313'!$H$47,'313'!$H$49,'313'!$H$51,'313'!$H$53,'313'!$H$55,'313'!$H$57,'313'!$H$59:$H$61,'313'!$H$63:$H$64,'313'!$H$66:$H$67,'313'!$H$69:$H$74,'313'!$H$76,'313'!$H$78</definedName>
    <definedName name="OSRRefH22x_0" localSheetId="55">'314'!$H$56:$H$63,'314'!$H$65:$H$68,'314'!$H$70,'314'!$H$72:$H$73,'314'!$H$75,'314'!$H$77,'314'!$H$79,'314'!$H$81:$H$82,'314'!$H$84,'314'!$H$86</definedName>
    <definedName name="OSRRefH22x_0" localSheetId="60">'315'!$H$55:$H$62,'315'!$H$64:$H$69,'315'!$H$71,'315'!$H$73:$H$74,'315'!$H$76,'315'!$H$78:$H$79,'315'!$H$81,'315'!$H$83,'315'!$H$85:$H$86,'315'!$H$88:$H$89,'315'!$H$91:$H$92,'315'!$H$94:$H$98,'315'!$H$100,'315'!$H$102,'315'!$H$104:$H$105</definedName>
    <definedName name="OSRRefH22x_0" localSheetId="63">'316'!$H$33:$H$40,'316'!$H$42:$H$45,'316'!$H$47,'316'!$H$49,'316'!$H$51,'316'!$H$53,'316'!$H$55,'316'!$H$57,'316'!$H$59:$H$60,'316'!$H$62,'316'!$H$64:$H$68,'316'!$H$70,'316'!$H$72</definedName>
    <definedName name="OSRRefH22x_0" localSheetId="66">'317'!$H$58:$H$66,'317'!$H$68:$H$71,'317'!$H$73,'317'!$H$75,'317'!$H$77,'317'!$H$79,'317'!$H$81,'317'!$H$83,'317'!$H$85,'317'!$H$87,'317'!$H$89,'317'!$H$91,'317'!$H$93:$H$94,'317'!$H$96,'317'!$H$98,'317'!$H$100</definedName>
    <definedName name="OSRRefH22x_0" localSheetId="64">'320'!$H$29:$H$36,'320'!$H$38:$H$40,'320'!$H$42,'320'!$H$44,'320'!$H$46:$H$47,'320'!$H$49,'320'!$H$51,'320'!$H$53:$H$54,'320'!$H$56</definedName>
    <definedName name="OSRRefH22x_0" localSheetId="70">'321'!$H$24:$H$30,'321'!$H$32:$H$36,'321'!$H$38,'321'!$H$40,'321'!$H$42,'321'!$H$44,'321'!$H$46,'321'!$H$48:$H$50,'321'!$H$52,'321'!$H$54:$H$56,'321'!$H$58:$H$62,'321'!$H$64,'321'!$H$66,'321'!$H$68</definedName>
    <definedName name="OSRRefH22x_0" localSheetId="71">'322'!$H$24:$H$31,'322'!$H$33:$H$37,'322'!$H$39,'322'!$H$41,'322'!$H$43,'322'!$H$45,'322'!$H$47,'322'!$H$49,'322'!$H$51,'322'!$H$53,'322'!$H$55:$H$56,'322'!$H$58:$H$60,'322'!$H$62,'322'!$H$64:$H$70,'322'!$H$72,'322'!$H$74</definedName>
    <definedName name="OSRRefH22x_0" localSheetId="58">'324'!$H$25</definedName>
    <definedName name="OSRRefH22x_0" localSheetId="72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61">'326'!$H$61:$H$68,'326'!$H$70:$H$73,'326'!$H$75,'326'!$H$77,'326'!$H$79,'326'!$H$81,'326'!$H$83,'326'!$H$85,'326'!$H$87,'326'!$H$89,'326'!$H$91,'326'!$H$93,'326'!$H$95,'326'!$H$97:$H$98,'326'!$H$100:$H$102,'326'!$H$104,'326'!$H$106:$H$110,'326'!$H$112,'326'!$H$114,'326'!$H$116</definedName>
    <definedName name="OSRRefH22x_0" localSheetId="73">'327'!$H$22,'327'!$H$24,'327'!$H$26</definedName>
    <definedName name="OSRRefH22x_0" localSheetId="53">'330'!$H$81:$H$88,'330'!$H$90:$H$94,'330'!$H$96,'330'!$H$98,'330'!$H$100:$H$101,'330'!$H$103,'330'!$H$105,'330'!$H$107,'330'!$H$109,'330'!$H$111,'330'!$H$113,'330'!$H$115:$H$116,'330'!$H$118:$H$119,'330'!$H$121,'330'!$H$123:$H$125,'330'!$H$127,'330'!$H$129,'330'!$H$131</definedName>
    <definedName name="OSRRefH22x_0" localSheetId="59">'331'!$H$74:$H$81,'331'!$H$83:$H$88,'331'!$H$90,'331'!$H$92,'331'!$H$94,'331'!$H$96:$H$97,'331'!$H$99,'331'!$H$101,'331'!$H$103:$H$104,'331'!$H$106,'331'!$H$108,'331'!$H$110,'331'!$H$112,'331'!$H$114,'331'!$H$116:$H$118,'331'!$H$120:$H$121,'331'!$H$123:$H$125,'331'!$H$127:$H$128,'331'!$H$130:$H$135,'331'!$H$137,'331'!$H$139,'331'!$H$141:$H$142,'331'!$H$144</definedName>
    <definedName name="OSRRefH22x_0" localSheetId="62">'332'!$H$42:$H$49,'332'!$H$51:$H$54,'332'!$H$56,'332'!$H$58,'332'!$H$60,'332'!$H$62,'332'!$H$64:$H$65,'332'!$H$67,'332'!$H$69,'332'!$H$71:$H$72,'332'!$H$74,'332'!$H$76:$H$80,'332'!$H$82,'332'!$H$84</definedName>
    <definedName name="OSRRefH22x_0" localSheetId="52">'335'!$H$20</definedName>
    <definedName name="OSRRefH22x_0" localSheetId="77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8">'406'!$H$24:$H$31,'406'!$H$33:$H$37,'406'!$H$39,'406'!$H$41,'406'!$H$43,'406'!$H$45,'406'!$H$47,'406'!$H$49,'406'!$H$51,'406'!$H$53:$H$55,'406'!$H$57:$H$58,'406'!$H$60:$H$65,'406'!$H$67,'406'!$H$69</definedName>
    <definedName name="OSRRefH22x_0" localSheetId="79">'411'!$H$20:$H$28,'411'!$H$30:$H$35,'411'!$H$37,'411'!$H$39:$H$41,'411'!$H$43,'411'!$H$45,'411'!$H$47,'411'!$H$49,'411'!$H$51,'411'!$H$53,'411'!$H$55,'411'!$H$57:$H$59,'411'!$H$61:$H$65,'411'!$H$67:$H$68,'411'!$H$70:$H$77,'411'!$H$79,'411'!$H$81,'411'!$H$83:$H$85,'411'!$H$87</definedName>
    <definedName name="OSRRefH22x_0" localSheetId="80">'412'!$H$24:$H$31,'412'!$H$33:$H$38,'412'!$H$40,'412'!$H$42,'412'!$H$44,'412'!$H$46,'412'!$H$48,'412'!$H$50,'412'!$H$52,'412'!$H$54:$H$55,'412'!$H$57,'412'!$H$59:$H$61,'412'!$H$63:$H$69,'412'!$H$71,'412'!$H$73</definedName>
    <definedName name="OSRRefH22x_0" localSheetId="82">'413'!$H$24:$H$31,'413'!$H$33:$H$37,'413'!$H$39,'413'!$H$41,'413'!$H$43,'413'!$H$45,'413'!$H$47,'413'!$H$49:$H$51,'413'!$H$53:$H$54,'413'!$H$56:$H$61,'413'!$H$63</definedName>
    <definedName name="OSRRefH22x_0" localSheetId="83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4">'415'!$H$24:$H$31,'415'!$H$33:$H$38,'415'!$H$40,'415'!$H$42,'415'!$H$44,'415'!$H$46:$H$47,'415'!$H$49,'415'!$H$51,'415'!$H$53,'415'!$H$55,'415'!$H$57,'415'!$H$59:$H$62,'415'!$H$64:$H$68,'415'!$H$70:$H$71,'415'!$H$73:$H$79,'415'!$H$81,'415'!$H$83,'415'!$H$85</definedName>
    <definedName name="OSRRefH22x_0" localSheetId="85">'418'!$H$24:$H$31,'418'!$H$33:$H$38,'418'!$H$40,'418'!$H$42,'418'!$H$44,'418'!$H$46:$H$47,'418'!$H$49,'418'!$H$51,'418'!$H$53,'418'!$H$55,'418'!$H$57:$H$58,'418'!$H$60:$H$62,'418'!$H$64:$H$66,'418'!$H$68:$H$69,'418'!$H$71:$H$77,'418'!$H$79,'418'!$H$81</definedName>
    <definedName name="OSRRefH22x_0" localSheetId="81">'420'!$H$23:$H$30,'420'!$H$32:$H$35,'420'!$H$37,'420'!$H$39,'420'!$H$41,'420'!$H$43:$H$44,'420'!$H$46</definedName>
    <definedName name="OSRRefH22x_0" localSheetId="86">'423'!$H$21:$H$28,'423'!$H$30,'423'!$H$32,'423'!$H$34,'423'!$H$36,'423'!$H$38</definedName>
    <definedName name="OSRRefH22x_0" localSheetId="87">'424'!$H$24:$H$26,'424'!$H$28:$H$32,'424'!$H$34,'424'!$H$36,'424'!$H$38,'424'!$H$40,'424'!$H$42,'424'!$H$44:$H$45,'424'!$H$47,'424'!$H$49,'424'!$H$51:$H$56,'424'!$H$58</definedName>
    <definedName name="OSRRefH22x_0" localSheetId="88">'425'!$H$27:$H$35,'425'!$H$37:$H$42,'425'!$H$44,'425'!$H$46,'425'!$H$48,'425'!$H$50,'425'!$H$52,'425'!$H$54,'425'!$H$56,'425'!$H$58:$H$60,'425'!$H$62,'425'!$H$64:$H$65,'425'!$H$67:$H$73,'425'!$H$75,'425'!$H$77,'425'!$H$79</definedName>
    <definedName name="OSRRefH22x_0" localSheetId="91">'430'!$H$20:$H$27,'430'!$H$29,'430'!$H$31,'430'!$H$33,'430'!$H$35,'430'!$H$37,'430'!$H$39:$H$40,'430'!$H$42,'430'!$H$44,'430'!$H$46</definedName>
    <definedName name="OSRRefH22x_0" localSheetId="92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3">'435'!$H$25:$H$27,'435'!$H$29:$H$31,'435'!$H$33,'435'!$H$35,'435'!$H$37,'435'!$H$39,'435'!$H$41,'435'!$H$43,'435'!$H$45:$H$48,'435'!$H$50</definedName>
    <definedName name="OSRRefH22x_0" localSheetId="94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5">'445'!$H$20</definedName>
    <definedName name="OSRRefH22x_0" localSheetId="96">'450'!$H$25:$H$33,'450'!$H$35:$H$40,'450'!$H$42,'450'!$H$44,'450'!$H$46,'450'!$H$48,'450'!$H$50,'450'!$H$52,'450'!$H$54,'450'!$H$56,'450'!$H$58,'450'!$H$60:$H$62,'450'!$H$64:$H$66,'450'!$H$68:$H$74,'450'!$H$76,'450'!$H$78,'450'!$H$80:$H$81</definedName>
    <definedName name="OSRRefH22x_0" localSheetId="89">'455'!$H$20:$H$26,'455'!$H$28:$H$29,'455'!$H$31</definedName>
    <definedName name="OSRRefH22x_0" localSheetId="76">'491'!$H$33:$H$41,'491'!$H$43:$H$49,'491'!$H$51,'491'!$H$53,'491'!$H$55,'491'!$H$57:$H$59,'491'!$H$61,'491'!$H$63,'491'!$H$65,'491'!$H$67,'491'!$H$69,'491'!$H$71:$H$72,'491'!$H$74,'491'!$H$76,'491'!$H$78,'491'!$H$80,'491'!$H$82:$H$85,'491'!$H$87:$H$88,'491'!$H$90:$H$94,'491'!$H$96:$H$97,'491'!$H$99:$H$106,'491'!$H$108,'491'!$H$110,'491'!$H$112:$H$114,'491'!$H$116</definedName>
    <definedName name="OSRRefH22x_0" localSheetId="90">'492'!$H$28:$H$36,'492'!$H$38:$H$44,'492'!$H$46,'492'!$H$48,'492'!$H$50,'492'!$H$52,'492'!$H$54,'492'!$H$56,'492'!$H$58,'492'!$H$60,'492'!$H$62,'492'!$H$64,'492'!$H$66:$H$68,'492'!$H$70:$H$72,'492'!$H$74:$H$81,'492'!$H$83,'492'!$H$85,'492'!$H$87:$H$88</definedName>
    <definedName name="OSRRefH22x_0" localSheetId="98">'501'!$H$21:$H$28,'501'!$H$30:$H$35,'501'!$H$37,'501'!$H$39,'501'!$H$41,'501'!$H$43:$H$44,'501'!$H$46,'501'!$H$48,'501'!$H$50,'501'!$H$52,'501'!$H$54:$H$55,'501'!$H$57,'501'!$H$59:$H$62,'501'!$H$64,'501'!$H$66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2'!$H$77:$H$80,'Div 2'!$H$82:$H$83,'Div 2'!$H$85,'Div 2'!$H$87:$H$88</definedName>
    <definedName name="OSRRefH22x_0" localSheetId="47">'Div 3'!$H$168:$H$176,'Div 3'!$H$178:$H$184,'Div 3'!$H$186,'Div 3'!$H$188:$H$189,'Div 3'!$H$191,'Div 3'!$H$193:$H$194,'Div 3'!$H$196:$H$197,'Div 3'!$H$199,'Div 3'!$H$201,'Div 3'!$H$203,'Div 3'!$H$205:$H$206,'Div 3'!$H$208,'Div 3'!$H$210,'Div 3'!$H$212,'Div 3'!$H$214,'Div 3'!$H$216,'Div 3'!$H$218,'Div 3'!$H$220:$H$223,'Div 3'!$H$225:$H$227,'Div 3'!$H$229:$H$233,'Div 3'!$H$235:$H$236,'Div 3'!$H$238:$H$245,'Div 3'!$H$247:$H$248,'Div 3'!$H$250,'Div 3'!$H$252:$H$254,'Div 3'!$H$256</definedName>
    <definedName name="OSRRefH22x_0" localSheetId="74">'Div 4'!$H$34:$H$42,'Div 4'!$H$44:$H$50,'Div 4'!$H$52,'Div 4'!$H$54,'Div 4'!$H$56,'Div 4'!$H$58:$H$60,'Div 4'!$H$62,'Div 4'!$H$64,'Div 4'!$H$66,'Div 4'!$H$68,'Div 4'!$H$70,'Div 4'!$H$72:$H$73,'Div 4'!$H$75,'Div 4'!$H$77,'Div 4'!$H$79,'Div 4'!$H$81,'Div 4'!$H$83,'Div 4'!$H$85:$H$88,'Div 4'!$H$90:$H$91,'Div 4'!$H$93:$H$97,'Div 4'!$H$99:$H$100,'Div 4'!$H$102:$H$109,'Div 4'!$H$111,'Div 4'!$H$113,'Div 4'!$H$115:$H$117,'Div 4'!$H$119</definedName>
    <definedName name="OSRRefH22x_0" localSheetId="97">'Div 5'!$H$21:$H$28,'Div 5'!$H$30:$H$35,'Div 5'!$H$37,'Div 5'!$H$39,'Div 5'!$H$41,'Div 5'!$H$43:$H$44,'Div 5'!$H$46,'Div 5'!$H$48,'Div 5'!$H$50,'Div 5'!$H$52,'Div 5'!$H$54:$H$55,'Div 5'!$H$57,'Div 5'!$H$59:$H$62,'Div 5'!$H$64,'Div 5'!$H$66</definedName>
    <definedName name="OSRRefH22x_0" localSheetId="65">'Div 6'!$H$58:$H$66,'Div 6'!$H$68:$H$71,'Div 6'!$H$73,'Div 6'!$H$75,'Div 6'!$H$77,'Div 6'!$H$79,'Div 6'!$H$81,'Div 6'!$H$83,'Div 6'!$H$85,'Div 6'!$H$87,'Div 6'!$H$89,'Div 6'!$H$91,'Div 6'!$H$93:$H$94,'Div 6'!$H$96,'Div 6'!$H$98,'Div 6'!$H$100</definedName>
    <definedName name="OSRRefH22x_0" localSheetId="2">Summary!$H$202:$H$210,Summary!$H$212:$H$218,Summary!$H$220,Summary!$H$222:$H$223,Summary!$H$225,Summary!$H$227:$H$229,Summary!$H$231:$H$232,Summary!$H$234,Summary!$H$236,Summary!$H$238,Summary!$H$240:$H$241,Summary!$H$243:$H$244,Summary!$H$246,Summary!$H$248,Summary!$H$250,Summary!$H$252,Summary!$H$254,Summary!$H$256,Summary!$H$258:$H$261,Summary!$H$263:$H$265,Summary!$H$267:$H$271,Summary!$H$273:$H$274,Summary!$H$276:$H$283,Summary!$H$285:$H$286,Summary!$H$288,Summary!$H$290:$H$292,Summary!$H$294</definedName>
    <definedName name="OSRRefH25x_0" localSheetId="48">'300'!$H$250:$H$258</definedName>
    <definedName name="OSRRefH25x_0" localSheetId="49">'300 &amp; 317'!$H$275:$H$286</definedName>
    <definedName name="OSRRefH25x_0" localSheetId="50">'301'!$H$94:$H$96</definedName>
    <definedName name="OSRRefH25x_0" localSheetId="54">'307'!$H$118</definedName>
    <definedName name="OSRRefH25x_0" localSheetId="56">'308'!$H$115:$H$117</definedName>
    <definedName name="OSRRefH25x_0" localSheetId="75">'310 &amp; 491'!$H$128:$H$130</definedName>
    <definedName name="OSRRefH25x_0" localSheetId="57">'311'!$H$114:$H$116</definedName>
    <definedName name="OSRRefH25x_0" localSheetId="60">'315'!$H$108</definedName>
    <definedName name="OSRRefH25x_0" localSheetId="63">'316'!$H$75</definedName>
    <definedName name="OSRRefH25x_0" localSheetId="66">'317'!$H$103:$H$106</definedName>
    <definedName name="OSRRefH25x_0" localSheetId="64">'320'!$H$59:$H$63</definedName>
    <definedName name="OSRRefH25x_0" localSheetId="53">'330'!$H$134</definedName>
    <definedName name="OSRRefH25x_0" localSheetId="59">'331'!$H$147</definedName>
    <definedName name="OSRRefH25x_0" localSheetId="62">'332'!$H$87:$H$92</definedName>
    <definedName name="OSRRefH25x_0" localSheetId="79">'411'!$H$90:$H$91</definedName>
    <definedName name="OSRRefH25x_0" localSheetId="82">'413'!$H$66</definedName>
    <definedName name="OSRRefH25x_0" localSheetId="84">'415'!$H$88</definedName>
    <definedName name="OSRRefH25x_0" localSheetId="85">'418'!$H$84</definedName>
    <definedName name="OSRRefH25x_0" localSheetId="86">'423'!$H$41</definedName>
    <definedName name="OSRRefH25x_0" localSheetId="87">'424'!$H$61</definedName>
    <definedName name="OSRRefH25x_0" localSheetId="88">'425'!$H$82</definedName>
    <definedName name="OSRRefH25x_0" localSheetId="89">'455'!$H$34:$H$35</definedName>
    <definedName name="OSRRefH25x_0" localSheetId="76">'491'!$H$119:$H$121</definedName>
    <definedName name="OSRRefH25x_0" localSheetId="98">'501'!$H$69:$H$70</definedName>
    <definedName name="OSRRefH25x_0" localSheetId="47">'Div 3'!$H$259:$H$267</definedName>
    <definedName name="OSRRefH25x_0" localSheetId="74">'Div 4'!$H$122:$H$124</definedName>
    <definedName name="OSRRefH25x_0" localSheetId="97">'Div 5'!$H$69:$H$70</definedName>
    <definedName name="OSRRefH25x_0" localSheetId="65">'Div 6'!$H$103:$H$106</definedName>
    <definedName name="OSRRefH25x_0" localSheetId="2">Summary!$H$297:$H$309</definedName>
    <definedName name="OSRRefP13x_0" localSheetId="48">'300'!$P$13:$P$105</definedName>
    <definedName name="OSRRefP13x_0" localSheetId="49">'300 &amp; 317'!$P$13:$P$123</definedName>
    <definedName name="OSRRefP13x_0" localSheetId="54">'307'!$P$13:$P$46</definedName>
    <definedName name="OSRRefP13x_0" localSheetId="56">'308'!$P$13:$P$40</definedName>
    <definedName name="OSRRefP13x_0" localSheetId="68">'309'!$P$13:$P$14</definedName>
    <definedName name="OSRRefP13x_0" localSheetId="67">'310'!$P$13:$P$23</definedName>
    <definedName name="OSRRefP13x_0" localSheetId="75">'310 &amp; 491'!$P$13:$P$31</definedName>
    <definedName name="OSRRefP13x_0" localSheetId="57">'311'!$P$13:$P$39</definedName>
    <definedName name="OSRRefP13x_0" localSheetId="69">'313'!$P$13:$P$20</definedName>
    <definedName name="OSRRefP13x_0" localSheetId="55">'314'!$P$13:$P$33</definedName>
    <definedName name="OSRRefP13x_0" localSheetId="60">'315'!$P$13:$P$32</definedName>
    <definedName name="OSRRefP13x_0" localSheetId="63">'316'!$P$13:$P$25</definedName>
    <definedName name="OSRRefP13x_0" localSheetId="66">'317'!$P$13:$P$36</definedName>
    <definedName name="OSRRefP13x_0" localSheetId="64">'320'!$P$13:$P$16</definedName>
    <definedName name="OSRRefP13x_0" localSheetId="70">'321'!$P$13:$P$14</definedName>
    <definedName name="OSRRefP13x_0" localSheetId="71">'322'!$P$13:$P$14</definedName>
    <definedName name="OSRRefP13x_0" localSheetId="58">'324'!$P$13:$P$15</definedName>
    <definedName name="OSRRefP13x_0" localSheetId="72">'325'!$P$13:$P$14</definedName>
    <definedName name="OSRRefP13x_0" localSheetId="61">'326'!$P$13:$P$35</definedName>
    <definedName name="OSRRefP13x_0" localSheetId="73">'327'!$P$13</definedName>
    <definedName name="OSRRefP13x_0" localSheetId="53">'330'!$P$13:$P$50</definedName>
    <definedName name="OSRRefP13x_0" localSheetId="59">'331'!$P$13:$P$43</definedName>
    <definedName name="OSRRefP13x_0" localSheetId="62">'332'!$P$13:$P$29</definedName>
    <definedName name="OSRRefP13x_0" localSheetId="77">'405'!$P$13:$P$14</definedName>
    <definedName name="OSRRefP13x_0" localSheetId="78">'406'!$P$13:$P$14</definedName>
    <definedName name="OSRRefP13x_0" localSheetId="80">'412'!$P$13:$P$15</definedName>
    <definedName name="OSRRefP13x_0" localSheetId="82">'413'!$P$13:$P$14</definedName>
    <definedName name="OSRRefP13x_0" localSheetId="83">'414'!$P$13:$P$14</definedName>
    <definedName name="OSRRefP13x_0" localSheetId="84">'415'!$P$13:$P$14</definedName>
    <definedName name="OSRRefP13x_0" localSheetId="85">'418'!$P$13:$P$14</definedName>
    <definedName name="OSRRefP13x_0" localSheetId="81">'420'!$P$13:$P$14</definedName>
    <definedName name="OSRRefP13x_0" localSheetId="87">'424'!$P$13:$P$14</definedName>
    <definedName name="OSRRefP13x_0" localSheetId="88">'425'!$P$13:$P$17</definedName>
    <definedName name="OSRRefP13x_0" localSheetId="92">'433'!$P$13:$P$16</definedName>
    <definedName name="OSRRefP13x_0" localSheetId="93">'435'!$P$13:$P$15</definedName>
    <definedName name="OSRRefP13x_0" localSheetId="94">'444'!$P$13:$P$15</definedName>
    <definedName name="OSRRefP13x_0" localSheetId="96">'450'!$P$13:$P$15</definedName>
    <definedName name="OSRRefP13x_0" localSheetId="76">'491'!$P$13:$P$23</definedName>
    <definedName name="OSRRefP13x_0" localSheetId="90">'492'!$P$13:$P$18</definedName>
    <definedName name="OSRRefP13x_0" localSheetId="98">'501'!$P$13</definedName>
    <definedName name="OSRRefP13x_0" localSheetId="47">'Div 3'!$P$13:$P$108</definedName>
    <definedName name="OSRRefP13x_0" localSheetId="74">'Div 4'!$P$13:$P$24</definedName>
    <definedName name="OSRRefP13x_0" localSheetId="97">'Div 5'!$P$13</definedName>
    <definedName name="OSRRefP13x_0" localSheetId="65">'Div 6'!$P$13:$P$36</definedName>
    <definedName name="OSRRefP13x_0" localSheetId="2">Summary!$P$13:$P$135</definedName>
    <definedName name="OSRRefP16x_0" localSheetId="48">'300'!$P$108:$P$157</definedName>
    <definedName name="OSRRefP16x_0" localSheetId="49">'300 &amp; 317'!$P$126:$P$182</definedName>
    <definedName name="OSRRefP16x_0" localSheetId="54">'307'!$P$49:$P$68</definedName>
    <definedName name="OSRRefP16x_0" localSheetId="56">'308'!$P$43:$P$58</definedName>
    <definedName name="OSRRefP16x_0" localSheetId="68">'309'!$P$17:$P$18</definedName>
    <definedName name="OSRRefP16x_0" localSheetId="67">'310'!$P$26:$P$27</definedName>
    <definedName name="OSRRefP16x_0" localSheetId="75">'310 &amp; 491'!$P$34:$P$35</definedName>
    <definedName name="OSRRefP16x_0" localSheetId="57">'311'!$P$42:$P$57</definedName>
    <definedName name="OSRRefP16x_0" localSheetId="69">'313'!$P$23:$P$24</definedName>
    <definedName name="OSRRefP16x_0" localSheetId="55">'314'!$P$36:$P$50</definedName>
    <definedName name="OSRRefP16x_0" localSheetId="60">'315'!$P$35:$P$49</definedName>
    <definedName name="OSRRefP16x_0" localSheetId="66">'317'!$P$39:$P$52</definedName>
    <definedName name="OSRRefP16x_0" localSheetId="64">'320'!$P$19:$P$23</definedName>
    <definedName name="OSRRefP16x_0" localSheetId="70">'321'!$P$17:$P$18</definedName>
    <definedName name="OSRRefP16x_0" localSheetId="71">'322'!$P$17:$P$18</definedName>
    <definedName name="OSRRefP16x_0" localSheetId="58">'324'!$P$18:$P$19</definedName>
    <definedName name="OSRRefP16x_0" localSheetId="72">'325'!$P$17:$P$18</definedName>
    <definedName name="OSRRefP16x_0" localSheetId="61">'326'!$P$38:$P$55</definedName>
    <definedName name="OSRRefP16x_0" localSheetId="73">'327'!$P$16</definedName>
    <definedName name="OSRRefP16x_0" localSheetId="53">'330'!$P$53:$P$75</definedName>
    <definedName name="OSRRefP16x_0" localSheetId="59">'331'!$P$46:$P$68</definedName>
    <definedName name="OSRRefP16x_0" localSheetId="62">'332'!$P$32:$P$36</definedName>
    <definedName name="OSRRefP16x_0" localSheetId="77">'405'!$P$17:$P$18</definedName>
    <definedName name="OSRRefP16x_0" localSheetId="78">'406'!$P$17:$P$18</definedName>
    <definedName name="OSRRefP16x_0" localSheetId="80">'412'!$P$18</definedName>
    <definedName name="OSRRefP16x_0" localSheetId="82">'413'!$P$17:$P$18</definedName>
    <definedName name="OSRRefP16x_0" localSheetId="83">'414'!$P$17:$P$18</definedName>
    <definedName name="OSRRefP16x_0" localSheetId="84">'415'!$P$17:$P$18</definedName>
    <definedName name="OSRRefP16x_0" localSheetId="85">'418'!$P$17:$P$18</definedName>
    <definedName name="OSRRefP16x_0" localSheetId="81">'420'!$P$17</definedName>
    <definedName name="OSRRefP16x_0" localSheetId="86">'423'!$P$15</definedName>
    <definedName name="OSRRefP16x_0" localSheetId="87">'424'!$P$17:$P$18</definedName>
    <definedName name="OSRRefP16x_0" localSheetId="88">'425'!$P$20:$P$21</definedName>
    <definedName name="OSRRefP16x_0" localSheetId="92">'433'!$P$19:$P$20</definedName>
    <definedName name="OSRRefP16x_0" localSheetId="93">'435'!$P$18:$P$19</definedName>
    <definedName name="OSRRefP16x_0" localSheetId="94">'444'!$P$18:$P$19</definedName>
    <definedName name="OSRRefP16x_0" localSheetId="96">'450'!$P$18:$P$19</definedName>
    <definedName name="OSRRefP16x_0" localSheetId="76">'491'!$P$26:$P$27</definedName>
    <definedName name="OSRRefP16x_0" localSheetId="90">'492'!$P$21:$P$22</definedName>
    <definedName name="OSRRefP16x_0" localSheetId="47">'Div 3'!$P$111:$P$162</definedName>
    <definedName name="OSRRefP16x_0" localSheetId="74">'Div 4'!$P$27:$P$28</definedName>
    <definedName name="OSRRefP16x_0" localSheetId="65">'Div 6'!$P$39:$P$52</definedName>
    <definedName name="OSRRefP16x_0" localSheetId="2">Summary!$P$138:$P$196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'300'!$P$163:$P$171</definedName>
    <definedName name="OSRRefP22_0x_0" localSheetId="49">'300 &amp; 317'!$P$188:$P$196</definedName>
    <definedName name="OSRRefP22_0x_0" localSheetId="50">'301'!$P$20:$P$27</definedName>
    <definedName name="OSRRefP22_0x_0" localSheetId="51">'306'!$P$20:$P$28</definedName>
    <definedName name="OSRRefP22_0x_0" localSheetId="54">'307'!$P$74:$P$81</definedName>
    <definedName name="OSRRefP22_0x_0" localSheetId="56">'308'!$P$64:$P$72</definedName>
    <definedName name="OSRRefP22_0x_0" localSheetId="68">'309'!$P$24:$P$31</definedName>
    <definedName name="OSRRefP22_0x_0" localSheetId="67">'310'!$P$33:$P$40</definedName>
    <definedName name="OSRRefP22_0x_0" localSheetId="75">'310 &amp; 491'!$P$41:$P$49</definedName>
    <definedName name="OSRRefP22_0x_0" localSheetId="57">'311'!$P$63:$P$71</definedName>
    <definedName name="OSRRefP22_0x_0" localSheetId="69">'313'!$P$30:$P$37</definedName>
    <definedName name="OSRRefP22_0x_0" localSheetId="55">'314'!$P$56:$P$63</definedName>
    <definedName name="OSRRefP22_0x_0" localSheetId="60">'315'!$P$55:$P$62</definedName>
    <definedName name="OSRRefP22_0x_0" localSheetId="63">'316'!$P$33:$P$40</definedName>
    <definedName name="OSRRefP22_0x_0" localSheetId="66">'317'!$P$58:$P$66</definedName>
    <definedName name="OSRRefP22_0x_0" localSheetId="64">'320'!$P$29:$P$36</definedName>
    <definedName name="OSRRefP22_0x_0" localSheetId="70">'321'!$P$24:$P$30</definedName>
    <definedName name="OSRRefP22_0x_0" localSheetId="71">'322'!$P$24:$P$31</definedName>
    <definedName name="OSRRefP22_0x_0" localSheetId="58">'324'!$P$25</definedName>
    <definedName name="OSRRefP22_0x_0" localSheetId="72">'325'!$P$24:$P$31</definedName>
    <definedName name="OSRRefP22_0x_0" localSheetId="61">'326'!$P$61:$P$68</definedName>
    <definedName name="OSRRefP22_0x_0" localSheetId="73">'327'!$P$22</definedName>
    <definedName name="OSRRefP22_0x_0" localSheetId="53">'330'!$P$81:$P$88</definedName>
    <definedName name="OSRRefP22_0x_0" localSheetId="59">'331'!$P$74:$P$81</definedName>
    <definedName name="OSRRefP22_0x_0" localSheetId="62">'332'!$P$42:$P$49</definedName>
    <definedName name="OSRRefP22_0x_0" localSheetId="52">'335'!$P$20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'412'!$P$24:$P$31</definedName>
    <definedName name="OSRRefP22_0x_0" localSheetId="82">'413'!$P$24:$P$31</definedName>
    <definedName name="OSRRefP22_0x_0" localSheetId="83">'414'!$P$24:$P$31</definedName>
    <definedName name="OSRRefP22_0x_0" localSheetId="84">'415'!$P$24:$P$31</definedName>
    <definedName name="OSRRefP22_0x_0" localSheetId="85">'418'!$P$24:$P$31</definedName>
    <definedName name="OSRRefP22_0x_0" localSheetId="81">'420'!$P$23:$P$30</definedName>
    <definedName name="OSRRefP22_0x_0" localSheetId="86">'423'!$P$21:$P$28</definedName>
    <definedName name="OSRRefP22_0x_0" localSheetId="87">'424'!$P$24:$P$26</definedName>
    <definedName name="OSRRefP22_0x_0" localSheetId="88">'425'!$P$27:$P$35</definedName>
    <definedName name="OSRRefP22_0x_0" localSheetId="91">'430'!$P$20:$P$27</definedName>
    <definedName name="OSRRefP22_0x_0" localSheetId="92">'433'!$P$26:$P$34</definedName>
    <definedName name="OSRRefP22_0x_0" localSheetId="93">'435'!$P$25:$P$27</definedName>
    <definedName name="OSRRefP22_0x_0" localSheetId="94">'444'!$P$25:$P$33</definedName>
    <definedName name="OSRRefP22_0x_0" localSheetId="95">'445'!$P$20</definedName>
    <definedName name="OSRRefP22_0x_0" localSheetId="96">'450'!$P$25:$P$33</definedName>
    <definedName name="OSRRefP22_0x_0" localSheetId="89">'455'!$P$20:$P$26</definedName>
    <definedName name="OSRRefP22_0x_0" localSheetId="76">'491'!$P$33:$P$41</definedName>
    <definedName name="OSRRefP22_0x_0" localSheetId="90">'492'!$P$28:$P$36</definedName>
    <definedName name="OSRRefP22_0x_0" localSheetId="98">'501'!$P$21:$P$28</definedName>
    <definedName name="OSRRefP22_0x_0" localSheetId="39">'Div 2'!$P$20:$P$30</definedName>
    <definedName name="OSRRefP22_0x_0" localSheetId="47">'Div 3'!$P$168:$P$176</definedName>
    <definedName name="OSRRefP22_0x_0" localSheetId="74">'Div 4'!$P$34:$P$42</definedName>
    <definedName name="OSRRefP22_0x_0" localSheetId="97">'Div 5'!$P$21:$P$28</definedName>
    <definedName name="OSRRefP22_0x_0" localSheetId="65">'Div 6'!$P$58:$P$66</definedName>
    <definedName name="OSRRefP22_0x_0" localSheetId="2">Summary!$P$202:$P$210</definedName>
    <definedName name="OSRRefP22_10x_0" localSheetId="41">'201'!$P$50:$P$52</definedName>
    <definedName name="OSRRefP22_10x_0" localSheetId="42">'202'!$P$51:$P$53</definedName>
    <definedName name="OSRRefP22_10x_0" localSheetId="43">'203'!$P$55:$P$56</definedName>
    <definedName name="OSRRefP22_10x_0" localSheetId="44">'204'!$P$60:$P$61</definedName>
    <definedName name="OSRRefP22_10x_0" localSheetId="48">'300'!$P$200:$P$201</definedName>
    <definedName name="OSRRefP22_10x_0" localSheetId="49">'300 &amp; 317'!$P$225:$P$226</definedName>
    <definedName name="OSRRefP22_10x_0" localSheetId="50">'301'!$P$56</definedName>
    <definedName name="OSRRefP22_10x_0" localSheetId="51">'306'!$P$57</definedName>
    <definedName name="OSRRefP22_10x_0" localSheetId="54">'307'!$P$106:$P$107</definedName>
    <definedName name="OSRRefP22_10x_0" localSheetId="56">'308'!$P$99:$P$100</definedName>
    <definedName name="OSRRefP22_10x_0" localSheetId="68">'309'!$P$56:$P$58</definedName>
    <definedName name="OSRRefP22_10x_0" localSheetId="67">'310'!$P$67</definedName>
    <definedName name="OSRRefP22_10x_0" localSheetId="75">'310 &amp; 491'!$P$77:$P$78</definedName>
    <definedName name="OSRRefP22_10x_0" localSheetId="57">'311'!$P$98:$P$99</definedName>
    <definedName name="OSRRefP22_10x_0" localSheetId="69">'313'!$P$63:$P$64</definedName>
    <definedName name="OSRRefP22_10x_0" localSheetId="60">'315'!$P$91:$P$92</definedName>
    <definedName name="OSRRefP22_10x_0" localSheetId="63">'316'!$P$64:$P$68</definedName>
    <definedName name="OSRRefP22_10x_0" localSheetId="66">'317'!$P$89</definedName>
    <definedName name="OSRRefP22_10x_0" localSheetId="70">'321'!$P$58:$P$62</definedName>
    <definedName name="OSRRefP22_10x_0" localSheetId="71">'322'!$P$55:$P$56</definedName>
    <definedName name="OSRRefP22_10x_0" localSheetId="72">'325'!$P$57</definedName>
    <definedName name="OSRRefP22_10x_0" localSheetId="61">'326'!$P$91</definedName>
    <definedName name="OSRRefP22_10x_0" localSheetId="53">'330'!$P$113</definedName>
    <definedName name="OSRRefP22_10x_0" localSheetId="59">'331'!$P$108</definedName>
    <definedName name="OSRRefP22_10x_0" localSheetId="62">'332'!$P$74</definedName>
    <definedName name="OSRRefP22_10x_0" localSheetId="77">'405'!$P$55:$P$56</definedName>
    <definedName name="OSRRefP22_10x_0" localSheetId="78">'406'!$P$57:$P$58</definedName>
    <definedName name="OSRRefP22_10x_0" localSheetId="79">'411'!$P$55</definedName>
    <definedName name="OSRRefP22_10x_0" localSheetId="80">'412'!$P$57</definedName>
    <definedName name="OSRRefP22_10x_0" localSheetId="82">'413'!$P$63</definedName>
    <definedName name="OSRRefP22_10x_0" localSheetId="83">'414'!$P$57</definedName>
    <definedName name="OSRRefP22_10x_0" localSheetId="84">'415'!$P$57</definedName>
    <definedName name="OSRRefP22_10x_0" localSheetId="85">'418'!$P$57:$P$58</definedName>
    <definedName name="OSRRefP22_10x_0" localSheetId="87">'424'!$P$51:$P$56</definedName>
    <definedName name="OSRRefP22_10x_0" localSheetId="88">'425'!$P$62</definedName>
    <definedName name="OSRRefP22_10x_0" localSheetId="92">'433'!$P$59:$P$61</definedName>
    <definedName name="OSRRefP22_10x_0" localSheetId="94">'444'!$P$58</definedName>
    <definedName name="OSRRefP22_10x_0" localSheetId="96">'450'!$P$58</definedName>
    <definedName name="OSRRefP22_10x_0" localSheetId="76">'491'!$P$69</definedName>
    <definedName name="OSRRefP22_10x_0" localSheetId="90">'492'!$P$62</definedName>
    <definedName name="OSRRefP22_10x_0" localSheetId="98">'501'!$P$54:$P$55</definedName>
    <definedName name="OSRRefP22_10x_0" localSheetId="39">'Div 2'!$P$57</definedName>
    <definedName name="OSRRefP22_10x_0" localSheetId="47">'Div 3'!$P$205:$P$206</definedName>
    <definedName name="OSRRefP22_10x_0" localSheetId="74">'Div 4'!$P$70</definedName>
    <definedName name="OSRRefP22_10x_0" localSheetId="97">'Div 5'!$P$54:$P$55</definedName>
    <definedName name="OSRRefP22_10x_0" localSheetId="65">'Div 6'!$P$89</definedName>
    <definedName name="OSRRefP22_10x_0" localSheetId="2">Summary!$P$240:$P$241</definedName>
    <definedName name="OSRRefP22_11x_0" localSheetId="41">'201'!$P$54:$P$56</definedName>
    <definedName name="OSRRefP22_11x_0" localSheetId="42">'202'!$P$55</definedName>
    <definedName name="OSRRefP22_11x_0" localSheetId="43">'203'!$P$58:$P$59</definedName>
    <definedName name="OSRRefP22_11x_0" localSheetId="48">'300'!$P$203</definedName>
    <definedName name="OSRRefP22_11x_0" localSheetId="49">'300 &amp; 317'!$P$228</definedName>
    <definedName name="OSRRefP22_11x_0" localSheetId="50">'301'!$P$58</definedName>
    <definedName name="OSRRefP22_11x_0" localSheetId="54">'307'!$P$109:$P$111</definedName>
    <definedName name="OSRRefP22_11x_0" localSheetId="56">'308'!$P$102:$P$105</definedName>
    <definedName name="OSRRefP22_11x_0" localSheetId="68">'309'!$P$60</definedName>
    <definedName name="OSRRefP22_11x_0" localSheetId="67">'310'!$P$69</definedName>
    <definedName name="OSRRefP22_11x_0" localSheetId="75">'310 &amp; 491'!$P$80:$P$81</definedName>
    <definedName name="OSRRefP22_11x_0" localSheetId="57">'311'!$P$101:$P$104</definedName>
    <definedName name="OSRRefP22_11x_0" localSheetId="69">'313'!$P$66:$P$67</definedName>
    <definedName name="OSRRefP22_11x_0" localSheetId="60">'315'!$P$94:$P$98</definedName>
    <definedName name="OSRRefP22_11x_0" localSheetId="63">'316'!$P$70</definedName>
    <definedName name="OSRRefP22_11x_0" localSheetId="66">'317'!$P$91</definedName>
    <definedName name="OSRRefP22_11x_0" localSheetId="70">'321'!$P$64</definedName>
    <definedName name="OSRRefP22_11x_0" localSheetId="71">'322'!$P$58:$P$60</definedName>
    <definedName name="OSRRefP22_11x_0" localSheetId="72">'325'!$P$59:$P$61</definedName>
    <definedName name="OSRRefP22_11x_0" localSheetId="61">'326'!$P$93</definedName>
    <definedName name="OSRRefP22_11x_0" localSheetId="53">'330'!$P$115:$P$116</definedName>
    <definedName name="OSRRefP22_11x_0" localSheetId="59">'331'!$P$110</definedName>
    <definedName name="OSRRefP22_11x_0" localSheetId="62">'332'!$P$76:$P$80</definedName>
    <definedName name="OSRRefP22_11x_0" localSheetId="77">'405'!$P$58</definedName>
    <definedName name="OSRRefP22_11x_0" localSheetId="78">'406'!$P$60:$P$65</definedName>
    <definedName name="OSRRefP22_11x_0" localSheetId="79">'411'!$P$57:$P$59</definedName>
    <definedName name="OSRRefP22_11x_0" localSheetId="80">'412'!$P$59:$P$61</definedName>
    <definedName name="OSRRefP22_11x_0" localSheetId="83">'414'!$P$59</definedName>
    <definedName name="OSRRefP22_11x_0" localSheetId="84">'415'!$P$59:$P$62</definedName>
    <definedName name="OSRRefP22_11x_0" localSheetId="85">'418'!$P$60:$P$62</definedName>
    <definedName name="OSRRefP22_11x_0" localSheetId="87">'424'!$P$58</definedName>
    <definedName name="OSRRefP22_11x_0" localSheetId="88">'425'!$P$64:$P$65</definedName>
    <definedName name="OSRRefP22_11x_0" localSheetId="92">'433'!$P$63:$P$65</definedName>
    <definedName name="OSRRefP22_11x_0" localSheetId="94">'444'!$P$60:$P$62</definedName>
    <definedName name="OSRRefP22_11x_0" localSheetId="96">'450'!$P$60:$P$62</definedName>
    <definedName name="OSRRefP22_11x_0" localSheetId="76">'491'!$P$71:$P$72</definedName>
    <definedName name="OSRRefP22_11x_0" localSheetId="90">'492'!$P$64</definedName>
    <definedName name="OSRRefP22_11x_0" localSheetId="98">'501'!$P$57</definedName>
    <definedName name="OSRRefP22_11x_0" localSheetId="39">'Div 2'!$P$59</definedName>
    <definedName name="OSRRefP22_11x_0" localSheetId="47">'Div 3'!$P$208</definedName>
    <definedName name="OSRRefP22_11x_0" localSheetId="74">'Div 4'!$P$72:$P$73</definedName>
    <definedName name="OSRRefP22_11x_0" localSheetId="97">'Div 5'!$P$57</definedName>
    <definedName name="OSRRefP22_11x_0" localSheetId="65">'Div 6'!$P$91</definedName>
    <definedName name="OSRRefP22_11x_0" localSheetId="2">Summary!$P$243:$P$244</definedName>
    <definedName name="OSRRefP22_12x_0" localSheetId="41">'201'!$P$58</definedName>
    <definedName name="OSRRefP22_12x_0" localSheetId="42">'202'!$P$57</definedName>
    <definedName name="OSRRefP22_12x_0" localSheetId="43">'203'!$P$61:$P$63</definedName>
    <definedName name="OSRRefP22_12x_0" localSheetId="48">'300'!$P$205</definedName>
    <definedName name="OSRRefP22_12x_0" localSheetId="49">'300 &amp; 317'!$P$230</definedName>
    <definedName name="OSRRefP22_12x_0" localSheetId="50">'301'!$P$60</definedName>
    <definedName name="OSRRefP22_12x_0" localSheetId="54">'307'!$P$113</definedName>
    <definedName name="OSRRefP22_12x_0" localSheetId="56">'308'!$P$107:$P$108</definedName>
    <definedName name="OSRRefP22_12x_0" localSheetId="68">'309'!$P$62:$P$67</definedName>
    <definedName name="OSRRefP22_12x_0" localSheetId="67">'310'!$P$71</definedName>
    <definedName name="OSRRefP22_12x_0" localSheetId="75">'310 &amp; 491'!$P$83</definedName>
    <definedName name="OSRRefP22_12x_0" localSheetId="57">'311'!$P$106:$P$107</definedName>
    <definedName name="OSRRefP22_12x_0" localSheetId="69">'313'!$P$69:$P$74</definedName>
    <definedName name="OSRRefP22_12x_0" localSheetId="60">'315'!$P$100</definedName>
    <definedName name="OSRRefP22_12x_0" localSheetId="63">'316'!$P$72</definedName>
    <definedName name="OSRRefP22_12x_0" localSheetId="66">'317'!$P$93:$P$94</definedName>
    <definedName name="OSRRefP22_12x_0" localSheetId="70">'321'!$P$66</definedName>
    <definedName name="OSRRefP22_12x_0" localSheetId="71">'322'!$P$62</definedName>
    <definedName name="OSRRefP22_12x_0" localSheetId="72">'325'!$P$63:$P$66</definedName>
    <definedName name="OSRRefP22_12x_0" localSheetId="61">'326'!$P$95</definedName>
    <definedName name="OSRRefP22_12x_0" localSheetId="53">'330'!$P$118:$P$119</definedName>
    <definedName name="OSRRefP22_12x_0" localSheetId="59">'331'!$P$112</definedName>
    <definedName name="OSRRefP22_12x_0" localSheetId="62">'332'!$P$82</definedName>
    <definedName name="OSRRefP22_12x_0" localSheetId="77">'405'!$P$60:$P$62</definedName>
    <definedName name="OSRRefP22_12x_0" localSheetId="78">'406'!$P$67</definedName>
    <definedName name="OSRRefP22_12x_0" localSheetId="79">'411'!$P$61:$P$65</definedName>
    <definedName name="OSRRefP22_12x_0" localSheetId="80">'412'!$P$63:$P$69</definedName>
    <definedName name="OSRRefP22_12x_0" localSheetId="83">'414'!$P$61</definedName>
    <definedName name="OSRRefP22_12x_0" localSheetId="84">'415'!$P$64:$P$68</definedName>
    <definedName name="OSRRefP22_12x_0" localSheetId="85">'418'!$P$64:$P$66</definedName>
    <definedName name="OSRRefP22_12x_0" localSheetId="88">'425'!$P$67:$P$73</definedName>
    <definedName name="OSRRefP22_12x_0" localSheetId="92">'433'!$P$67:$P$73</definedName>
    <definedName name="OSRRefP22_12x_0" localSheetId="94">'444'!$P$64:$P$66</definedName>
    <definedName name="OSRRefP22_12x_0" localSheetId="96">'450'!$P$64:$P$66</definedName>
    <definedName name="OSRRefP22_12x_0" localSheetId="76">'491'!$P$74</definedName>
    <definedName name="OSRRefP22_12x_0" localSheetId="90">'492'!$P$66:$P$68</definedName>
    <definedName name="OSRRefP22_12x_0" localSheetId="98">'501'!$P$59:$P$62</definedName>
    <definedName name="OSRRefP22_12x_0" localSheetId="39">'Div 2'!$P$61:$P$64</definedName>
    <definedName name="OSRRefP22_12x_0" localSheetId="47">'Div 3'!$P$210</definedName>
    <definedName name="OSRRefP22_12x_0" localSheetId="74">'Div 4'!$P$75</definedName>
    <definedName name="OSRRefP22_12x_0" localSheetId="97">'Div 5'!$P$59:$P$62</definedName>
    <definedName name="OSRRefP22_12x_0" localSheetId="65">'Div 6'!$P$93:$P$94</definedName>
    <definedName name="OSRRefP22_12x_0" localSheetId="2">Summary!$P$246</definedName>
    <definedName name="OSRRefP22_13x_0" localSheetId="41">'201'!$P$60:$P$62</definedName>
    <definedName name="OSRRefP22_13x_0" localSheetId="42">'202'!$P$59:$P$61</definedName>
    <definedName name="OSRRefP22_13x_0" localSheetId="43">'203'!$P$65</definedName>
    <definedName name="OSRRefP22_13x_0" localSheetId="48">'300'!$P$207</definedName>
    <definedName name="OSRRefP22_13x_0" localSheetId="49">'300 &amp; 317'!$P$232</definedName>
    <definedName name="OSRRefP22_13x_0" localSheetId="50">'301'!$P$62</definedName>
    <definedName name="OSRRefP22_13x_0" localSheetId="54">'307'!$P$115</definedName>
    <definedName name="OSRRefP22_13x_0" localSheetId="56">'308'!$P$110</definedName>
    <definedName name="OSRRefP22_13x_0" localSheetId="68">'309'!$P$69</definedName>
    <definedName name="OSRRefP22_13x_0" localSheetId="67">'310'!$P$73</definedName>
    <definedName name="OSRRefP22_13x_0" localSheetId="75">'310 &amp; 491'!$P$85</definedName>
    <definedName name="OSRRefP22_13x_0" localSheetId="57">'311'!$P$109</definedName>
    <definedName name="OSRRefP22_13x_0" localSheetId="69">'313'!$P$76</definedName>
    <definedName name="OSRRefP22_13x_0" localSheetId="60">'315'!$P$102</definedName>
    <definedName name="OSRRefP22_13x_0" localSheetId="66">'317'!$P$96</definedName>
    <definedName name="OSRRefP22_13x_0" localSheetId="70">'321'!$P$68</definedName>
    <definedName name="OSRRefP22_13x_0" localSheetId="71">'322'!$P$64:$P$70</definedName>
    <definedName name="OSRRefP22_13x_0" localSheetId="72">'325'!$P$68:$P$69</definedName>
    <definedName name="OSRRefP22_13x_0" localSheetId="61">'326'!$P$97:$P$98</definedName>
    <definedName name="OSRRefP22_13x_0" localSheetId="53">'330'!$P$121</definedName>
    <definedName name="OSRRefP22_13x_0" localSheetId="59">'331'!$P$114</definedName>
    <definedName name="OSRRefP22_13x_0" localSheetId="62">'332'!$P$84</definedName>
    <definedName name="OSRRefP22_13x_0" localSheetId="77">'405'!$P$64:$P$65</definedName>
    <definedName name="OSRRefP22_13x_0" localSheetId="78">'406'!$P$69</definedName>
    <definedName name="OSRRefP22_13x_0" localSheetId="79">'411'!$P$67:$P$68</definedName>
    <definedName name="OSRRefP22_13x_0" localSheetId="80">'412'!$P$71</definedName>
    <definedName name="OSRRefP22_13x_0" localSheetId="83">'414'!$P$63:$P$69</definedName>
    <definedName name="OSRRefP22_13x_0" localSheetId="84">'415'!$P$70:$P$71</definedName>
    <definedName name="OSRRefP22_13x_0" localSheetId="85">'418'!$P$68:$P$69</definedName>
    <definedName name="OSRRefP22_13x_0" localSheetId="88">'425'!$P$75</definedName>
    <definedName name="OSRRefP22_13x_0" localSheetId="92">'433'!$P$75</definedName>
    <definedName name="OSRRefP22_13x_0" localSheetId="94">'444'!$P$68:$P$75</definedName>
    <definedName name="OSRRefP22_13x_0" localSheetId="96">'450'!$P$68:$P$74</definedName>
    <definedName name="OSRRefP22_13x_0" localSheetId="76">'491'!$P$76</definedName>
    <definedName name="OSRRefP22_13x_0" localSheetId="90">'492'!$P$70:$P$72</definedName>
    <definedName name="OSRRefP22_13x_0" localSheetId="98">'501'!$P$64</definedName>
    <definedName name="OSRRefP22_13x_0" localSheetId="39">'Div 2'!$P$66:$P$69</definedName>
    <definedName name="OSRRefP22_13x_0" localSheetId="47">'Div 3'!$P$212</definedName>
    <definedName name="OSRRefP22_13x_0" localSheetId="74">'Div 4'!$P$77</definedName>
    <definedName name="OSRRefP22_13x_0" localSheetId="97">'Div 5'!$P$64</definedName>
    <definedName name="OSRRefP22_13x_0" localSheetId="65">'Div 6'!$P$96</definedName>
    <definedName name="OSRRefP22_13x_0" localSheetId="2">Summary!$P$248</definedName>
    <definedName name="OSRRefP22_14x_0" localSheetId="41">'201'!$P$64</definedName>
    <definedName name="OSRRefP22_14x_0" localSheetId="42">'202'!$P$63</definedName>
    <definedName name="OSRRefP22_14x_0" localSheetId="43">'203'!$P$67</definedName>
    <definedName name="OSRRefP22_14x_0" localSheetId="48">'300'!$P$209</definedName>
    <definedName name="OSRRefP22_14x_0" localSheetId="49">'300 &amp; 317'!$P$234</definedName>
    <definedName name="OSRRefP22_14x_0" localSheetId="50">'301'!$P$64:$P$67</definedName>
    <definedName name="OSRRefP22_14x_0" localSheetId="56">'308'!$P$112</definedName>
    <definedName name="OSRRefP22_14x_0" localSheetId="67">'310'!$P$75:$P$77</definedName>
    <definedName name="OSRRefP22_14x_0" localSheetId="75">'310 &amp; 491'!$P$87</definedName>
    <definedName name="OSRRefP22_14x_0" localSheetId="57">'311'!$P$111</definedName>
    <definedName name="OSRRefP22_14x_0" localSheetId="69">'313'!$P$78</definedName>
    <definedName name="OSRRefP22_14x_0" localSheetId="60">'315'!$P$104:$P$105</definedName>
    <definedName name="OSRRefP22_14x_0" localSheetId="66">'317'!$P$98</definedName>
    <definedName name="OSRRefP22_14x_0" localSheetId="71">'322'!$P$72</definedName>
    <definedName name="OSRRefP22_14x_0" localSheetId="72">'325'!$P$71:$P$76</definedName>
    <definedName name="OSRRefP22_14x_0" localSheetId="61">'326'!$P$100:$P$102</definedName>
    <definedName name="OSRRefP22_14x_0" localSheetId="53">'330'!$P$123:$P$125</definedName>
    <definedName name="OSRRefP22_14x_0" localSheetId="59">'331'!$P$116:$P$118</definedName>
    <definedName name="OSRRefP22_14x_0" localSheetId="77">'405'!$P$67:$P$73</definedName>
    <definedName name="OSRRefP22_14x_0" localSheetId="79">'411'!$P$70:$P$77</definedName>
    <definedName name="OSRRefP22_14x_0" localSheetId="80">'412'!$P$73</definedName>
    <definedName name="OSRRefP22_14x_0" localSheetId="83">'414'!$P$71</definedName>
    <definedName name="OSRRefP22_14x_0" localSheetId="84">'415'!$P$73:$P$79</definedName>
    <definedName name="OSRRefP22_14x_0" localSheetId="85">'418'!$P$71:$P$77</definedName>
    <definedName name="OSRRefP22_14x_0" localSheetId="88">'425'!$P$77</definedName>
    <definedName name="OSRRefP22_14x_0" localSheetId="92">'433'!$P$77</definedName>
    <definedName name="OSRRefP22_14x_0" localSheetId="94">'444'!$P$77</definedName>
    <definedName name="OSRRefP22_14x_0" localSheetId="96">'450'!$P$76</definedName>
    <definedName name="OSRRefP22_14x_0" localSheetId="76">'491'!$P$78</definedName>
    <definedName name="OSRRefP22_14x_0" localSheetId="90">'492'!$P$74:$P$81</definedName>
    <definedName name="OSRRefP22_14x_0" localSheetId="98">'501'!$P$66</definedName>
    <definedName name="OSRRefP22_14x_0" localSheetId="39">'Div 2'!$P$71:$P$72</definedName>
    <definedName name="OSRRefP22_14x_0" localSheetId="47">'Div 3'!$P$214</definedName>
    <definedName name="OSRRefP22_14x_0" localSheetId="74">'Div 4'!$P$79</definedName>
    <definedName name="OSRRefP22_14x_0" localSheetId="97">'Div 5'!$P$66</definedName>
    <definedName name="OSRRefP22_14x_0" localSheetId="65">'Div 6'!$P$98</definedName>
    <definedName name="OSRRefP22_14x_0" localSheetId="2">Summary!$P$250</definedName>
    <definedName name="OSRRefP22_15x_0" localSheetId="41">'201'!$P$66</definedName>
    <definedName name="OSRRefP22_15x_0" localSheetId="42">'202'!$P$65</definedName>
    <definedName name="OSRRefP22_15x_0" localSheetId="43">'203'!$P$69</definedName>
    <definedName name="OSRRefP22_15x_0" localSheetId="48">'300'!$P$211</definedName>
    <definedName name="OSRRefP22_15x_0" localSheetId="49">'300 &amp; 317'!$P$236</definedName>
    <definedName name="OSRRefP22_15x_0" localSheetId="50">'301'!$P$69</definedName>
    <definedName name="OSRRefP22_15x_0" localSheetId="67">'310'!$P$79</definedName>
    <definedName name="OSRRefP22_15x_0" localSheetId="75">'310 &amp; 491'!$P$89</definedName>
    <definedName name="OSRRefP22_15x_0" localSheetId="66">'317'!$P$100</definedName>
    <definedName name="OSRRefP22_15x_0" localSheetId="71">'322'!$P$74</definedName>
    <definedName name="OSRRefP22_15x_0" localSheetId="72">'325'!$P$78</definedName>
    <definedName name="OSRRefP22_15x_0" localSheetId="61">'326'!$P$104</definedName>
    <definedName name="OSRRefP22_15x_0" localSheetId="53">'330'!$P$127</definedName>
    <definedName name="OSRRefP22_15x_0" localSheetId="59">'331'!$P$120:$P$121</definedName>
    <definedName name="OSRRefP22_15x_0" localSheetId="77">'405'!$P$75</definedName>
    <definedName name="OSRRefP22_15x_0" localSheetId="79">'411'!$P$79</definedName>
    <definedName name="OSRRefP22_15x_0" localSheetId="83">'414'!$P$73</definedName>
    <definedName name="OSRRefP22_15x_0" localSheetId="84">'415'!$P$81</definedName>
    <definedName name="OSRRefP22_15x_0" localSheetId="85">'418'!$P$79</definedName>
    <definedName name="OSRRefP22_15x_0" localSheetId="88">'425'!$P$79</definedName>
    <definedName name="OSRRefP22_15x_0" localSheetId="92">'433'!$P$79:$P$80</definedName>
    <definedName name="OSRRefP22_15x_0" localSheetId="94">'444'!$P$79</definedName>
    <definedName name="OSRRefP22_15x_0" localSheetId="96">'450'!$P$78</definedName>
    <definedName name="OSRRefP22_15x_0" localSheetId="76">'491'!$P$80</definedName>
    <definedName name="OSRRefP22_15x_0" localSheetId="90">'492'!$P$83</definedName>
    <definedName name="OSRRefP22_15x_0" localSheetId="39">'Div 2'!$P$74:$P$75</definedName>
    <definedName name="OSRRefP22_15x_0" localSheetId="47">'Div 3'!$P$216</definedName>
    <definedName name="OSRRefP22_15x_0" localSheetId="74">'Div 4'!$P$81</definedName>
    <definedName name="OSRRefP22_15x_0" localSheetId="65">'Div 6'!$P$100</definedName>
    <definedName name="OSRRefP22_15x_0" localSheetId="2">Summary!$P$252</definedName>
    <definedName name="OSRRefP22_16x_0" localSheetId="41">'201'!$P$68:$P$69</definedName>
    <definedName name="OSRRefP22_16x_0" localSheetId="42">'202'!$P$67</definedName>
    <definedName name="OSRRefP22_16x_0" localSheetId="48">'300'!$P$213:$P$216</definedName>
    <definedName name="OSRRefP22_16x_0" localSheetId="49">'300 &amp; 317'!$P$238:$P$241</definedName>
    <definedName name="OSRRefP22_16x_0" localSheetId="50">'301'!$P$71:$P$73</definedName>
    <definedName name="OSRRefP22_16x_0" localSheetId="67">'310'!$P$81:$P$84</definedName>
    <definedName name="OSRRefP22_16x_0" localSheetId="75">'310 &amp; 491'!$P$91:$P$94</definedName>
    <definedName name="OSRRefP22_16x_0" localSheetId="72">'325'!$P$80</definedName>
    <definedName name="OSRRefP22_16x_0" localSheetId="61">'326'!$P$106:$P$110</definedName>
    <definedName name="OSRRefP22_16x_0" localSheetId="53">'330'!$P$129</definedName>
    <definedName name="OSRRefP22_16x_0" localSheetId="59">'331'!$P$123:$P$125</definedName>
    <definedName name="OSRRefP22_16x_0" localSheetId="77">'405'!$P$77</definedName>
    <definedName name="OSRRefP22_16x_0" localSheetId="79">'411'!$P$81</definedName>
    <definedName name="OSRRefP22_16x_0" localSheetId="84">'415'!$P$83</definedName>
    <definedName name="OSRRefP22_16x_0" localSheetId="85">'418'!$P$81</definedName>
    <definedName name="OSRRefP22_16x_0" localSheetId="94">'444'!$P$81</definedName>
    <definedName name="OSRRefP22_16x_0" localSheetId="96">'450'!$P$80:$P$81</definedName>
    <definedName name="OSRRefP22_16x_0" localSheetId="76">'491'!$P$82:$P$85</definedName>
    <definedName name="OSRRefP22_16x_0" localSheetId="90">'492'!$P$85</definedName>
    <definedName name="OSRRefP22_16x_0" localSheetId="39">'Div 2'!$P$77:$P$80</definedName>
    <definedName name="OSRRefP22_16x_0" localSheetId="47">'Div 3'!$P$218</definedName>
    <definedName name="OSRRefP22_16x_0" localSheetId="74">'Div 4'!$P$83</definedName>
    <definedName name="OSRRefP22_16x_0" localSheetId="2">Summary!$P$254</definedName>
    <definedName name="OSRRefP22_17x_0" localSheetId="48">'300'!$P$218:$P$220</definedName>
    <definedName name="OSRRefP22_17x_0" localSheetId="49">'300 &amp; 317'!$P$243:$P$245</definedName>
    <definedName name="OSRRefP22_17x_0" localSheetId="50">'301'!$P$75</definedName>
    <definedName name="OSRRefP22_17x_0" localSheetId="67">'310'!$P$86:$P$87</definedName>
    <definedName name="OSRRefP22_17x_0" localSheetId="75">'310 &amp; 491'!$P$96:$P$97</definedName>
    <definedName name="OSRRefP22_17x_0" localSheetId="72">'325'!$P$82</definedName>
    <definedName name="OSRRefP22_17x_0" localSheetId="61">'326'!$P$112</definedName>
    <definedName name="OSRRefP22_17x_0" localSheetId="53">'330'!$P$131</definedName>
    <definedName name="OSRRefP22_17x_0" localSheetId="59">'331'!$P$127:$P$128</definedName>
    <definedName name="OSRRefP22_17x_0" localSheetId="77">'405'!$P$79</definedName>
    <definedName name="OSRRefP22_17x_0" localSheetId="79">'411'!$P$83:$P$85</definedName>
    <definedName name="OSRRefP22_17x_0" localSheetId="84">'415'!$P$85</definedName>
    <definedName name="OSRRefP22_17x_0" localSheetId="76">'491'!$P$87:$P$88</definedName>
    <definedName name="OSRRefP22_17x_0" localSheetId="90">'492'!$P$87:$P$88</definedName>
    <definedName name="OSRRefP22_17x_0" localSheetId="39">'Div 2'!$P$82:$P$83</definedName>
    <definedName name="OSRRefP22_17x_0" localSheetId="47">'Div 3'!$P$220:$P$223</definedName>
    <definedName name="OSRRefP22_17x_0" localSheetId="74">'Div 4'!$P$85:$P$88</definedName>
    <definedName name="OSRRefP22_17x_0" localSheetId="2">Summary!$P$256</definedName>
    <definedName name="OSRRefP22_18x_0" localSheetId="48">'300'!$P$222:$P$225</definedName>
    <definedName name="OSRRefP22_18x_0" localSheetId="49">'300 &amp; 317'!$P$247:$P$250</definedName>
    <definedName name="OSRRefP22_18x_0" localSheetId="50">'301'!$P$77:$P$81</definedName>
    <definedName name="OSRRefP22_18x_0" localSheetId="67">'310'!$P$89:$P$96</definedName>
    <definedName name="OSRRefP22_18x_0" localSheetId="75">'310 &amp; 491'!$P$99:$P$103</definedName>
    <definedName name="OSRRefP22_18x_0" localSheetId="61">'326'!$P$114</definedName>
    <definedName name="OSRRefP22_18x_0" localSheetId="59">'331'!$P$130:$P$135</definedName>
    <definedName name="OSRRefP22_18x_0" localSheetId="79">'411'!$P$87</definedName>
    <definedName name="OSRRefP22_18x_0" localSheetId="76">'491'!$P$90:$P$94</definedName>
    <definedName name="OSRRefP22_18x_0" localSheetId="39">'Div 2'!$P$85</definedName>
    <definedName name="OSRRefP22_18x_0" localSheetId="47">'Div 3'!$P$225:$P$227</definedName>
    <definedName name="OSRRefP22_18x_0" localSheetId="74">'Div 4'!$P$90:$P$91</definedName>
    <definedName name="OSRRefP22_18x_0" localSheetId="2">Summary!$P$258:$P$261</definedName>
    <definedName name="OSRRefP22_19x_0" localSheetId="48">'300'!$P$227:$P$228</definedName>
    <definedName name="OSRRefP22_19x_0" localSheetId="49">'300 &amp; 317'!$P$252:$P$253</definedName>
    <definedName name="OSRRefP22_19x_0" localSheetId="50">'301'!$P$83</definedName>
    <definedName name="OSRRefP22_19x_0" localSheetId="67">'310'!$P$98</definedName>
    <definedName name="OSRRefP22_19x_0" localSheetId="75">'310 &amp; 491'!$P$105:$P$106</definedName>
    <definedName name="OSRRefP22_19x_0" localSheetId="61">'326'!$P$116</definedName>
    <definedName name="OSRRefP22_19x_0" localSheetId="59">'331'!$P$137</definedName>
    <definedName name="OSRRefP22_19x_0" localSheetId="76">'491'!$P$96:$P$97</definedName>
    <definedName name="OSRRefP22_19x_0" localSheetId="39">'Div 2'!$P$87:$P$88</definedName>
    <definedName name="OSRRefP22_19x_0" localSheetId="47">'Div 3'!$P$229:$P$233</definedName>
    <definedName name="OSRRefP22_19x_0" localSheetId="74">'Div 4'!$P$93:$P$97</definedName>
    <definedName name="OSRRefP22_19x_0" localSheetId="2">Summary!$P$263:$P$265</definedName>
    <definedName name="OSRRefP22_1x_0" localSheetId="40">'200'!$P$22</definedName>
    <definedName name="OSRRefP22_1x_0" localSheetId="41">'201'!$P$30:$P$32</definedName>
    <definedName name="OSRRefP22_1x_0" localSheetId="42">'202'!$P$29:$P$33</definedName>
    <definedName name="OSRRefP22_1x_0" localSheetId="43">'203'!$P$31:$P$35</definedName>
    <definedName name="OSRRefP22_1x_0" localSheetId="44">'204'!$P$31:$P$36</definedName>
    <definedName name="OSRRefP22_1x_0" localSheetId="45">'205'!$P$29</definedName>
    <definedName name="OSRRefP22_1x_0" localSheetId="46">'206'!$P$29:$P$34</definedName>
    <definedName name="OSRRefP22_1x_0" localSheetId="48">'300'!$P$173:$P$179</definedName>
    <definedName name="OSRRefP22_1x_0" localSheetId="49">'300 &amp; 317'!$P$198:$P$204</definedName>
    <definedName name="OSRRefP22_1x_0" localSheetId="50">'301'!$P$29:$P$35</definedName>
    <definedName name="OSRRefP22_1x_0" localSheetId="51">'306'!$P$30:$P$34</definedName>
    <definedName name="OSRRefP22_1x_0" localSheetId="54">'307'!$P$83:$P$86</definedName>
    <definedName name="OSRRefP22_1x_0" localSheetId="56">'308'!$P$74:$P$78</definedName>
    <definedName name="OSRRefP22_1x_0" localSheetId="68">'309'!$P$33:$P$37</definedName>
    <definedName name="OSRRefP22_1x_0" localSheetId="67">'310'!$P$42:$P$47</definedName>
    <definedName name="OSRRefP22_1x_0" localSheetId="75">'310 &amp; 491'!$P$51:$P$57</definedName>
    <definedName name="OSRRefP22_1x_0" localSheetId="57">'311'!$P$73:$P$77</definedName>
    <definedName name="OSRRefP22_1x_0" localSheetId="69">'313'!$P$39:$P$43</definedName>
    <definedName name="OSRRefP22_1x_0" localSheetId="55">'314'!$P$65:$P$68</definedName>
    <definedName name="OSRRefP22_1x_0" localSheetId="60">'315'!$P$64:$P$69</definedName>
    <definedName name="OSRRefP22_1x_0" localSheetId="63">'316'!$P$42:$P$45</definedName>
    <definedName name="OSRRefP22_1x_0" localSheetId="66">'317'!$P$68:$P$71</definedName>
    <definedName name="OSRRefP22_1x_0" localSheetId="64">'320'!$P$38:$P$40</definedName>
    <definedName name="OSRRefP22_1x_0" localSheetId="70">'321'!$P$32:$P$36</definedName>
    <definedName name="OSRRefP22_1x_0" localSheetId="71">'322'!$P$33:$P$37</definedName>
    <definedName name="OSRRefP22_1x_0" localSheetId="72">'325'!$P$33:$P$38</definedName>
    <definedName name="OSRRefP22_1x_0" localSheetId="61">'326'!$P$70:$P$73</definedName>
    <definedName name="OSRRefP22_1x_0" localSheetId="73">'327'!$P$24</definedName>
    <definedName name="OSRRefP22_1x_0" localSheetId="53">'330'!$P$90:$P$94</definedName>
    <definedName name="OSRRefP22_1x_0" localSheetId="59">'331'!$P$83:$P$88</definedName>
    <definedName name="OSRRefP22_1x_0" localSheetId="62">'332'!$P$51:$P$54</definedName>
    <definedName name="OSRRefP22_1x_0" localSheetId="77">'405'!$P$33:$P$36</definedName>
    <definedName name="OSRRefP22_1x_0" localSheetId="78">'406'!$P$33:$P$37</definedName>
    <definedName name="OSRRefP22_1x_0" localSheetId="79">'411'!$P$30:$P$35</definedName>
    <definedName name="OSRRefP22_1x_0" localSheetId="80">'412'!$P$33:$P$38</definedName>
    <definedName name="OSRRefP22_1x_0" localSheetId="82">'413'!$P$33:$P$37</definedName>
    <definedName name="OSRRefP22_1x_0" localSheetId="83">'414'!$P$33:$P$38</definedName>
    <definedName name="OSRRefP22_1x_0" localSheetId="84">'415'!$P$33:$P$38</definedName>
    <definedName name="OSRRefP22_1x_0" localSheetId="85">'418'!$P$33:$P$38</definedName>
    <definedName name="OSRRefP22_1x_0" localSheetId="81">'420'!$P$32:$P$35</definedName>
    <definedName name="OSRRefP22_1x_0" localSheetId="86">'423'!$P$30</definedName>
    <definedName name="OSRRefP22_1x_0" localSheetId="87">'424'!$P$28:$P$32</definedName>
    <definedName name="OSRRefP22_1x_0" localSheetId="88">'425'!$P$37:$P$42</definedName>
    <definedName name="OSRRefP22_1x_0" localSheetId="91">'430'!$P$29</definedName>
    <definedName name="OSRRefP22_1x_0" localSheetId="92">'433'!$P$36:$P$41</definedName>
    <definedName name="OSRRefP22_1x_0" localSheetId="93">'435'!$P$29:$P$31</definedName>
    <definedName name="OSRRefP22_1x_0" localSheetId="94">'444'!$P$35:$P$40</definedName>
    <definedName name="OSRRefP22_1x_0" localSheetId="96">'450'!$P$35:$P$40</definedName>
    <definedName name="OSRRefP22_1x_0" localSheetId="89">'455'!$P$28:$P$29</definedName>
    <definedName name="OSRRefP22_1x_0" localSheetId="76">'491'!$P$43:$P$49</definedName>
    <definedName name="OSRRefP22_1x_0" localSheetId="90">'492'!$P$38:$P$44</definedName>
    <definedName name="OSRRefP22_1x_0" localSheetId="98">'501'!$P$30:$P$35</definedName>
    <definedName name="OSRRefP22_1x_0" localSheetId="39">'Div 2'!$P$32:$P$38</definedName>
    <definedName name="OSRRefP22_1x_0" localSheetId="47">'Div 3'!$P$178:$P$184</definedName>
    <definedName name="OSRRefP22_1x_0" localSheetId="74">'Div 4'!$P$44:$P$50</definedName>
    <definedName name="OSRRefP22_1x_0" localSheetId="97">'Div 5'!$P$30:$P$35</definedName>
    <definedName name="OSRRefP22_1x_0" localSheetId="65">'Div 6'!$P$68:$P$71</definedName>
    <definedName name="OSRRefP22_1x_0" localSheetId="2">Summary!$P$212:$P$218</definedName>
    <definedName name="OSRRefP22_20x_0" localSheetId="48">'300'!$P$230:$P$236</definedName>
    <definedName name="OSRRefP22_20x_0" localSheetId="49">'300 &amp; 317'!$P$255:$P$261</definedName>
    <definedName name="OSRRefP22_20x_0" localSheetId="50">'301'!$P$85</definedName>
    <definedName name="OSRRefP22_20x_0" localSheetId="67">'310'!$P$100</definedName>
    <definedName name="OSRRefP22_20x_0" localSheetId="75">'310 &amp; 491'!$P$108:$P$115</definedName>
    <definedName name="OSRRefP22_20x_0" localSheetId="59">'331'!$P$139</definedName>
    <definedName name="OSRRefP22_20x_0" localSheetId="76">'491'!$P$99:$P$106</definedName>
    <definedName name="OSRRefP22_20x_0" localSheetId="47">'Div 3'!$P$235:$P$236</definedName>
    <definedName name="OSRRefP22_20x_0" localSheetId="74">'Div 4'!$P$99:$P$100</definedName>
    <definedName name="OSRRefP22_20x_0" localSheetId="2">Summary!$P$267:$P$271</definedName>
    <definedName name="OSRRefP22_21x_0" localSheetId="48">'300'!$P$238:$P$239</definedName>
    <definedName name="OSRRefP22_21x_0" localSheetId="49">'300 &amp; 317'!$P$263:$P$264</definedName>
    <definedName name="OSRRefP22_21x_0" localSheetId="50">'301'!$P$87:$P$89</definedName>
    <definedName name="OSRRefP22_21x_0" localSheetId="67">'310'!$P$102</definedName>
    <definedName name="OSRRefP22_21x_0" localSheetId="75">'310 &amp; 491'!$P$117</definedName>
    <definedName name="OSRRefP22_21x_0" localSheetId="59">'331'!$P$141:$P$142</definedName>
    <definedName name="OSRRefP22_21x_0" localSheetId="76">'491'!$P$108</definedName>
    <definedName name="OSRRefP22_21x_0" localSheetId="47">'Div 3'!$P$238:$P$245</definedName>
    <definedName name="OSRRefP22_21x_0" localSheetId="74">'Div 4'!$P$102:$P$109</definedName>
    <definedName name="OSRRefP22_21x_0" localSheetId="2">Summary!$P$273:$P$274</definedName>
    <definedName name="OSRRefP22_22x_0" localSheetId="48">'300'!$P$241</definedName>
    <definedName name="OSRRefP22_22x_0" localSheetId="49">'300 &amp; 317'!$P$266</definedName>
    <definedName name="OSRRefP22_22x_0" localSheetId="50">'301'!$P$91</definedName>
    <definedName name="OSRRefP22_22x_0" localSheetId="75">'310 &amp; 491'!$P$119</definedName>
    <definedName name="OSRRefP22_22x_0" localSheetId="59">'331'!$P$144</definedName>
    <definedName name="OSRRefP22_22x_0" localSheetId="76">'491'!$P$110</definedName>
    <definedName name="OSRRefP22_22x_0" localSheetId="47">'Div 3'!$P$247:$P$248</definedName>
    <definedName name="OSRRefP22_22x_0" localSheetId="74">'Div 4'!$P$111</definedName>
    <definedName name="OSRRefP22_22x_0" localSheetId="2">Summary!$P$276:$P$283</definedName>
    <definedName name="OSRRefP22_23x_0" localSheetId="48">'300'!$P$243:$P$245</definedName>
    <definedName name="OSRRefP22_23x_0" localSheetId="49">'300 &amp; 317'!$P$268:$P$270</definedName>
    <definedName name="OSRRefP22_23x_0" localSheetId="75">'310 &amp; 491'!$P$121:$P$123</definedName>
    <definedName name="OSRRefP22_23x_0" localSheetId="76">'491'!$P$112:$P$114</definedName>
    <definedName name="OSRRefP22_23x_0" localSheetId="47">'Div 3'!$P$250</definedName>
    <definedName name="OSRRefP22_23x_0" localSheetId="74">'Div 4'!$P$113</definedName>
    <definedName name="OSRRefP22_23x_0" localSheetId="2">Summary!$P$285:$P$286</definedName>
    <definedName name="OSRRefP22_24x_0" localSheetId="48">'300'!$P$247</definedName>
    <definedName name="OSRRefP22_24x_0" localSheetId="49">'300 &amp; 317'!$P$272</definedName>
    <definedName name="OSRRefP22_24x_0" localSheetId="75">'310 &amp; 491'!$P$125</definedName>
    <definedName name="OSRRefP22_24x_0" localSheetId="76">'491'!$P$116</definedName>
    <definedName name="OSRRefP22_24x_0" localSheetId="47">'Div 3'!$P$252:$P$254</definedName>
    <definedName name="OSRRefP22_24x_0" localSheetId="74">'Div 4'!$P$115:$P$117</definedName>
    <definedName name="OSRRefP22_24x_0" localSheetId="2">Summary!$P$288</definedName>
    <definedName name="OSRRefP22_25x_0" localSheetId="47">'Div 3'!$P$256</definedName>
    <definedName name="OSRRefP22_25x_0" localSheetId="74">'Div 4'!$P$119</definedName>
    <definedName name="OSRRefP22_25x_0" localSheetId="2">Summary!$P$290:$P$292</definedName>
    <definedName name="OSRRefP22_26x_0" localSheetId="2">Summary!$P$294</definedName>
    <definedName name="OSRRefP22_2x_0" localSheetId="40">'200'!$P$24</definedName>
    <definedName name="OSRRefP22_2x_0" localSheetId="41">'201'!$P$34</definedName>
    <definedName name="OSRRefP22_2x_0" localSheetId="42">'202'!$P$35</definedName>
    <definedName name="OSRRefP22_2x_0" localSheetId="43">'203'!$P$37</definedName>
    <definedName name="OSRRefP22_2x_0" localSheetId="44">'204'!$P$38</definedName>
    <definedName name="OSRRefP22_2x_0" localSheetId="45">'205'!$P$31</definedName>
    <definedName name="OSRRefP22_2x_0" localSheetId="46">'206'!$P$36</definedName>
    <definedName name="OSRRefP22_2x_0" localSheetId="48">'300'!$P$181</definedName>
    <definedName name="OSRRefP22_2x_0" localSheetId="49">'300 &amp; 317'!$P$206</definedName>
    <definedName name="OSRRefP22_2x_0" localSheetId="50">'301'!$P$37</definedName>
    <definedName name="OSRRefP22_2x_0" localSheetId="51">'306'!$P$36</definedName>
    <definedName name="OSRRefP22_2x_0" localSheetId="54">'307'!$P$88</definedName>
    <definedName name="OSRRefP22_2x_0" localSheetId="56">'308'!$P$80</definedName>
    <definedName name="OSRRefP22_2x_0" localSheetId="68">'309'!$P$39</definedName>
    <definedName name="OSRRefP22_2x_0" localSheetId="67">'310'!$P$49</definedName>
    <definedName name="OSRRefP22_2x_0" localSheetId="75">'310 &amp; 491'!$P$59</definedName>
    <definedName name="OSRRefP22_2x_0" localSheetId="57">'311'!$P$79</definedName>
    <definedName name="OSRRefP22_2x_0" localSheetId="69">'313'!$P$45</definedName>
    <definedName name="OSRRefP22_2x_0" localSheetId="55">'314'!$P$70</definedName>
    <definedName name="OSRRefP22_2x_0" localSheetId="60">'315'!$P$71</definedName>
    <definedName name="OSRRefP22_2x_0" localSheetId="63">'316'!$P$47</definedName>
    <definedName name="OSRRefP22_2x_0" localSheetId="66">'317'!$P$73</definedName>
    <definedName name="OSRRefP22_2x_0" localSheetId="64">'320'!$P$42</definedName>
    <definedName name="OSRRefP22_2x_0" localSheetId="70">'321'!$P$38</definedName>
    <definedName name="OSRRefP22_2x_0" localSheetId="71">'322'!$P$39</definedName>
    <definedName name="OSRRefP22_2x_0" localSheetId="72">'325'!$P$40</definedName>
    <definedName name="OSRRefP22_2x_0" localSheetId="61">'326'!$P$75</definedName>
    <definedName name="OSRRefP22_2x_0" localSheetId="73">'327'!$P$26</definedName>
    <definedName name="OSRRefP22_2x_0" localSheetId="53">'330'!$P$96</definedName>
    <definedName name="OSRRefP22_2x_0" localSheetId="59">'331'!$P$90</definedName>
    <definedName name="OSRRefP22_2x_0" localSheetId="62">'332'!$P$56</definedName>
    <definedName name="OSRRefP22_2x_0" localSheetId="77">'405'!$P$38</definedName>
    <definedName name="OSRRefP22_2x_0" localSheetId="78">'406'!$P$39</definedName>
    <definedName name="OSRRefP22_2x_0" localSheetId="79">'411'!$P$37</definedName>
    <definedName name="OSRRefP22_2x_0" localSheetId="80">'412'!$P$40</definedName>
    <definedName name="OSRRefP22_2x_0" localSheetId="82">'413'!$P$39</definedName>
    <definedName name="OSRRefP22_2x_0" localSheetId="83">'414'!$P$40</definedName>
    <definedName name="OSRRefP22_2x_0" localSheetId="84">'415'!$P$40</definedName>
    <definedName name="OSRRefP22_2x_0" localSheetId="85">'418'!$P$40</definedName>
    <definedName name="OSRRefP22_2x_0" localSheetId="81">'420'!$P$37</definedName>
    <definedName name="OSRRefP22_2x_0" localSheetId="86">'423'!$P$32</definedName>
    <definedName name="OSRRefP22_2x_0" localSheetId="87">'424'!$P$34</definedName>
    <definedName name="OSRRefP22_2x_0" localSheetId="88">'425'!$P$44</definedName>
    <definedName name="OSRRefP22_2x_0" localSheetId="91">'430'!$P$31</definedName>
    <definedName name="OSRRefP22_2x_0" localSheetId="92">'433'!$P$43</definedName>
    <definedName name="OSRRefP22_2x_0" localSheetId="93">'435'!$P$33</definedName>
    <definedName name="OSRRefP22_2x_0" localSheetId="94">'444'!$P$42</definedName>
    <definedName name="OSRRefP22_2x_0" localSheetId="96">'450'!$P$42</definedName>
    <definedName name="OSRRefP22_2x_0" localSheetId="89">'455'!$P$31</definedName>
    <definedName name="OSRRefP22_2x_0" localSheetId="76">'491'!$P$51</definedName>
    <definedName name="OSRRefP22_2x_0" localSheetId="90">'492'!$P$46</definedName>
    <definedName name="OSRRefP22_2x_0" localSheetId="98">'501'!$P$37</definedName>
    <definedName name="OSRRefP22_2x_0" localSheetId="39">'Div 2'!$P$40</definedName>
    <definedName name="OSRRefP22_2x_0" localSheetId="47">'Div 3'!$P$186</definedName>
    <definedName name="OSRRefP22_2x_0" localSheetId="74">'Div 4'!$P$52</definedName>
    <definedName name="OSRRefP22_2x_0" localSheetId="97">'Div 5'!$P$37</definedName>
    <definedName name="OSRRefP22_2x_0" localSheetId="65">'Div 6'!$P$73</definedName>
    <definedName name="OSRRefP22_2x_0" localSheetId="2">Summary!$P$220</definedName>
    <definedName name="OSRRefP22_3x_0" localSheetId="40">'200'!$P$26</definedName>
    <definedName name="OSRRefP22_3x_0" localSheetId="41">'201'!$P$36</definedName>
    <definedName name="OSRRefP22_3x_0" localSheetId="42">'202'!$P$37</definedName>
    <definedName name="OSRRefP22_3x_0" localSheetId="43">'203'!$P$39</definedName>
    <definedName name="OSRRefP22_3x_0" localSheetId="44">'204'!$P$40:$P$41</definedName>
    <definedName name="OSRRefP22_3x_0" localSheetId="45">'205'!$P$33</definedName>
    <definedName name="OSRRefP22_3x_0" localSheetId="46">'206'!$P$38</definedName>
    <definedName name="OSRRefP22_3x_0" localSheetId="48">'300'!$P$183:$P$184</definedName>
    <definedName name="OSRRefP22_3x_0" localSheetId="49">'300 &amp; 317'!$P$208:$P$209</definedName>
    <definedName name="OSRRefP22_3x_0" localSheetId="50">'301'!$P$39:$P$40</definedName>
    <definedName name="OSRRefP22_3x_0" localSheetId="51">'306'!$P$38</definedName>
    <definedName name="OSRRefP22_3x_0" localSheetId="54">'307'!$P$90</definedName>
    <definedName name="OSRRefP22_3x_0" localSheetId="56">'308'!$P$82:$P$83</definedName>
    <definedName name="OSRRefP22_3x_0" localSheetId="68">'309'!$P$41</definedName>
    <definedName name="OSRRefP22_3x_0" localSheetId="67">'310'!$P$51</definedName>
    <definedName name="OSRRefP22_3x_0" localSheetId="75">'310 &amp; 491'!$P$61</definedName>
    <definedName name="OSRRefP22_3x_0" localSheetId="57">'311'!$P$81:$P$82</definedName>
    <definedName name="OSRRefP22_3x_0" localSheetId="69">'313'!$P$47</definedName>
    <definedName name="OSRRefP22_3x_0" localSheetId="55">'314'!$P$72:$P$73</definedName>
    <definedName name="OSRRefP22_3x_0" localSheetId="60">'315'!$P$73:$P$74</definedName>
    <definedName name="OSRRefP22_3x_0" localSheetId="63">'316'!$P$49</definedName>
    <definedName name="OSRRefP22_3x_0" localSheetId="66">'317'!$P$75</definedName>
    <definedName name="OSRRefP22_3x_0" localSheetId="64">'320'!$P$44</definedName>
    <definedName name="OSRRefP22_3x_0" localSheetId="70">'321'!$P$40</definedName>
    <definedName name="OSRRefP22_3x_0" localSheetId="71">'322'!$P$41</definedName>
    <definedName name="OSRRefP22_3x_0" localSheetId="72">'325'!$P$42</definedName>
    <definedName name="OSRRefP22_3x_0" localSheetId="61">'326'!$P$77</definedName>
    <definedName name="OSRRefP22_3x_0" localSheetId="53">'330'!$P$98</definedName>
    <definedName name="OSRRefP22_3x_0" localSheetId="59">'331'!$P$92</definedName>
    <definedName name="OSRRefP22_3x_0" localSheetId="62">'332'!$P$58</definedName>
    <definedName name="OSRRefP22_3x_0" localSheetId="77">'405'!$P$40</definedName>
    <definedName name="OSRRefP22_3x_0" localSheetId="78">'406'!$P$41</definedName>
    <definedName name="OSRRefP22_3x_0" localSheetId="79">'411'!$P$39:$P$41</definedName>
    <definedName name="OSRRefP22_3x_0" localSheetId="80">'412'!$P$42</definedName>
    <definedName name="OSRRefP22_3x_0" localSheetId="82">'413'!$P$41</definedName>
    <definedName name="OSRRefP22_3x_0" localSheetId="83">'414'!$P$42</definedName>
    <definedName name="OSRRefP22_3x_0" localSheetId="84">'415'!$P$42</definedName>
    <definedName name="OSRRefP22_3x_0" localSheetId="85">'418'!$P$42</definedName>
    <definedName name="OSRRefP22_3x_0" localSheetId="81">'420'!$P$39</definedName>
    <definedName name="OSRRefP22_3x_0" localSheetId="86">'423'!$P$34</definedName>
    <definedName name="OSRRefP22_3x_0" localSheetId="87">'424'!$P$36</definedName>
    <definedName name="OSRRefP22_3x_0" localSheetId="88">'425'!$P$46</definedName>
    <definedName name="OSRRefP22_3x_0" localSheetId="91">'430'!$P$33</definedName>
    <definedName name="OSRRefP22_3x_0" localSheetId="92">'433'!$P$45</definedName>
    <definedName name="OSRRefP22_3x_0" localSheetId="93">'435'!$P$35</definedName>
    <definedName name="OSRRefP22_3x_0" localSheetId="94">'444'!$P$44</definedName>
    <definedName name="OSRRefP22_3x_0" localSheetId="96">'450'!$P$44</definedName>
    <definedName name="OSRRefP22_3x_0" localSheetId="76">'491'!$P$53</definedName>
    <definedName name="OSRRefP22_3x_0" localSheetId="90">'492'!$P$48</definedName>
    <definedName name="OSRRefP22_3x_0" localSheetId="98">'501'!$P$39</definedName>
    <definedName name="OSRRefP22_3x_0" localSheetId="39">'Div 2'!$P$42</definedName>
    <definedName name="OSRRefP22_3x_0" localSheetId="47">'Div 3'!$P$188:$P$189</definedName>
    <definedName name="OSRRefP22_3x_0" localSheetId="74">'Div 4'!$P$54</definedName>
    <definedName name="OSRRefP22_3x_0" localSheetId="97">'Div 5'!$P$39</definedName>
    <definedName name="OSRRefP22_3x_0" localSheetId="65">'Div 6'!$P$75</definedName>
    <definedName name="OSRRefP22_3x_0" localSheetId="2">Summary!$P$222:$P$223</definedName>
    <definedName name="OSRRefP22_4x_0" localSheetId="40">'200'!$P$28:$P$29</definedName>
    <definedName name="OSRRefP22_4x_0" localSheetId="41">'201'!$P$38</definedName>
    <definedName name="OSRRefP22_4x_0" localSheetId="42">'202'!$P$39</definedName>
    <definedName name="OSRRefP22_4x_0" localSheetId="43">'203'!$P$41</definedName>
    <definedName name="OSRRefP22_4x_0" localSheetId="44">'204'!$P$43</definedName>
    <definedName name="OSRRefP22_4x_0" localSheetId="45">'205'!$P$35:$P$36</definedName>
    <definedName name="OSRRefP22_4x_0" localSheetId="46">'206'!$P$40</definedName>
    <definedName name="OSRRefP22_4x_0" localSheetId="48">'300'!$P$186</definedName>
    <definedName name="OSRRefP22_4x_0" localSheetId="49">'300 &amp; 317'!$P$211</definedName>
    <definedName name="OSRRefP22_4x_0" localSheetId="50">'301'!$P$42</definedName>
    <definedName name="OSRRefP22_4x_0" localSheetId="51">'306'!$P$40</definedName>
    <definedName name="OSRRefP22_4x_0" localSheetId="54">'307'!$P$92:$P$93</definedName>
    <definedName name="OSRRefP22_4x_0" localSheetId="56">'308'!$P$85</definedName>
    <definedName name="OSRRefP22_4x_0" localSheetId="68">'309'!$P$43</definedName>
    <definedName name="OSRRefP22_4x_0" localSheetId="67">'310'!$P$53</definedName>
    <definedName name="OSRRefP22_4x_0" localSheetId="75">'310 &amp; 491'!$P$63</definedName>
    <definedName name="OSRRefP22_4x_0" localSheetId="57">'311'!$P$84</definedName>
    <definedName name="OSRRefP22_4x_0" localSheetId="69">'313'!$P$49</definedName>
    <definedName name="OSRRefP22_4x_0" localSheetId="55">'314'!$P$75</definedName>
    <definedName name="OSRRefP22_4x_0" localSheetId="60">'315'!$P$76</definedName>
    <definedName name="OSRRefP22_4x_0" localSheetId="63">'316'!$P$51</definedName>
    <definedName name="OSRRefP22_4x_0" localSheetId="66">'317'!$P$77</definedName>
    <definedName name="OSRRefP22_4x_0" localSheetId="64">'320'!$P$46:$P$47</definedName>
    <definedName name="OSRRefP22_4x_0" localSheetId="70">'321'!$P$42</definedName>
    <definedName name="OSRRefP22_4x_0" localSheetId="71">'322'!$P$43</definedName>
    <definedName name="OSRRefP22_4x_0" localSheetId="72">'325'!$P$44</definedName>
    <definedName name="OSRRefP22_4x_0" localSheetId="61">'326'!$P$79</definedName>
    <definedName name="OSRRefP22_4x_0" localSheetId="53">'330'!$P$100:$P$101</definedName>
    <definedName name="OSRRefP22_4x_0" localSheetId="59">'331'!$P$94</definedName>
    <definedName name="OSRRefP22_4x_0" localSheetId="62">'332'!$P$60</definedName>
    <definedName name="OSRRefP22_4x_0" localSheetId="77">'405'!$P$42</definedName>
    <definedName name="OSRRefP22_4x_0" localSheetId="78">'406'!$P$43</definedName>
    <definedName name="OSRRefP22_4x_0" localSheetId="79">'411'!$P$43</definedName>
    <definedName name="OSRRefP22_4x_0" localSheetId="80">'412'!$P$44</definedName>
    <definedName name="OSRRefP22_4x_0" localSheetId="82">'413'!$P$43</definedName>
    <definedName name="OSRRefP22_4x_0" localSheetId="83">'414'!$P$44</definedName>
    <definedName name="OSRRefP22_4x_0" localSheetId="84">'415'!$P$44</definedName>
    <definedName name="OSRRefP22_4x_0" localSheetId="85">'418'!$P$44</definedName>
    <definedName name="OSRRefP22_4x_0" localSheetId="81">'420'!$P$41</definedName>
    <definedName name="OSRRefP22_4x_0" localSheetId="86">'423'!$P$36</definedName>
    <definedName name="OSRRefP22_4x_0" localSheetId="87">'424'!$P$38</definedName>
    <definedName name="OSRRefP22_4x_0" localSheetId="88">'425'!$P$48</definedName>
    <definedName name="OSRRefP22_4x_0" localSheetId="91">'430'!$P$35</definedName>
    <definedName name="OSRRefP22_4x_0" localSheetId="92">'433'!$P$47</definedName>
    <definedName name="OSRRefP22_4x_0" localSheetId="93">'435'!$P$37</definedName>
    <definedName name="OSRRefP22_4x_0" localSheetId="94">'444'!$P$46</definedName>
    <definedName name="OSRRefP22_4x_0" localSheetId="96">'450'!$P$46</definedName>
    <definedName name="OSRRefP22_4x_0" localSheetId="76">'491'!$P$55</definedName>
    <definedName name="OSRRefP22_4x_0" localSheetId="90">'492'!$P$50</definedName>
    <definedName name="OSRRefP22_4x_0" localSheetId="98">'501'!$P$41</definedName>
    <definedName name="OSRRefP22_4x_0" localSheetId="39">'Div 2'!$P$44</definedName>
    <definedName name="OSRRefP22_4x_0" localSheetId="47">'Div 3'!$P$191</definedName>
    <definedName name="OSRRefP22_4x_0" localSheetId="74">'Div 4'!$P$56</definedName>
    <definedName name="OSRRefP22_4x_0" localSheetId="97">'Div 5'!$P$41</definedName>
    <definedName name="OSRRefP22_4x_0" localSheetId="65">'Div 6'!$P$77</definedName>
    <definedName name="OSRRefP22_4x_0" localSheetId="2">Summary!$P$225</definedName>
    <definedName name="OSRRefP22_5x_0" localSheetId="41">'201'!$P$40</definedName>
    <definedName name="OSRRefP22_5x_0" localSheetId="42">'202'!$P$41</definedName>
    <definedName name="OSRRefP22_5x_0" localSheetId="43">'203'!$P$43</definedName>
    <definedName name="OSRRefP22_5x_0" localSheetId="44">'204'!$P$45</definedName>
    <definedName name="OSRRefP22_5x_0" localSheetId="45">'205'!$P$38</definedName>
    <definedName name="OSRRefP22_5x_0" localSheetId="46">'206'!$P$42:$P$43</definedName>
    <definedName name="OSRRefP22_5x_0" localSheetId="48">'300'!$P$188:$P$189</definedName>
    <definedName name="OSRRefP22_5x_0" localSheetId="49">'300 &amp; 317'!$P$213:$P$214</definedName>
    <definedName name="OSRRefP22_5x_0" localSheetId="50">'301'!$P$44:$P$45</definedName>
    <definedName name="OSRRefP22_5x_0" localSheetId="51">'306'!$P$42</definedName>
    <definedName name="OSRRefP22_5x_0" localSheetId="54">'307'!$P$95</definedName>
    <definedName name="OSRRefP22_5x_0" localSheetId="56">'308'!$P$87</definedName>
    <definedName name="OSRRefP22_5x_0" localSheetId="68">'309'!$P$45</definedName>
    <definedName name="OSRRefP22_5x_0" localSheetId="67">'310'!$P$55:$P$56</definedName>
    <definedName name="OSRRefP22_5x_0" localSheetId="75">'310 &amp; 491'!$P$65:$P$67</definedName>
    <definedName name="OSRRefP22_5x_0" localSheetId="57">'311'!$P$86</definedName>
    <definedName name="OSRRefP22_5x_0" localSheetId="69">'313'!$P$51</definedName>
    <definedName name="OSRRefP22_5x_0" localSheetId="55">'314'!$P$77</definedName>
    <definedName name="OSRRefP22_5x_0" localSheetId="60">'315'!$P$78:$P$79</definedName>
    <definedName name="OSRRefP22_5x_0" localSheetId="63">'316'!$P$53</definedName>
    <definedName name="OSRRefP22_5x_0" localSheetId="66">'317'!$P$79</definedName>
    <definedName name="OSRRefP22_5x_0" localSheetId="64">'320'!$P$49</definedName>
    <definedName name="OSRRefP22_5x_0" localSheetId="70">'321'!$P$44</definedName>
    <definedName name="OSRRefP22_5x_0" localSheetId="71">'322'!$P$45</definedName>
    <definedName name="OSRRefP22_5x_0" localSheetId="72">'325'!$P$46:$P$47</definedName>
    <definedName name="OSRRefP22_5x_0" localSheetId="61">'326'!$P$81</definedName>
    <definedName name="OSRRefP22_5x_0" localSheetId="53">'330'!$P$103</definedName>
    <definedName name="OSRRefP22_5x_0" localSheetId="59">'331'!$P$96:$P$97</definedName>
    <definedName name="OSRRefP22_5x_0" localSheetId="62">'332'!$P$62</definedName>
    <definedName name="OSRRefP22_5x_0" localSheetId="77">'405'!$P$44:$P$45</definedName>
    <definedName name="OSRRefP22_5x_0" localSheetId="78">'406'!$P$45</definedName>
    <definedName name="OSRRefP22_5x_0" localSheetId="79">'411'!$P$45</definedName>
    <definedName name="OSRRefP22_5x_0" localSheetId="80">'412'!$P$46</definedName>
    <definedName name="OSRRefP22_5x_0" localSheetId="82">'413'!$P$45</definedName>
    <definedName name="OSRRefP22_5x_0" localSheetId="83">'414'!$P$46</definedName>
    <definedName name="OSRRefP22_5x_0" localSheetId="84">'415'!$P$46:$P$47</definedName>
    <definedName name="OSRRefP22_5x_0" localSheetId="85">'418'!$P$46:$P$47</definedName>
    <definedName name="OSRRefP22_5x_0" localSheetId="81">'420'!$P$43:$P$44</definedName>
    <definedName name="OSRRefP22_5x_0" localSheetId="86">'423'!$P$38</definedName>
    <definedName name="OSRRefP22_5x_0" localSheetId="87">'424'!$P$40</definedName>
    <definedName name="OSRRefP22_5x_0" localSheetId="88">'425'!$P$50</definedName>
    <definedName name="OSRRefP22_5x_0" localSheetId="91">'430'!$P$37</definedName>
    <definedName name="OSRRefP22_5x_0" localSheetId="92">'433'!$P$49</definedName>
    <definedName name="OSRRefP22_5x_0" localSheetId="93">'435'!$P$39</definedName>
    <definedName name="OSRRefP22_5x_0" localSheetId="94">'444'!$P$48</definedName>
    <definedName name="OSRRefP22_5x_0" localSheetId="96">'450'!$P$48</definedName>
    <definedName name="OSRRefP22_5x_0" localSheetId="76">'491'!$P$57:$P$59</definedName>
    <definedName name="OSRRefP22_5x_0" localSheetId="90">'492'!$P$52</definedName>
    <definedName name="OSRRefP22_5x_0" localSheetId="98">'501'!$P$43:$P$44</definedName>
    <definedName name="OSRRefP22_5x_0" localSheetId="39">'Div 2'!$P$46:$P$47</definedName>
    <definedName name="OSRRefP22_5x_0" localSheetId="47">'Div 3'!$P$193:$P$194</definedName>
    <definedName name="OSRRefP22_5x_0" localSheetId="74">'Div 4'!$P$58:$P$60</definedName>
    <definedName name="OSRRefP22_5x_0" localSheetId="97">'Div 5'!$P$43:$P$44</definedName>
    <definedName name="OSRRefP22_5x_0" localSheetId="65">'Div 6'!$P$79</definedName>
    <definedName name="OSRRefP22_5x_0" localSheetId="2">Summary!$P$227:$P$229</definedName>
    <definedName name="OSRRefP22_6x_0" localSheetId="41">'201'!$P$42</definedName>
    <definedName name="OSRRefP22_6x_0" localSheetId="42">'202'!$P$43</definedName>
    <definedName name="OSRRefP22_6x_0" localSheetId="43">'203'!$P$45</definedName>
    <definedName name="OSRRefP22_6x_0" localSheetId="44">'204'!$P$47:$P$50</definedName>
    <definedName name="OSRRefP22_6x_0" localSheetId="45">'205'!$P$40:$P$41</definedName>
    <definedName name="OSRRefP22_6x_0" localSheetId="46">'206'!$P$45</definedName>
    <definedName name="OSRRefP22_6x_0" localSheetId="48">'300'!$P$191:$P$192</definedName>
    <definedName name="OSRRefP22_6x_0" localSheetId="49">'300 &amp; 317'!$P$216:$P$217</definedName>
    <definedName name="OSRRefP22_6x_0" localSheetId="50">'301'!$P$47:$P$48</definedName>
    <definedName name="OSRRefP22_6x_0" localSheetId="51">'306'!$P$44</definedName>
    <definedName name="OSRRefP22_6x_0" localSheetId="54">'307'!$P$97</definedName>
    <definedName name="OSRRefP22_6x_0" localSheetId="56">'308'!$P$89:$P$90</definedName>
    <definedName name="OSRRefP22_6x_0" localSheetId="68">'309'!$P$47</definedName>
    <definedName name="OSRRefP22_6x_0" localSheetId="67">'310'!$P$58</definedName>
    <definedName name="OSRRefP22_6x_0" localSheetId="75">'310 &amp; 491'!$P$69</definedName>
    <definedName name="OSRRefP22_6x_0" localSheetId="57">'311'!$P$88:$P$89</definedName>
    <definedName name="OSRRefP22_6x_0" localSheetId="69">'313'!$P$53</definedName>
    <definedName name="OSRRefP22_6x_0" localSheetId="55">'314'!$P$79</definedName>
    <definedName name="OSRRefP22_6x_0" localSheetId="60">'315'!$P$81</definedName>
    <definedName name="OSRRefP22_6x_0" localSheetId="63">'316'!$P$55</definedName>
    <definedName name="OSRRefP22_6x_0" localSheetId="66">'317'!$P$81</definedName>
    <definedName name="OSRRefP22_6x_0" localSheetId="64">'320'!$P$51</definedName>
    <definedName name="OSRRefP22_6x_0" localSheetId="70">'321'!$P$46</definedName>
    <definedName name="OSRRefP22_6x_0" localSheetId="71">'322'!$P$47</definedName>
    <definedName name="OSRRefP22_6x_0" localSheetId="72">'325'!$P$49</definedName>
    <definedName name="OSRRefP22_6x_0" localSheetId="61">'326'!$P$83</definedName>
    <definedName name="OSRRefP22_6x_0" localSheetId="53">'330'!$P$105</definedName>
    <definedName name="OSRRefP22_6x_0" localSheetId="59">'331'!$P$99</definedName>
    <definedName name="OSRRefP22_6x_0" localSheetId="62">'332'!$P$64:$P$65</definedName>
    <definedName name="OSRRefP22_6x_0" localSheetId="77">'405'!$P$47</definedName>
    <definedName name="OSRRefP22_6x_0" localSheetId="78">'406'!$P$47</definedName>
    <definedName name="OSRRefP22_6x_0" localSheetId="79">'411'!$P$47</definedName>
    <definedName name="OSRRefP22_6x_0" localSheetId="80">'412'!$P$48</definedName>
    <definedName name="OSRRefP22_6x_0" localSheetId="82">'413'!$P$47</definedName>
    <definedName name="OSRRefP22_6x_0" localSheetId="83">'414'!$P$48</definedName>
    <definedName name="OSRRefP22_6x_0" localSheetId="84">'415'!$P$49</definedName>
    <definedName name="OSRRefP22_6x_0" localSheetId="85">'418'!$P$49</definedName>
    <definedName name="OSRRefP22_6x_0" localSheetId="81">'420'!$P$46</definedName>
    <definedName name="OSRRefP22_6x_0" localSheetId="87">'424'!$P$42</definedName>
    <definedName name="OSRRefP22_6x_0" localSheetId="88">'425'!$P$52</definedName>
    <definedName name="OSRRefP22_6x_0" localSheetId="91">'430'!$P$39:$P$40</definedName>
    <definedName name="OSRRefP22_6x_0" localSheetId="92">'433'!$P$51</definedName>
    <definedName name="OSRRefP22_6x_0" localSheetId="93">'435'!$P$41</definedName>
    <definedName name="OSRRefP22_6x_0" localSheetId="94">'444'!$P$50</definedName>
    <definedName name="OSRRefP22_6x_0" localSheetId="96">'450'!$P$50</definedName>
    <definedName name="OSRRefP22_6x_0" localSheetId="76">'491'!$P$61</definedName>
    <definedName name="OSRRefP22_6x_0" localSheetId="90">'492'!$P$54</definedName>
    <definedName name="OSRRefP22_6x_0" localSheetId="98">'501'!$P$46</definedName>
    <definedName name="OSRRefP22_6x_0" localSheetId="39">'Div 2'!$P$49</definedName>
    <definedName name="OSRRefP22_6x_0" localSheetId="47">'Div 3'!$P$196:$P$197</definedName>
    <definedName name="OSRRefP22_6x_0" localSheetId="74">'Div 4'!$P$62</definedName>
    <definedName name="OSRRefP22_6x_0" localSheetId="97">'Div 5'!$P$46</definedName>
    <definedName name="OSRRefP22_6x_0" localSheetId="65">'Div 6'!$P$81</definedName>
    <definedName name="OSRRefP22_6x_0" localSheetId="2">Summary!$P$231:$P$232</definedName>
    <definedName name="OSRRefP22_7x_0" localSheetId="41">'201'!$P$44</definedName>
    <definedName name="OSRRefP22_7x_0" localSheetId="42">'202'!$P$45</definedName>
    <definedName name="OSRRefP22_7x_0" localSheetId="43">'203'!$P$47</definedName>
    <definedName name="OSRRefP22_7x_0" localSheetId="44">'204'!$P$52:$P$53</definedName>
    <definedName name="OSRRefP22_7x_0" localSheetId="45">'205'!$P$43</definedName>
    <definedName name="OSRRefP22_7x_0" localSheetId="46">'206'!$P$47</definedName>
    <definedName name="OSRRefP22_7x_0" localSheetId="48">'300'!$P$194</definedName>
    <definedName name="OSRRefP22_7x_0" localSheetId="49">'300 &amp; 317'!$P$219</definedName>
    <definedName name="OSRRefP22_7x_0" localSheetId="50">'301'!$P$50</definedName>
    <definedName name="OSRRefP22_7x_0" localSheetId="51">'306'!$P$46:$P$47</definedName>
    <definedName name="OSRRefP22_7x_0" localSheetId="54">'307'!$P$99</definedName>
    <definedName name="OSRRefP22_7x_0" localSheetId="56">'308'!$P$92</definedName>
    <definedName name="OSRRefP22_7x_0" localSheetId="68">'309'!$P$49</definedName>
    <definedName name="OSRRefP22_7x_0" localSheetId="67">'310'!$P$60</definedName>
    <definedName name="OSRRefP22_7x_0" localSheetId="75">'310 &amp; 491'!$P$71</definedName>
    <definedName name="OSRRefP22_7x_0" localSheetId="57">'311'!$P$91</definedName>
    <definedName name="OSRRefP22_7x_0" localSheetId="69">'313'!$P$55</definedName>
    <definedName name="OSRRefP22_7x_0" localSheetId="55">'314'!$P$81:$P$82</definedName>
    <definedName name="OSRRefP22_7x_0" localSheetId="60">'315'!$P$83</definedName>
    <definedName name="OSRRefP22_7x_0" localSheetId="63">'316'!$P$57</definedName>
    <definedName name="OSRRefP22_7x_0" localSheetId="66">'317'!$P$83</definedName>
    <definedName name="OSRRefP22_7x_0" localSheetId="64">'320'!$P$53:$P$54</definedName>
    <definedName name="OSRRefP22_7x_0" localSheetId="70">'321'!$P$48:$P$50</definedName>
    <definedName name="OSRRefP22_7x_0" localSheetId="71">'322'!$P$49</definedName>
    <definedName name="OSRRefP22_7x_0" localSheetId="72">'325'!$P$51</definedName>
    <definedName name="OSRRefP22_7x_0" localSheetId="61">'326'!$P$85</definedName>
    <definedName name="OSRRefP22_7x_0" localSheetId="53">'330'!$P$107</definedName>
    <definedName name="OSRRefP22_7x_0" localSheetId="59">'331'!$P$101</definedName>
    <definedName name="OSRRefP22_7x_0" localSheetId="62">'332'!$P$67</definedName>
    <definedName name="OSRRefP22_7x_0" localSheetId="77">'405'!$P$49</definedName>
    <definedName name="OSRRefP22_7x_0" localSheetId="78">'406'!$P$49</definedName>
    <definedName name="OSRRefP22_7x_0" localSheetId="79">'411'!$P$49</definedName>
    <definedName name="OSRRefP22_7x_0" localSheetId="80">'412'!$P$50</definedName>
    <definedName name="OSRRefP22_7x_0" localSheetId="82">'413'!$P$49:$P$51</definedName>
    <definedName name="OSRRefP22_7x_0" localSheetId="83">'414'!$P$50</definedName>
    <definedName name="OSRRefP22_7x_0" localSheetId="84">'415'!$P$51</definedName>
    <definedName name="OSRRefP22_7x_0" localSheetId="85">'418'!$P$51</definedName>
    <definedName name="OSRRefP22_7x_0" localSheetId="87">'424'!$P$44:$P$45</definedName>
    <definedName name="OSRRefP22_7x_0" localSheetId="88">'425'!$P$54</definedName>
    <definedName name="OSRRefP22_7x_0" localSheetId="91">'430'!$P$42</definedName>
    <definedName name="OSRRefP22_7x_0" localSheetId="92">'433'!$P$53</definedName>
    <definedName name="OSRRefP22_7x_0" localSheetId="93">'435'!$P$43</definedName>
    <definedName name="OSRRefP22_7x_0" localSheetId="94">'444'!$P$52</definedName>
    <definedName name="OSRRefP22_7x_0" localSheetId="96">'450'!$P$52</definedName>
    <definedName name="OSRRefP22_7x_0" localSheetId="76">'491'!$P$63</definedName>
    <definedName name="OSRRefP22_7x_0" localSheetId="90">'492'!$P$56</definedName>
    <definedName name="OSRRefP22_7x_0" localSheetId="98">'501'!$P$48</definedName>
    <definedName name="OSRRefP22_7x_0" localSheetId="39">'Div 2'!$P$51</definedName>
    <definedName name="OSRRefP22_7x_0" localSheetId="47">'Div 3'!$P$199</definedName>
    <definedName name="OSRRefP22_7x_0" localSheetId="74">'Div 4'!$P$64</definedName>
    <definedName name="OSRRefP22_7x_0" localSheetId="97">'Div 5'!$P$48</definedName>
    <definedName name="OSRRefP22_7x_0" localSheetId="65">'Div 6'!$P$83</definedName>
    <definedName name="OSRRefP22_7x_0" localSheetId="2">Summary!$P$234</definedName>
    <definedName name="OSRRefP22_8x_0" localSheetId="41">'201'!$P$46</definedName>
    <definedName name="OSRRefP22_8x_0" localSheetId="42">'202'!$P$47</definedName>
    <definedName name="OSRRefP22_8x_0" localSheetId="43">'203'!$P$49</definedName>
    <definedName name="OSRRefP22_8x_0" localSheetId="44">'204'!$P$55:$P$56</definedName>
    <definedName name="OSRRefP22_8x_0" localSheetId="45">'205'!$P$45</definedName>
    <definedName name="OSRRefP22_8x_0" localSheetId="48">'300'!$P$196</definedName>
    <definedName name="OSRRefP22_8x_0" localSheetId="49">'300 &amp; 317'!$P$221</definedName>
    <definedName name="OSRRefP22_8x_0" localSheetId="50">'301'!$P$52</definedName>
    <definedName name="OSRRefP22_8x_0" localSheetId="51">'306'!$P$49:$P$53</definedName>
    <definedName name="OSRRefP22_8x_0" localSheetId="54">'307'!$P$101</definedName>
    <definedName name="OSRRefP22_8x_0" localSheetId="56">'308'!$P$94</definedName>
    <definedName name="OSRRefP22_8x_0" localSheetId="68">'309'!$P$51</definedName>
    <definedName name="OSRRefP22_8x_0" localSheetId="67">'310'!$P$62</definedName>
    <definedName name="OSRRefP22_8x_0" localSheetId="75">'310 &amp; 491'!$P$73</definedName>
    <definedName name="OSRRefP22_8x_0" localSheetId="57">'311'!$P$93</definedName>
    <definedName name="OSRRefP22_8x_0" localSheetId="69">'313'!$P$57</definedName>
    <definedName name="OSRRefP22_8x_0" localSheetId="55">'314'!$P$84</definedName>
    <definedName name="OSRRefP22_8x_0" localSheetId="60">'315'!$P$85:$P$86</definedName>
    <definedName name="OSRRefP22_8x_0" localSheetId="63">'316'!$P$59:$P$60</definedName>
    <definedName name="OSRRefP22_8x_0" localSheetId="66">'317'!$P$85</definedName>
    <definedName name="OSRRefP22_8x_0" localSheetId="64">'320'!$P$56</definedName>
    <definedName name="OSRRefP22_8x_0" localSheetId="70">'321'!$P$52</definedName>
    <definedName name="OSRRefP22_8x_0" localSheetId="71">'322'!$P$51</definedName>
    <definedName name="OSRRefP22_8x_0" localSheetId="72">'325'!$P$53</definedName>
    <definedName name="OSRRefP22_8x_0" localSheetId="61">'326'!$P$87</definedName>
    <definedName name="OSRRefP22_8x_0" localSheetId="53">'330'!$P$109</definedName>
    <definedName name="OSRRefP22_8x_0" localSheetId="59">'331'!$P$103:$P$104</definedName>
    <definedName name="OSRRefP22_8x_0" localSheetId="62">'332'!$P$69</definedName>
    <definedName name="OSRRefP22_8x_0" localSheetId="77">'405'!$P$51</definedName>
    <definedName name="OSRRefP22_8x_0" localSheetId="78">'406'!$P$51</definedName>
    <definedName name="OSRRefP22_8x_0" localSheetId="79">'411'!$P$51</definedName>
    <definedName name="OSRRefP22_8x_0" localSheetId="80">'412'!$P$52</definedName>
    <definedName name="OSRRefP22_8x_0" localSheetId="82">'413'!$P$53:$P$54</definedName>
    <definedName name="OSRRefP22_8x_0" localSheetId="83">'414'!$P$52</definedName>
    <definedName name="OSRRefP22_8x_0" localSheetId="84">'415'!$P$53</definedName>
    <definedName name="OSRRefP22_8x_0" localSheetId="85">'418'!$P$53</definedName>
    <definedName name="OSRRefP22_8x_0" localSheetId="87">'424'!$P$47</definedName>
    <definedName name="OSRRefP22_8x_0" localSheetId="88">'425'!$P$56</definedName>
    <definedName name="OSRRefP22_8x_0" localSheetId="91">'430'!$P$44</definedName>
    <definedName name="OSRRefP22_8x_0" localSheetId="92">'433'!$P$55</definedName>
    <definedName name="OSRRefP22_8x_0" localSheetId="93">'435'!$P$45:$P$48</definedName>
    <definedName name="OSRRefP22_8x_0" localSheetId="94">'444'!$P$54</definedName>
    <definedName name="OSRRefP22_8x_0" localSheetId="96">'450'!$P$54</definedName>
    <definedName name="OSRRefP22_8x_0" localSheetId="76">'491'!$P$65</definedName>
    <definedName name="OSRRefP22_8x_0" localSheetId="90">'492'!$P$58</definedName>
    <definedName name="OSRRefP22_8x_0" localSheetId="98">'501'!$P$50</definedName>
    <definedName name="OSRRefP22_8x_0" localSheetId="39">'Div 2'!$P$53</definedName>
    <definedName name="OSRRefP22_8x_0" localSheetId="47">'Div 3'!$P$201</definedName>
    <definedName name="OSRRefP22_8x_0" localSheetId="74">'Div 4'!$P$66</definedName>
    <definedName name="OSRRefP22_8x_0" localSheetId="97">'Div 5'!$P$50</definedName>
    <definedName name="OSRRefP22_8x_0" localSheetId="65">'Div 6'!$P$85</definedName>
    <definedName name="OSRRefP22_8x_0" localSheetId="2">Summary!$P$236</definedName>
    <definedName name="OSRRefP22_9x_0" localSheetId="41">'201'!$P$48</definedName>
    <definedName name="OSRRefP22_9x_0" localSheetId="42">'202'!$P$49</definedName>
    <definedName name="OSRRefP22_9x_0" localSheetId="43">'203'!$P$51:$P$53</definedName>
    <definedName name="OSRRefP22_9x_0" localSheetId="44">'204'!$P$58</definedName>
    <definedName name="OSRRefP22_9x_0" localSheetId="48">'300'!$P$198</definedName>
    <definedName name="OSRRefP22_9x_0" localSheetId="49">'300 &amp; 317'!$P$223</definedName>
    <definedName name="OSRRefP22_9x_0" localSheetId="50">'301'!$P$54</definedName>
    <definedName name="OSRRefP22_9x_0" localSheetId="51">'306'!$P$55</definedName>
    <definedName name="OSRRefP22_9x_0" localSheetId="54">'307'!$P$103:$P$104</definedName>
    <definedName name="OSRRefP22_9x_0" localSheetId="56">'308'!$P$96:$P$97</definedName>
    <definedName name="OSRRefP22_9x_0" localSheetId="68">'309'!$P$53:$P$54</definedName>
    <definedName name="OSRRefP22_9x_0" localSheetId="67">'310'!$P$64:$P$65</definedName>
    <definedName name="OSRRefP22_9x_0" localSheetId="75">'310 &amp; 491'!$P$75</definedName>
    <definedName name="OSRRefP22_9x_0" localSheetId="57">'311'!$P$95:$P$96</definedName>
    <definedName name="OSRRefP22_9x_0" localSheetId="69">'313'!$P$59:$P$61</definedName>
    <definedName name="OSRRefP22_9x_0" localSheetId="55">'314'!$P$86</definedName>
    <definedName name="OSRRefP22_9x_0" localSheetId="60">'315'!$P$88:$P$89</definedName>
    <definedName name="OSRRefP22_9x_0" localSheetId="63">'316'!$P$62</definedName>
    <definedName name="OSRRefP22_9x_0" localSheetId="66">'317'!$P$87</definedName>
    <definedName name="OSRRefP22_9x_0" localSheetId="70">'321'!$P$54:$P$56</definedName>
    <definedName name="OSRRefP22_9x_0" localSheetId="71">'322'!$P$53</definedName>
    <definedName name="OSRRefP22_9x_0" localSheetId="72">'325'!$P$55</definedName>
    <definedName name="OSRRefP22_9x_0" localSheetId="61">'326'!$P$89</definedName>
    <definedName name="OSRRefP22_9x_0" localSheetId="53">'330'!$P$111</definedName>
    <definedName name="OSRRefP22_9x_0" localSheetId="59">'331'!$P$106</definedName>
    <definedName name="OSRRefP22_9x_0" localSheetId="62">'332'!$P$71:$P$72</definedName>
    <definedName name="OSRRefP22_9x_0" localSheetId="77">'405'!$P$53</definedName>
    <definedName name="OSRRefP22_9x_0" localSheetId="78">'406'!$P$53:$P$55</definedName>
    <definedName name="OSRRefP22_9x_0" localSheetId="79">'411'!$P$53</definedName>
    <definedName name="OSRRefP22_9x_0" localSheetId="80">'412'!$P$54:$P$55</definedName>
    <definedName name="OSRRefP22_9x_0" localSheetId="82">'413'!$P$56:$P$61</definedName>
    <definedName name="OSRRefP22_9x_0" localSheetId="83">'414'!$P$54:$P$55</definedName>
    <definedName name="OSRRefP22_9x_0" localSheetId="84">'415'!$P$55</definedName>
    <definedName name="OSRRefP22_9x_0" localSheetId="85">'418'!$P$55</definedName>
    <definedName name="OSRRefP22_9x_0" localSheetId="87">'424'!$P$49</definedName>
    <definedName name="OSRRefP22_9x_0" localSheetId="88">'425'!$P$58:$P$60</definedName>
    <definedName name="OSRRefP22_9x_0" localSheetId="91">'430'!$P$46</definedName>
    <definedName name="OSRRefP22_9x_0" localSheetId="92">'433'!$P$57</definedName>
    <definedName name="OSRRefP22_9x_0" localSheetId="93">'435'!$P$50</definedName>
    <definedName name="OSRRefP22_9x_0" localSheetId="94">'444'!$P$56</definedName>
    <definedName name="OSRRefP22_9x_0" localSheetId="96">'450'!$P$56</definedName>
    <definedName name="OSRRefP22_9x_0" localSheetId="76">'491'!$P$67</definedName>
    <definedName name="OSRRefP22_9x_0" localSheetId="90">'492'!$P$60</definedName>
    <definedName name="OSRRefP22_9x_0" localSheetId="98">'501'!$P$52</definedName>
    <definedName name="OSRRefP22_9x_0" localSheetId="39">'Div 2'!$P$55</definedName>
    <definedName name="OSRRefP22_9x_0" localSheetId="47">'Div 3'!$P$203</definedName>
    <definedName name="OSRRefP22_9x_0" localSheetId="74">'Div 4'!$P$68</definedName>
    <definedName name="OSRRefP22_9x_0" localSheetId="97">'Div 5'!$P$52</definedName>
    <definedName name="OSRRefP22_9x_0" localSheetId="65">'Div 6'!$P$87</definedName>
    <definedName name="OSRRefP22_9x_0" localSheetId="2">Summary!$P$238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'201'!$P$20:$P$28,'201'!$P$30:$P$32,'201'!$P$34,'201'!$P$36,'201'!$P$38,'201'!$P$40,'201'!$P$42,'201'!$P$44,'201'!$P$46,'201'!$P$48,'201'!$P$50:$P$52,'201'!$P$54:$P$56,'201'!$P$58,'201'!$P$60:$P$62,'201'!$P$64,'201'!$P$66,'201'!$P$68:$P$69</definedName>
    <definedName name="OSRRefP22x_0" localSheetId="42">'202'!$P$20:$P$27,'202'!$P$29:$P$33,'202'!$P$35,'202'!$P$37,'202'!$P$39,'202'!$P$41,'202'!$P$43,'202'!$P$45,'202'!$P$47,'202'!$P$49,'202'!$P$51:$P$53,'202'!$P$55,'202'!$P$57,'202'!$P$59:$P$61,'202'!$P$63,'202'!$P$65,'202'!$P$67</definedName>
    <definedName name="OSRRefP22x_0" localSheetId="43">'203'!$P$20:$P$29,'203'!$P$31:$P$35,'203'!$P$37,'203'!$P$39,'203'!$P$41,'203'!$P$43,'203'!$P$45,'203'!$P$47,'203'!$P$49,'203'!$P$51:$P$53,'203'!$P$55:$P$56,'203'!$P$58:$P$59,'203'!$P$61:$P$63,'203'!$P$65,'203'!$P$67,'203'!$P$69</definedName>
    <definedName name="OSRRefP22x_0" localSheetId="44">'204'!$P$20:$P$29,'204'!$P$31:$P$36,'204'!$P$38,'204'!$P$40:$P$41,'204'!$P$43,'204'!$P$45,'204'!$P$47:$P$50,'204'!$P$52:$P$53,'204'!$P$55:$P$56,'204'!$P$58,'204'!$P$60:$P$61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48">'300'!$P$163:$P$171,'300'!$P$173:$P$179,'300'!$P$181,'300'!$P$183:$P$184,'300'!$P$186,'300'!$P$188:$P$189,'300'!$P$191:$P$192,'300'!$P$194,'300'!$P$196,'300'!$P$198,'300'!$P$200:$P$201,'300'!$P$203,'300'!$P$205,'300'!$P$207,'300'!$P$209,'300'!$P$211,'300'!$P$213:$P$216,'300'!$P$218:$P$220,'300'!$P$222:$P$225,'300'!$P$227:$P$228,'300'!$P$230:$P$236,'300'!$P$238:$P$239,'300'!$P$241,'300'!$P$243:$P$245,'300'!$P$247</definedName>
    <definedName name="OSRRefP22x_0" localSheetId="49">'300 &amp; 317'!$P$188:$P$196,'300 &amp; 317'!$P$198:$P$204,'300 &amp; 317'!$P$206,'300 &amp; 317'!$P$208:$P$209,'300 &amp; 317'!$P$211,'300 &amp; 317'!$P$213:$P$214,'300 &amp; 317'!$P$216:$P$217,'300 &amp; 317'!$P$219,'300 &amp; 317'!$P$221,'300 &amp; 317'!$P$223,'300 &amp; 317'!$P$225:$P$226,'300 &amp; 317'!$P$228,'300 &amp; 317'!$P$230,'300 &amp; 317'!$P$232,'300 &amp; 317'!$P$234,'300 &amp; 317'!$P$236,'300 &amp; 317'!$P$238:$P$241,'300 &amp; 317'!$P$243:$P$245,'300 &amp; 317'!$P$247:$P$250,'300 &amp; 317'!$P$252:$P$253,'300 &amp; 317'!$P$255:$P$261,'300 &amp; 317'!$P$263:$P$264,'300 &amp; 317'!$P$266,'300 &amp; 317'!$P$268:$P$270,'300 &amp; 317'!$P$272</definedName>
    <definedName name="OSRRefP22x_0" localSheetId="50">'301'!$P$20:$P$27,'301'!$P$29:$P$35,'301'!$P$37,'301'!$P$39:$P$40,'301'!$P$42,'301'!$P$44:$P$45,'301'!$P$47:$P$48,'301'!$P$50,'301'!$P$52,'301'!$P$54,'301'!$P$56,'301'!$P$58,'301'!$P$60,'301'!$P$62,'301'!$P$64:$P$67,'301'!$P$69,'301'!$P$71:$P$73,'301'!$P$75,'301'!$P$77:$P$81,'301'!$P$83,'301'!$P$85,'301'!$P$87:$P$89,'301'!$P$91</definedName>
    <definedName name="OSRRefP22x_0" localSheetId="51">'306'!$P$20:$P$28,'306'!$P$30:$P$34,'306'!$P$36,'306'!$P$38,'306'!$P$40,'306'!$P$42,'306'!$P$44,'306'!$P$46:$P$47,'306'!$P$49:$P$53,'306'!$P$55,'306'!$P$57</definedName>
    <definedName name="OSRRefP22x_0" localSheetId="54">'307'!$P$74:$P$81,'307'!$P$83:$P$86,'307'!$P$88,'307'!$P$90,'307'!$P$92:$P$93,'307'!$P$95,'307'!$P$97,'307'!$P$99,'307'!$P$101,'307'!$P$103:$P$104,'307'!$P$106:$P$107,'307'!$P$109:$P$111,'307'!$P$113,'307'!$P$115</definedName>
    <definedName name="OSRRefP22x_0" localSheetId="56">'308'!$P$64:$P$72,'308'!$P$74:$P$78,'308'!$P$80,'308'!$P$82:$P$83,'308'!$P$85,'308'!$P$87,'308'!$P$89:$P$90,'308'!$P$92,'308'!$P$94,'308'!$P$96:$P$97,'308'!$P$99:$P$100,'308'!$P$102:$P$105,'308'!$P$107:$P$108,'308'!$P$110,'308'!$P$112</definedName>
    <definedName name="OSRRefP22x_0" localSheetId="68">'309'!$P$24:$P$31,'309'!$P$33:$P$37,'309'!$P$39,'309'!$P$41,'309'!$P$43,'309'!$P$45,'309'!$P$47,'309'!$P$49,'309'!$P$51,'309'!$P$53:$P$54,'309'!$P$56:$P$58,'309'!$P$60,'309'!$P$62:$P$67,'309'!$P$69</definedName>
    <definedName name="OSRRefP22x_0" localSheetId="67">'310'!$P$33:$P$40,'310'!$P$42:$P$47,'310'!$P$49,'310'!$P$51,'310'!$P$53,'310'!$P$55:$P$56,'310'!$P$58,'310'!$P$60,'310'!$P$62,'310'!$P$64:$P$65,'310'!$P$67,'310'!$P$69,'310'!$P$71,'310'!$P$73,'310'!$P$75:$P$77,'310'!$P$79,'310'!$P$81:$P$84,'310'!$P$86:$P$87,'310'!$P$89:$P$96,'310'!$P$98,'310'!$P$100,'310'!$P$102</definedName>
    <definedName name="OSRRefP22x_0" localSheetId="75">'310 &amp; 491'!$P$41:$P$49,'310 &amp; 491'!$P$51:$P$57,'310 &amp; 491'!$P$59,'310 &amp; 491'!$P$61,'310 &amp; 491'!$P$63,'310 &amp; 491'!$P$65:$P$67,'310 &amp; 491'!$P$69,'310 &amp; 491'!$P$71,'310 &amp; 491'!$P$73,'310 &amp; 491'!$P$75,'310 &amp; 491'!$P$77:$P$78,'310 &amp; 491'!$P$80:$P$81,'310 &amp; 491'!$P$83,'310 &amp; 491'!$P$85,'310 &amp; 491'!$P$87,'310 &amp; 491'!$P$89,'310 &amp; 491'!$P$91:$P$94,'310 &amp; 491'!$P$96:$P$97,'310 &amp; 491'!$P$99:$P$103,'310 &amp; 491'!$P$105:$P$106,'310 &amp; 491'!$P$108:$P$115,'310 &amp; 491'!$P$117,'310 &amp; 491'!$P$119,'310 &amp; 491'!$P$121:$P$123,'310 &amp; 491'!$P$125</definedName>
    <definedName name="OSRRefP22x_0" localSheetId="57">'311'!$P$63:$P$71,'311'!$P$73:$P$77,'311'!$P$79,'311'!$P$81:$P$82,'311'!$P$84,'311'!$P$86,'311'!$P$88:$P$89,'311'!$P$91,'311'!$P$93,'311'!$P$95:$P$96,'311'!$P$98:$P$99,'311'!$P$101:$P$104,'311'!$P$106:$P$107,'311'!$P$109,'311'!$P$111</definedName>
    <definedName name="OSRRefP22x_0" localSheetId="69">'313'!$P$30:$P$37,'313'!$P$39:$P$43,'313'!$P$45,'313'!$P$47,'313'!$P$49,'313'!$P$51,'313'!$P$53,'313'!$P$55,'313'!$P$57,'313'!$P$59:$P$61,'313'!$P$63:$P$64,'313'!$P$66:$P$67,'313'!$P$69:$P$74,'313'!$P$76,'313'!$P$78</definedName>
    <definedName name="OSRRefP22x_0" localSheetId="55">'314'!$P$56:$P$63,'314'!$P$65:$P$68,'314'!$P$70,'314'!$P$72:$P$73,'314'!$P$75,'314'!$P$77,'314'!$P$79,'314'!$P$81:$P$82,'314'!$P$84,'314'!$P$86</definedName>
    <definedName name="OSRRefP22x_0" localSheetId="60">'315'!$P$55:$P$62,'315'!$P$64:$P$69,'315'!$P$71,'315'!$P$73:$P$74,'315'!$P$76,'315'!$P$78:$P$79,'315'!$P$81,'315'!$P$83,'315'!$P$85:$P$86,'315'!$P$88:$P$89,'315'!$P$91:$P$92,'315'!$P$94:$P$98,'315'!$P$100,'315'!$P$102,'315'!$P$104:$P$105</definedName>
    <definedName name="OSRRefP22x_0" localSheetId="63">'316'!$P$33:$P$40,'316'!$P$42:$P$45,'316'!$P$47,'316'!$P$49,'316'!$P$51,'316'!$P$53,'316'!$P$55,'316'!$P$57,'316'!$P$59:$P$60,'316'!$P$62,'316'!$P$64:$P$68,'316'!$P$70,'316'!$P$72</definedName>
    <definedName name="OSRRefP22x_0" localSheetId="66">'317'!$P$58:$P$66,'317'!$P$68:$P$71,'317'!$P$73,'317'!$P$75,'317'!$P$77,'317'!$P$79,'317'!$P$81,'317'!$P$83,'317'!$P$85,'317'!$P$87,'317'!$P$89,'317'!$P$91,'317'!$P$93:$P$94,'317'!$P$96,'317'!$P$98,'317'!$P$100</definedName>
    <definedName name="OSRRefP22x_0" localSheetId="64">'320'!$P$29:$P$36,'320'!$P$38:$P$40,'320'!$P$42,'320'!$P$44,'320'!$P$46:$P$47,'320'!$P$49,'320'!$P$51,'320'!$P$53:$P$54,'320'!$P$56</definedName>
    <definedName name="OSRRefP22x_0" localSheetId="70">'321'!$P$24:$P$30,'321'!$P$32:$P$36,'321'!$P$38,'321'!$P$40,'321'!$P$42,'321'!$P$44,'321'!$P$46,'321'!$P$48:$P$50,'321'!$P$52,'321'!$P$54:$P$56,'321'!$P$58:$P$62,'321'!$P$64,'321'!$P$66,'321'!$P$68</definedName>
    <definedName name="OSRRefP22x_0" localSheetId="71">'322'!$P$24:$P$31,'322'!$P$33:$P$37,'322'!$P$39,'322'!$P$41,'322'!$P$43,'322'!$P$45,'322'!$P$47,'322'!$P$49,'322'!$P$51,'322'!$P$53,'322'!$P$55:$P$56,'322'!$P$58:$P$60,'322'!$P$62,'322'!$P$64:$P$70,'322'!$P$72,'322'!$P$74</definedName>
    <definedName name="OSRRefP22x_0" localSheetId="58">'324'!$P$25</definedName>
    <definedName name="OSRRefP22x_0" localSheetId="72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61">'326'!$P$61:$P$68,'326'!$P$70:$P$73,'326'!$P$75,'326'!$P$77,'326'!$P$79,'326'!$P$81,'326'!$P$83,'326'!$P$85,'326'!$P$87,'326'!$P$89,'326'!$P$91,'326'!$P$93,'326'!$P$95,'326'!$P$97:$P$98,'326'!$P$100:$P$102,'326'!$P$104,'326'!$P$106:$P$110,'326'!$P$112,'326'!$P$114,'326'!$P$116</definedName>
    <definedName name="OSRRefP22x_0" localSheetId="73">'327'!$P$22,'327'!$P$24,'327'!$P$26</definedName>
    <definedName name="OSRRefP22x_0" localSheetId="53">'330'!$P$81:$P$88,'330'!$P$90:$P$94,'330'!$P$96,'330'!$P$98,'330'!$P$100:$P$101,'330'!$P$103,'330'!$P$105,'330'!$P$107,'330'!$P$109,'330'!$P$111,'330'!$P$113,'330'!$P$115:$P$116,'330'!$P$118:$P$119,'330'!$P$121,'330'!$P$123:$P$125,'330'!$P$127,'330'!$P$129,'330'!$P$131</definedName>
    <definedName name="OSRRefP22x_0" localSheetId="59">'331'!$P$74:$P$81,'331'!$P$83:$P$88,'331'!$P$90,'331'!$P$92,'331'!$P$94,'331'!$P$96:$P$97,'331'!$P$99,'331'!$P$101,'331'!$P$103:$P$104,'331'!$P$106,'331'!$P$108,'331'!$P$110,'331'!$P$112,'331'!$P$114,'331'!$P$116:$P$118,'331'!$P$120:$P$121,'331'!$P$123:$P$125,'331'!$P$127:$P$128,'331'!$P$130:$P$135,'331'!$P$137,'331'!$P$139,'331'!$P$141:$P$142,'331'!$P$144</definedName>
    <definedName name="OSRRefP22x_0" localSheetId="62">'332'!$P$42:$P$49,'332'!$P$51:$P$54,'332'!$P$56,'332'!$P$58,'332'!$P$60,'332'!$P$62,'332'!$P$64:$P$65,'332'!$P$67,'332'!$P$69,'332'!$P$71:$P$72,'332'!$P$74,'332'!$P$76:$P$80,'332'!$P$82,'332'!$P$84</definedName>
    <definedName name="OSRRefP22x_0" localSheetId="52">'335'!$P$20</definedName>
    <definedName name="OSRRefP22x_0" localSheetId="77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8">'406'!$P$24:$P$31,'406'!$P$33:$P$37,'406'!$P$39,'406'!$P$41,'406'!$P$43,'406'!$P$45,'406'!$P$47,'406'!$P$49,'406'!$P$51,'406'!$P$53:$P$55,'406'!$P$57:$P$58,'406'!$P$60:$P$65,'406'!$P$67,'406'!$P$69</definedName>
    <definedName name="OSRRefP22x_0" localSheetId="79">'411'!$P$20:$P$28,'411'!$P$30:$P$35,'411'!$P$37,'411'!$P$39:$P$41,'411'!$P$43,'411'!$P$45,'411'!$P$47,'411'!$P$49,'411'!$P$51,'411'!$P$53,'411'!$P$55,'411'!$P$57:$P$59,'411'!$P$61:$P$65,'411'!$P$67:$P$68,'411'!$P$70:$P$77,'411'!$P$79,'411'!$P$81,'411'!$P$83:$P$85,'411'!$P$87</definedName>
    <definedName name="OSRRefP22x_0" localSheetId="80">'412'!$P$24:$P$31,'412'!$P$33:$P$38,'412'!$P$40,'412'!$P$42,'412'!$P$44,'412'!$P$46,'412'!$P$48,'412'!$P$50,'412'!$P$52,'412'!$P$54:$P$55,'412'!$P$57,'412'!$P$59:$P$61,'412'!$P$63:$P$69,'412'!$P$71,'412'!$P$73</definedName>
    <definedName name="OSRRefP22x_0" localSheetId="82">'413'!$P$24:$P$31,'413'!$P$33:$P$37,'413'!$P$39,'413'!$P$41,'413'!$P$43,'413'!$P$45,'413'!$P$47,'413'!$P$49:$P$51,'413'!$P$53:$P$54,'413'!$P$56:$P$61,'413'!$P$63</definedName>
    <definedName name="OSRRefP22x_0" localSheetId="83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4">'415'!$P$24:$P$31,'415'!$P$33:$P$38,'415'!$P$40,'415'!$P$42,'415'!$P$44,'415'!$P$46:$P$47,'415'!$P$49,'415'!$P$51,'415'!$P$53,'415'!$P$55,'415'!$P$57,'415'!$P$59:$P$62,'415'!$P$64:$P$68,'415'!$P$70:$P$71,'415'!$P$73:$P$79,'415'!$P$81,'415'!$P$83,'415'!$P$85</definedName>
    <definedName name="OSRRefP22x_0" localSheetId="85">'418'!$P$24:$P$31,'418'!$P$33:$P$38,'418'!$P$40,'418'!$P$42,'418'!$P$44,'418'!$P$46:$P$47,'418'!$P$49,'418'!$P$51,'418'!$P$53,'418'!$P$55,'418'!$P$57:$P$58,'418'!$P$60:$P$62,'418'!$P$64:$P$66,'418'!$P$68:$P$69,'418'!$P$71:$P$77,'418'!$P$79,'418'!$P$81</definedName>
    <definedName name="OSRRefP22x_0" localSheetId="81">'420'!$P$23:$P$30,'420'!$P$32:$P$35,'420'!$P$37,'420'!$P$39,'420'!$P$41,'420'!$P$43:$P$44,'420'!$P$46</definedName>
    <definedName name="OSRRefP22x_0" localSheetId="86">'423'!$P$21:$P$28,'423'!$P$30,'423'!$P$32,'423'!$P$34,'423'!$P$36,'423'!$P$38</definedName>
    <definedName name="OSRRefP22x_0" localSheetId="87">'424'!$P$24:$P$26,'424'!$P$28:$P$32,'424'!$P$34,'424'!$P$36,'424'!$P$38,'424'!$P$40,'424'!$P$42,'424'!$P$44:$P$45,'424'!$P$47,'424'!$P$49,'424'!$P$51:$P$56,'424'!$P$58</definedName>
    <definedName name="OSRRefP22x_0" localSheetId="88">'425'!$P$27:$P$35,'425'!$P$37:$P$42,'425'!$P$44,'425'!$P$46,'425'!$P$48,'425'!$P$50,'425'!$P$52,'425'!$P$54,'425'!$P$56,'425'!$P$58:$P$60,'425'!$P$62,'425'!$P$64:$P$65,'425'!$P$67:$P$73,'425'!$P$75,'425'!$P$77,'425'!$P$79</definedName>
    <definedName name="OSRRefP22x_0" localSheetId="91">'430'!$P$20:$P$27,'430'!$P$29,'430'!$P$31,'430'!$P$33,'430'!$P$35,'430'!$P$37,'430'!$P$39:$P$40,'430'!$P$42,'430'!$P$44,'430'!$P$46</definedName>
    <definedName name="OSRRefP22x_0" localSheetId="92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3">'435'!$P$25:$P$27,'435'!$P$29:$P$31,'435'!$P$33,'435'!$P$35,'435'!$P$37,'435'!$P$39,'435'!$P$41,'435'!$P$43,'435'!$P$45:$P$48,'435'!$P$50</definedName>
    <definedName name="OSRRefP22x_0" localSheetId="94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5">'445'!$P$20</definedName>
    <definedName name="OSRRefP22x_0" localSheetId="96">'450'!$P$25:$P$33,'450'!$P$35:$P$40,'450'!$P$42,'450'!$P$44,'450'!$P$46,'450'!$P$48,'450'!$P$50,'450'!$P$52,'450'!$P$54,'450'!$P$56,'450'!$P$58,'450'!$P$60:$P$62,'450'!$P$64:$P$66,'450'!$P$68:$P$74,'450'!$P$76,'450'!$P$78,'450'!$P$80:$P$81</definedName>
    <definedName name="OSRRefP22x_0" localSheetId="89">'455'!$P$20:$P$26,'455'!$P$28:$P$29,'455'!$P$31</definedName>
    <definedName name="OSRRefP22x_0" localSheetId="76">'491'!$P$33:$P$41,'491'!$P$43:$P$49,'491'!$P$51,'491'!$P$53,'491'!$P$55,'491'!$P$57:$P$59,'491'!$P$61,'491'!$P$63,'491'!$P$65,'491'!$P$67,'491'!$P$69,'491'!$P$71:$P$72,'491'!$P$74,'491'!$P$76,'491'!$P$78,'491'!$P$80,'491'!$P$82:$P$85,'491'!$P$87:$P$88,'491'!$P$90:$P$94,'491'!$P$96:$P$97,'491'!$P$99:$P$106,'491'!$P$108,'491'!$P$110,'491'!$P$112:$P$114,'491'!$P$116</definedName>
    <definedName name="OSRRefP22x_0" localSheetId="90">'492'!$P$28:$P$36,'492'!$P$38:$P$44,'492'!$P$46,'492'!$P$48,'492'!$P$50,'492'!$P$52,'492'!$P$54,'492'!$P$56,'492'!$P$58,'492'!$P$60,'492'!$P$62,'492'!$P$64,'492'!$P$66:$P$68,'492'!$P$70:$P$72,'492'!$P$74:$P$81,'492'!$P$83,'492'!$P$85,'492'!$P$87:$P$88</definedName>
    <definedName name="OSRRefP22x_0" localSheetId="98">'501'!$P$21:$P$28,'501'!$P$30:$P$35,'501'!$P$37,'501'!$P$39,'501'!$P$41,'501'!$P$43:$P$44,'501'!$P$46,'501'!$P$48,'501'!$P$50,'501'!$P$52,'501'!$P$54:$P$55,'501'!$P$57,'501'!$P$59:$P$62,'501'!$P$64,'501'!$P$66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2'!$P$77:$P$80,'Div 2'!$P$82:$P$83,'Div 2'!$P$85,'Div 2'!$P$87:$P$88</definedName>
    <definedName name="OSRRefP22x_0" localSheetId="47">'Div 3'!$P$168:$P$176,'Div 3'!$P$178:$P$184,'Div 3'!$P$186,'Div 3'!$P$188:$P$189,'Div 3'!$P$191,'Div 3'!$P$193:$P$194,'Div 3'!$P$196:$P$197,'Div 3'!$P$199,'Div 3'!$P$201,'Div 3'!$P$203,'Div 3'!$P$205:$P$206,'Div 3'!$P$208,'Div 3'!$P$210,'Div 3'!$P$212,'Div 3'!$P$214,'Div 3'!$P$216,'Div 3'!$P$218,'Div 3'!$P$220:$P$223,'Div 3'!$P$225:$P$227,'Div 3'!$P$229:$P$233,'Div 3'!$P$235:$P$236,'Div 3'!$P$238:$P$245,'Div 3'!$P$247:$P$248,'Div 3'!$P$250,'Div 3'!$P$252:$P$254,'Div 3'!$P$256</definedName>
    <definedName name="OSRRefP22x_0" localSheetId="74">'Div 4'!$P$34:$P$42,'Div 4'!$P$44:$P$50,'Div 4'!$P$52,'Div 4'!$P$54,'Div 4'!$P$56,'Div 4'!$P$58:$P$60,'Div 4'!$P$62,'Div 4'!$P$64,'Div 4'!$P$66,'Div 4'!$P$68,'Div 4'!$P$70,'Div 4'!$P$72:$P$73,'Div 4'!$P$75,'Div 4'!$P$77,'Div 4'!$P$79,'Div 4'!$P$81,'Div 4'!$P$83,'Div 4'!$P$85:$P$88,'Div 4'!$P$90:$P$91,'Div 4'!$P$93:$P$97,'Div 4'!$P$99:$P$100,'Div 4'!$P$102:$P$109,'Div 4'!$P$111,'Div 4'!$P$113,'Div 4'!$P$115:$P$117,'Div 4'!$P$119</definedName>
    <definedName name="OSRRefP22x_0" localSheetId="97">'Div 5'!$P$21:$P$28,'Div 5'!$P$30:$P$35,'Div 5'!$P$37,'Div 5'!$P$39,'Div 5'!$P$41,'Div 5'!$P$43:$P$44,'Div 5'!$P$46,'Div 5'!$P$48,'Div 5'!$P$50,'Div 5'!$P$52,'Div 5'!$P$54:$P$55,'Div 5'!$P$57,'Div 5'!$P$59:$P$62,'Div 5'!$P$64,'Div 5'!$P$66</definedName>
    <definedName name="OSRRefP22x_0" localSheetId="65">'Div 6'!$P$58:$P$66,'Div 6'!$P$68:$P$71,'Div 6'!$P$73,'Div 6'!$P$75,'Div 6'!$P$77,'Div 6'!$P$79,'Div 6'!$P$81,'Div 6'!$P$83,'Div 6'!$P$85,'Div 6'!$P$87,'Div 6'!$P$89,'Div 6'!$P$91,'Div 6'!$P$93:$P$94,'Div 6'!$P$96,'Div 6'!$P$98,'Div 6'!$P$100</definedName>
    <definedName name="OSRRefP22x_0" localSheetId="2">Summary!$P$202:$P$210,Summary!$P$212:$P$218,Summary!$P$220,Summary!$P$222:$P$223,Summary!$P$225,Summary!$P$227:$P$229,Summary!$P$231:$P$232,Summary!$P$234,Summary!$P$236,Summary!$P$238,Summary!$P$240:$P$241,Summary!$P$243:$P$244,Summary!$P$246,Summary!$P$248,Summary!$P$250,Summary!$P$252,Summary!$P$254,Summary!$P$256,Summary!$P$258:$P$261,Summary!$P$263:$P$265,Summary!$P$267:$P$271,Summary!$P$273:$P$274,Summary!$P$276:$P$283,Summary!$P$285:$P$286,Summary!$P$288,Summary!$P$290:$P$292,Summary!$P$294</definedName>
    <definedName name="OSRRefP25x_0" localSheetId="48">'300'!$P$250:$P$258</definedName>
    <definedName name="OSRRefP25x_0" localSheetId="49">'300 &amp; 317'!$P$275:$P$286</definedName>
    <definedName name="OSRRefP25x_0" localSheetId="50">'301'!$P$94:$P$96</definedName>
    <definedName name="OSRRefP25x_0" localSheetId="54">'307'!$P$118</definedName>
    <definedName name="OSRRefP25x_0" localSheetId="56">'308'!$P$115:$P$117</definedName>
    <definedName name="OSRRefP25x_0" localSheetId="75">'310 &amp; 491'!$P$128:$P$130</definedName>
    <definedName name="OSRRefP25x_0" localSheetId="57">'311'!$P$114:$P$116</definedName>
    <definedName name="OSRRefP25x_0" localSheetId="60">'315'!$P$108</definedName>
    <definedName name="OSRRefP25x_0" localSheetId="63">'316'!$P$75</definedName>
    <definedName name="OSRRefP25x_0" localSheetId="66">'317'!$P$103:$P$106</definedName>
    <definedName name="OSRRefP25x_0" localSheetId="64">'320'!$P$59:$P$63</definedName>
    <definedName name="OSRRefP25x_0" localSheetId="53">'330'!$P$134</definedName>
    <definedName name="OSRRefP25x_0" localSheetId="59">'331'!$P$147</definedName>
    <definedName name="OSRRefP25x_0" localSheetId="62">'332'!$P$87:$P$92</definedName>
    <definedName name="OSRRefP25x_0" localSheetId="79">'411'!$P$90:$P$91</definedName>
    <definedName name="OSRRefP25x_0" localSheetId="82">'413'!$P$66</definedName>
    <definedName name="OSRRefP25x_0" localSheetId="84">'415'!$P$88</definedName>
    <definedName name="OSRRefP25x_0" localSheetId="85">'418'!$P$84</definedName>
    <definedName name="OSRRefP25x_0" localSheetId="86">'423'!$P$41</definedName>
    <definedName name="OSRRefP25x_0" localSheetId="87">'424'!$P$61</definedName>
    <definedName name="OSRRefP25x_0" localSheetId="88">'425'!$P$82</definedName>
    <definedName name="OSRRefP25x_0" localSheetId="89">'455'!$P$34:$P$35</definedName>
    <definedName name="OSRRefP25x_0" localSheetId="76">'491'!$P$119:$P$121</definedName>
    <definedName name="OSRRefP25x_0" localSheetId="98">'501'!$P$69:$P$70</definedName>
    <definedName name="OSRRefP25x_0" localSheetId="47">'Div 3'!$P$259:$P$267</definedName>
    <definedName name="OSRRefP25x_0" localSheetId="74">'Div 4'!$P$122:$P$124</definedName>
    <definedName name="OSRRefP25x_0" localSheetId="97">'Div 5'!$P$69:$P$70</definedName>
    <definedName name="OSRRefP25x_0" localSheetId="65">'Div 6'!$P$103:$P$106</definedName>
    <definedName name="OSRRefP25x_0" localSheetId="2">Summary!$P$297:$P$309</definedName>
    <definedName name="OSRRefT13x_0" localSheetId="48">'300'!$T$13:$T$105</definedName>
    <definedName name="OSRRefT13x_0" localSheetId="49">'300 &amp; 317'!$T$13:$T$123</definedName>
    <definedName name="OSRRefT13x_0" localSheetId="54">'307'!$T$13:$T$46</definedName>
    <definedName name="OSRRefT13x_0" localSheetId="56">'308'!$T$13:$T$40</definedName>
    <definedName name="OSRRefT13x_0" localSheetId="68">'309'!$T$13:$T$14</definedName>
    <definedName name="OSRRefT13x_0" localSheetId="67">'310'!$T$13:$T$23</definedName>
    <definedName name="OSRRefT13x_0" localSheetId="75">'310 &amp; 491'!$T$13:$T$31</definedName>
    <definedName name="OSRRefT13x_0" localSheetId="57">'311'!$T$13:$T$39</definedName>
    <definedName name="OSRRefT13x_0" localSheetId="69">'313'!$T$13:$T$20</definedName>
    <definedName name="OSRRefT13x_0" localSheetId="55">'314'!$T$13:$T$33</definedName>
    <definedName name="OSRRefT13x_0" localSheetId="60">'315'!$T$13:$T$32</definedName>
    <definedName name="OSRRefT13x_0" localSheetId="63">'316'!$T$13:$T$25</definedName>
    <definedName name="OSRRefT13x_0" localSheetId="66">'317'!$T$13:$T$36</definedName>
    <definedName name="OSRRefT13x_0" localSheetId="64">'320'!$T$13:$T$16</definedName>
    <definedName name="OSRRefT13x_0" localSheetId="70">'321'!$T$13:$T$14</definedName>
    <definedName name="OSRRefT13x_0" localSheetId="71">'322'!$T$13:$T$14</definedName>
    <definedName name="OSRRefT13x_0" localSheetId="58">'324'!$T$13:$T$15</definedName>
    <definedName name="OSRRefT13x_0" localSheetId="72">'325'!$T$13:$T$14</definedName>
    <definedName name="OSRRefT13x_0" localSheetId="61">'326'!$T$13:$T$35</definedName>
    <definedName name="OSRRefT13x_0" localSheetId="73">'327'!$T$13</definedName>
    <definedName name="OSRRefT13x_0" localSheetId="53">'330'!$T$13:$T$50</definedName>
    <definedName name="OSRRefT13x_0" localSheetId="59">'331'!$T$13:$T$43</definedName>
    <definedName name="OSRRefT13x_0" localSheetId="62">'332'!$T$13:$T$29</definedName>
    <definedName name="OSRRefT13x_0" localSheetId="77">'405'!$T$13:$T$14</definedName>
    <definedName name="OSRRefT13x_0" localSheetId="78">'406'!$T$13:$T$14</definedName>
    <definedName name="OSRRefT13x_0" localSheetId="80">'412'!$T$13:$T$15</definedName>
    <definedName name="OSRRefT13x_0" localSheetId="82">'413'!$T$13:$T$14</definedName>
    <definedName name="OSRRefT13x_0" localSheetId="83">'414'!$T$13:$T$14</definedName>
    <definedName name="OSRRefT13x_0" localSheetId="84">'415'!$T$13:$T$14</definedName>
    <definedName name="OSRRefT13x_0" localSheetId="85">'418'!$T$13:$T$14</definedName>
    <definedName name="OSRRefT13x_0" localSheetId="81">'420'!$T$13:$T$14</definedName>
    <definedName name="OSRRefT13x_0" localSheetId="87">'424'!$T$13:$T$14</definedName>
    <definedName name="OSRRefT13x_0" localSheetId="88">'425'!$T$13:$T$17</definedName>
    <definedName name="OSRRefT13x_0" localSheetId="92">'433'!$T$13:$T$16</definedName>
    <definedName name="OSRRefT13x_0" localSheetId="93">'435'!$T$13:$T$15</definedName>
    <definedName name="OSRRefT13x_0" localSheetId="94">'444'!$T$13:$T$15</definedName>
    <definedName name="OSRRefT13x_0" localSheetId="96">'450'!$T$13:$T$15</definedName>
    <definedName name="OSRRefT13x_0" localSheetId="76">'491'!$T$13:$T$23</definedName>
    <definedName name="OSRRefT13x_0" localSheetId="90">'492'!$T$13:$T$18</definedName>
    <definedName name="OSRRefT13x_0" localSheetId="98">'501'!$T$13</definedName>
    <definedName name="OSRRefT13x_0" localSheetId="47">'Div 3'!$T$13:$T$108</definedName>
    <definedName name="OSRRefT13x_0" localSheetId="74">'Div 4'!$T$13:$T$24</definedName>
    <definedName name="OSRRefT13x_0" localSheetId="97">'Div 5'!$T$13</definedName>
    <definedName name="OSRRefT13x_0" localSheetId="65">'Div 6'!$T$13:$T$36</definedName>
    <definedName name="OSRRefT13x_0" localSheetId="2">Summary!$T$13:$T$135</definedName>
    <definedName name="OSRRefT16x_0" localSheetId="48">'300'!$T$108:$T$157</definedName>
    <definedName name="OSRRefT16x_0" localSheetId="49">'300 &amp; 317'!$T$126:$T$182</definedName>
    <definedName name="OSRRefT16x_0" localSheetId="54">'307'!$T$49:$T$68</definedName>
    <definedName name="OSRRefT16x_0" localSheetId="56">'308'!$T$43:$T$58</definedName>
    <definedName name="OSRRefT16x_0" localSheetId="68">'309'!$T$17:$T$18</definedName>
    <definedName name="OSRRefT16x_0" localSheetId="67">'310'!$T$26:$T$27</definedName>
    <definedName name="OSRRefT16x_0" localSheetId="75">'310 &amp; 491'!$T$34:$T$35</definedName>
    <definedName name="OSRRefT16x_0" localSheetId="57">'311'!$T$42:$T$57</definedName>
    <definedName name="OSRRefT16x_0" localSheetId="69">'313'!$T$23:$T$24</definedName>
    <definedName name="OSRRefT16x_0" localSheetId="55">'314'!$T$36:$T$50</definedName>
    <definedName name="OSRRefT16x_0" localSheetId="60">'315'!$T$35:$T$49</definedName>
    <definedName name="OSRRefT16x_0" localSheetId="66">'317'!$T$39:$T$52</definedName>
    <definedName name="OSRRefT16x_0" localSheetId="64">'320'!$T$19:$T$23</definedName>
    <definedName name="OSRRefT16x_0" localSheetId="70">'321'!$T$17:$T$18</definedName>
    <definedName name="OSRRefT16x_0" localSheetId="71">'322'!$T$17:$T$18</definedName>
    <definedName name="OSRRefT16x_0" localSheetId="58">'324'!$T$18:$T$19</definedName>
    <definedName name="OSRRefT16x_0" localSheetId="72">'325'!$T$17:$T$18</definedName>
    <definedName name="OSRRefT16x_0" localSheetId="61">'326'!$T$38:$T$55</definedName>
    <definedName name="OSRRefT16x_0" localSheetId="73">'327'!$T$16</definedName>
    <definedName name="OSRRefT16x_0" localSheetId="53">'330'!$T$53:$T$75</definedName>
    <definedName name="OSRRefT16x_0" localSheetId="59">'331'!$T$46:$T$68</definedName>
    <definedName name="OSRRefT16x_0" localSheetId="62">'332'!$T$32:$T$36</definedName>
    <definedName name="OSRRefT16x_0" localSheetId="77">'405'!$T$17:$T$18</definedName>
    <definedName name="OSRRefT16x_0" localSheetId="78">'406'!$T$17:$T$18</definedName>
    <definedName name="OSRRefT16x_0" localSheetId="80">'412'!$T$18</definedName>
    <definedName name="OSRRefT16x_0" localSheetId="82">'413'!$T$17:$T$18</definedName>
    <definedName name="OSRRefT16x_0" localSheetId="83">'414'!$T$17:$T$18</definedName>
    <definedName name="OSRRefT16x_0" localSheetId="84">'415'!$T$17:$T$18</definedName>
    <definedName name="OSRRefT16x_0" localSheetId="85">'418'!$T$17:$T$18</definedName>
    <definedName name="OSRRefT16x_0" localSheetId="81">'420'!$T$17</definedName>
    <definedName name="OSRRefT16x_0" localSheetId="86">'423'!$T$15</definedName>
    <definedName name="OSRRefT16x_0" localSheetId="87">'424'!$T$17:$T$18</definedName>
    <definedName name="OSRRefT16x_0" localSheetId="88">'425'!$T$20:$T$21</definedName>
    <definedName name="OSRRefT16x_0" localSheetId="92">'433'!$T$19:$T$20</definedName>
    <definedName name="OSRRefT16x_0" localSheetId="93">'435'!$T$18:$T$19</definedName>
    <definedName name="OSRRefT16x_0" localSheetId="94">'444'!$T$18:$T$19</definedName>
    <definedName name="OSRRefT16x_0" localSheetId="96">'450'!$T$18:$T$19</definedName>
    <definedName name="OSRRefT16x_0" localSheetId="76">'491'!$T$26:$T$27</definedName>
    <definedName name="OSRRefT16x_0" localSheetId="90">'492'!$T$21:$T$22</definedName>
    <definedName name="OSRRefT16x_0" localSheetId="47">'Div 3'!$T$111:$T$162</definedName>
    <definedName name="OSRRefT16x_0" localSheetId="74">'Div 4'!$T$27:$T$28</definedName>
    <definedName name="OSRRefT16x_0" localSheetId="65">'Div 6'!$T$39:$T$52</definedName>
    <definedName name="OSRRefT16x_0" localSheetId="2">Summary!$T$138:$T$196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'300'!$T$163:$T$171</definedName>
    <definedName name="OSRRefT22_0x_0" localSheetId="49">'300 &amp; 317'!$T$188:$T$196</definedName>
    <definedName name="OSRRefT22_0x_0" localSheetId="50">'301'!$T$20:$T$27</definedName>
    <definedName name="OSRRefT22_0x_0" localSheetId="51">'306'!$T$20:$T$28</definedName>
    <definedName name="OSRRefT22_0x_0" localSheetId="54">'307'!$T$74:$T$81</definedName>
    <definedName name="OSRRefT22_0x_0" localSheetId="56">'308'!$T$64:$T$72</definedName>
    <definedName name="OSRRefT22_0x_0" localSheetId="68">'309'!$T$24:$T$31</definedName>
    <definedName name="OSRRefT22_0x_0" localSheetId="67">'310'!$T$33:$T$40</definedName>
    <definedName name="OSRRefT22_0x_0" localSheetId="75">'310 &amp; 491'!$T$41:$T$49</definedName>
    <definedName name="OSRRefT22_0x_0" localSheetId="57">'311'!$T$63:$T$71</definedName>
    <definedName name="OSRRefT22_0x_0" localSheetId="69">'313'!$T$30:$T$37</definedName>
    <definedName name="OSRRefT22_0x_0" localSheetId="55">'314'!$T$56:$T$63</definedName>
    <definedName name="OSRRefT22_0x_0" localSheetId="60">'315'!$T$55:$T$62</definedName>
    <definedName name="OSRRefT22_0x_0" localSheetId="63">'316'!$T$33:$T$40</definedName>
    <definedName name="OSRRefT22_0x_0" localSheetId="66">'317'!$T$58:$T$66</definedName>
    <definedName name="OSRRefT22_0x_0" localSheetId="64">'320'!$T$29:$T$36</definedName>
    <definedName name="OSRRefT22_0x_0" localSheetId="70">'321'!$T$24:$T$30</definedName>
    <definedName name="OSRRefT22_0x_0" localSheetId="71">'322'!$T$24:$T$31</definedName>
    <definedName name="OSRRefT22_0x_0" localSheetId="58">'324'!$T$25</definedName>
    <definedName name="OSRRefT22_0x_0" localSheetId="72">'325'!$T$24:$T$31</definedName>
    <definedName name="OSRRefT22_0x_0" localSheetId="61">'326'!$T$61:$T$68</definedName>
    <definedName name="OSRRefT22_0x_0" localSheetId="73">'327'!$T$22</definedName>
    <definedName name="OSRRefT22_0x_0" localSheetId="53">'330'!$T$81:$T$88</definedName>
    <definedName name="OSRRefT22_0x_0" localSheetId="59">'331'!$T$74:$T$81</definedName>
    <definedName name="OSRRefT22_0x_0" localSheetId="62">'332'!$T$42:$T$49</definedName>
    <definedName name="OSRRefT22_0x_0" localSheetId="52">'335'!$T$20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'412'!$T$24:$T$31</definedName>
    <definedName name="OSRRefT22_0x_0" localSheetId="82">'413'!$T$24:$T$31</definedName>
    <definedName name="OSRRefT22_0x_0" localSheetId="83">'414'!$T$24:$T$31</definedName>
    <definedName name="OSRRefT22_0x_0" localSheetId="84">'415'!$T$24:$T$31</definedName>
    <definedName name="OSRRefT22_0x_0" localSheetId="85">'418'!$T$24:$T$31</definedName>
    <definedName name="OSRRefT22_0x_0" localSheetId="81">'420'!$T$23:$T$30</definedName>
    <definedName name="OSRRefT22_0x_0" localSheetId="86">'423'!$T$21:$T$28</definedName>
    <definedName name="OSRRefT22_0x_0" localSheetId="87">'424'!$T$24:$T$26</definedName>
    <definedName name="OSRRefT22_0x_0" localSheetId="88">'425'!$T$27:$T$35</definedName>
    <definedName name="OSRRefT22_0x_0" localSheetId="91">'430'!$T$20:$T$27</definedName>
    <definedName name="OSRRefT22_0x_0" localSheetId="92">'433'!$T$26:$T$34</definedName>
    <definedName name="OSRRefT22_0x_0" localSheetId="93">'435'!$T$25:$T$27</definedName>
    <definedName name="OSRRefT22_0x_0" localSheetId="94">'444'!$T$25:$T$33</definedName>
    <definedName name="OSRRefT22_0x_0" localSheetId="95">'445'!$T$20</definedName>
    <definedName name="OSRRefT22_0x_0" localSheetId="96">'450'!$T$25:$T$33</definedName>
    <definedName name="OSRRefT22_0x_0" localSheetId="89">'455'!$T$20:$T$26</definedName>
    <definedName name="OSRRefT22_0x_0" localSheetId="76">'491'!$T$33:$T$41</definedName>
    <definedName name="OSRRefT22_0x_0" localSheetId="90">'492'!$T$28:$T$36</definedName>
    <definedName name="OSRRefT22_0x_0" localSheetId="98">'501'!$T$21:$T$28</definedName>
    <definedName name="OSRRefT22_0x_0" localSheetId="39">'Div 2'!$T$20:$T$30</definedName>
    <definedName name="OSRRefT22_0x_0" localSheetId="47">'Div 3'!$T$168:$T$176</definedName>
    <definedName name="OSRRefT22_0x_0" localSheetId="74">'Div 4'!$T$34:$T$42</definedName>
    <definedName name="OSRRefT22_0x_0" localSheetId="97">'Div 5'!$T$21:$T$28</definedName>
    <definedName name="OSRRefT22_0x_0" localSheetId="65">'Div 6'!$T$58:$T$66</definedName>
    <definedName name="OSRRefT22_0x_0" localSheetId="2">Summary!$T$202:$T$210</definedName>
    <definedName name="OSRRefT22_10x_0" localSheetId="41">'201'!$T$50:$T$52</definedName>
    <definedName name="OSRRefT22_10x_0" localSheetId="42">'202'!$T$51:$T$53</definedName>
    <definedName name="OSRRefT22_10x_0" localSheetId="43">'203'!$T$55:$T$56</definedName>
    <definedName name="OSRRefT22_10x_0" localSheetId="44">'204'!$T$60:$T$61</definedName>
    <definedName name="OSRRefT22_10x_0" localSheetId="48">'300'!$T$200:$T$201</definedName>
    <definedName name="OSRRefT22_10x_0" localSheetId="49">'300 &amp; 317'!$T$225:$T$226</definedName>
    <definedName name="OSRRefT22_10x_0" localSheetId="50">'301'!$T$56</definedName>
    <definedName name="OSRRefT22_10x_0" localSheetId="51">'306'!$T$57</definedName>
    <definedName name="OSRRefT22_10x_0" localSheetId="54">'307'!$T$106:$T$107</definedName>
    <definedName name="OSRRefT22_10x_0" localSheetId="56">'308'!$T$99:$T$100</definedName>
    <definedName name="OSRRefT22_10x_0" localSheetId="68">'309'!$T$56:$T$58</definedName>
    <definedName name="OSRRefT22_10x_0" localSheetId="67">'310'!$T$67</definedName>
    <definedName name="OSRRefT22_10x_0" localSheetId="75">'310 &amp; 491'!$T$77:$T$78</definedName>
    <definedName name="OSRRefT22_10x_0" localSheetId="57">'311'!$T$98:$T$99</definedName>
    <definedName name="OSRRefT22_10x_0" localSheetId="69">'313'!$T$63:$T$64</definedName>
    <definedName name="OSRRefT22_10x_0" localSheetId="60">'315'!$T$91:$T$92</definedName>
    <definedName name="OSRRefT22_10x_0" localSheetId="63">'316'!$T$64:$T$68</definedName>
    <definedName name="OSRRefT22_10x_0" localSheetId="66">'317'!$T$89</definedName>
    <definedName name="OSRRefT22_10x_0" localSheetId="70">'321'!$T$58:$T$62</definedName>
    <definedName name="OSRRefT22_10x_0" localSheetId="71">'322'!$T$55:$T$56</definedName>
    <definedName name="OSRRefT22_10x_0" localSheetId="72">'325'!$T$57</definedName>
    <definedName name="OSRRefT22_10x_0" localSheetId="61">'326'!$T$91</definedName>
    <definedName name="OSRRefT22_10x_0" localSheetId="53">'330'!$T$113</definedName>
    <definedName name="OSRRefT22_10x_0" localSheetId="59">'331'!$T$108</definedName>
    <definedName name="OSRRefT22_10x_0" localSheetId="62">'332'!$T$74</definedName>
    <definedName name="OSRRefT22_10x_0" localSheetId="77">'405'!$T$55:$T$56</definedName>
    <definedName name="OSRRefT22_10x_0" localSheetId="78">'406'!$T$57:$T$58</definedName>
    <definedName name="OSRRefT22_10x_0" localSheetId="79">'411'!$T$55</definedName>
    <definedName name="OSRRefT22_10x_0" localSheetId="80">'412'!$T$57</definedName>
    <definedName name="OSRRefT22_10x_0" localSheetId="82">'413'!$T$63</definedName>
    <definedName name="OSRRefT22_10x_0" localSheetId="83">'414'!$T$57</definedName>
    <definedName name="OSRRefT22_10x_0" localSheetId="84">'415'!$T$57</definedName>
    <definedName name="OSRRefT22_10x_0" localSheetId="85">'418'!$T$57:$T$58</definedName>
    <definedName name="OSRRefT22_10x_0" localSheetId="87">'424'!$T$51:$T$56</definedName>
    <definedName name="OSRRefT22_10x_0" localSheetId="88">'425'!$T$62</definedName>
    <definedName name="OSRRefT22_10x_0" localSheetId="92">'433'!$T$59:$T$61</definedName>
    <definedName name="OSRRefT22_10x_0" localSheetId="94">'444'!$T$58</definedName>
    <definedName name="OSRRefT22_10x_0" localSheetId="96">'450'!$T$58</definedName>
    <definedName name="OSRRefT22_10x_0" localSheetId="76">'491'!$T$69</definedName>
    <definedName name="OSRRefT22_10x_0" localSheetId="90">'492'!$T$62</definedName>
    <definedName name="OSRRefT22_10x_0" localSheetId="98">'501'!$T$54:$T$55</definedName>
    <definedName name="OSRRefT22_10x_0" localSheetId="39">'Div 2'!$T$57</definedName>
    <definedName name="OSRRefT22_10x_0" localSheetId="47">'Div 3'!$T$205:$T$206</definedName>
    <definedName name="OSRRefT22_10x_0" localSheetId="74">'Div 4'!$T$70</definedName>
    <definedName name="OSRRefT22_10x_0" localSheetId="97">'Div 5'!$T$54:$T$55</definedName>
    <definedName name="OSRRefT22_10x_0" localSheetId="65">'Div 6'!$T$89</definedName>
    <definedName name="OSRRefT22_10x_0" localSheetId="2">Summary!$T$240:$T$241</definedName>
    <definedName name="OSRRefT22_11x_0" localSheetId="41">'201'!$T$54:$T$56</definedName>
    <definedName name="OSRRefT22_11x_0" localSheetId="42">'202'!$T$55</definedName>
    <definedName name="OSRRefT22_11x_0" localSheetId="43">'203'!$T$58:$T$59</definedName>
    <definedName name="OSRRefT22_11x_0" localSheetId="48">'300'!$T$203</definedName>
    <definedName name="OSRRefT22_11x_0" localSheetId="49">'300 &amp; 317'!$T$228</definedName>
    <definedName name="OSRRefT22_11x_0" localSheetId="50">'301'!$T$58</definedName>
    <definedName name="OSRRefT22_11x_0" localSheetId="54">'307'!$T$109:$T$111</definedName>
    <definedName name="OSRRefT22_11x_0" localSheetId="56">'308'!$T$102:$T$105</definedName>
    <definedName name="OSRRefT22_11x_0" localSheetId="68">'309'!$T$60</definedName>
    <definedName name="OSRRefT22_11x_0" localSheetId="67">'310'!$T$69</definedName>
    <definedName name="OSRRefT22_11x_0" localSheetId="75">'310 &amp; 491'!$T$80:$T$81</definedName>
    <definedName name="OSRRefT22_11x_0" localSheetId="57">'311'!$T$101:$T$104</definedName>
    <definedName name="OSRRefT22_11x_0" localSheetId="69">'313'!$T$66:$T$67</definedName>
    <definedName name="OSRRefT22_11x_0" localSheetId="60">'315'!$T$94:$T$98</definedName>
    <definedName name="OSRRefT22_11x_0" localSheetId="63">'316'!$T$70</definedName>
    <definedName name="OSRRefT22_11x_0" localSheetId="66">'317'!$T$91</definedName>
    <definedName name="OSRRefT22_11x_0" localSheetId="70">'321'!$T$64</definedName>
    <definedName name="OSRRefT22_11x_0" localSheetId="71">'322'!$T$58:$T$60</definedName>
    <definedName name="OSRRefT22_11x_0" localSheetId="72">'325'!$T$59:$T$61</definedName>
    <definedName name="OSRRefT22_11x_0" localSheetId="61">'326'!$T$93</definedName>
    <definedName name="OSRRefT22_11x_0" localSheetId="53">'330'!$T$115:$T$116</definedName>
    <definedName name="OSRRefT22_11x_0" localSheetId="59">'331'!$T$110</definedName>
    <definedName name="OSRRefT22_11x_0" localSheetId="62">'332'!$T$76:$T$80</definedName>
    <definedName name="OSRRefT22_11x_0" localSheetId="77">'405'!$T$58</definedName>
    <definedName name="OSRRefT22_11x_0" localSheetId="78">'406'!$T$60:$T$65</definedName>
    <definedName name="OSRRefT22_11x_0" localSheetId="79">'411'!$T$57:$T$59</definedName>
    <definedName name="OSRRefT22_11x_0" localSheetId="80">'412'!$T$59:$T$61</definedName>
    <definedName name="OSRRefT22_11x_0" localSheetId="83">'414'!$T$59</definedName>
    <definedName name="OSRRefT22_11x_0" localSheetId="84">'415'!$T$59:$T$62</definedName>
    <definedName name="OSRRefT22_11x_0" localSheetId="85">'418'!$T$60:$T$62</definedName>
    <definedName name="OSRRefT22_11x_0" localSheetId="87">'424'!$T$58</definedName>
    <definedName name="OSRRefT22_11x_0" localSheetId="88">'425'!$T$64:$T$65</definedName>
    <definedName name="OSRRefT22_11x_0" localSheetId="92">'433'!$T$63:$T$65</definedName>
    <definedName name="OSRRefT22_11x_0" localSheetId="94">'444'!$T$60:$T$62</definedName>
    <definedName name="OSRRefT22_11x_0" localSheetId="96">'450'!$T$60:$T$62</definedName>
    <definedName name="OSRRefT22_11x_0" localSheetId="76">'491'!$T$71:$T$72</definedName>
    <definedName name="OSRRefT22_11x_0" localSheetId="90">'492'!$T$64</definedName>
    <definedName name="OSRRefT22_11x_0" localSheetId="98">'501'!$T$57</definedName>
    <definedName name="OSRRefT22_11x_0" localSheetId="39">'Div 2'!$T$59</definedName>
    <definedName name="OSRRefT22_11x_0" localSheetId="47">'Div 3'!$T$208</definedName>
    <definedName name="OSRRefT22_11x_0" localSheetId="74">'Div 4'!$T$72:$T$73</definedName>
    <definedName name="OSRRefT22_11x_0" localSheetId="97">'Div 5'!$T$57</definedName>
    <definedName name="OSRRefT22_11x_0" localSheetId="65">'Div 6'!$T$91</definedName>
    <definedName name="OSRRefT22_11x_0" localSheetId="2">Summary!$T$243:$T$244</definedName>
    <definedName name="OSRRefT22_12x_0" localSheetId="41">'201'!$T$58</definedName>
    <definedName name="OSRRefT22_12x_0" localSheetId="42">'202'!$T$57</definedName>
    <definedName name="OSRRefT22_12x_0" localSheetId="43">'203'!$T$61:$T$63</definedName>
    <definedName name="OSRRefT22_12x_0" localSheetId="48">'300'!$T$205</definedName>
    <definedName name="OSRRefT22_12x_0" localSheetId="49">'300 &amp; 317'!$T$230</definedName>
    <definedName name="OSRRefT22_12x_0" localSheetId="50">'301'!$T$60</definedName>
    <definedName name="OSRRefT22_12x_0" localSheetId="54">'307'!$T$113</definedName>
    <definedName name="OSRRefT22_12x_0" localSheetId="56">'308'!$T$107:$T$108</definedName>
    <definedName name="OSRRefT22_12x_0" localSheetId="68">'309'!$T$62:$T$67</definedName>
    <definedName name="OSRRefT22_12x_0" localSheetId="67">'310'!$T$71</definedName>
    <definedName name="OSRRefT22_12x_0" localSheetId="75">'310 &amp; 491'!$T$83</definedName>
    <definedName name="OSRRefT22_12x_0" localSheetId="57">'311'!$T$106:$T$107</definedName>
    <definedName name="OSRRefT22_12x_0" localSheetId="69">'313'!$T$69:$T$74</definedName>
    <definedName name="OSRRefT22_12x_0" localSheetId="60">'315'!$T$100</definedName>
    <definedName name="OSRRefT22_12x_0" localSheetId="63">'316'!$T$72</definedName>
    <definedName name="OSRRefT22_12x_0" localSheetId="66">'317'!$T$93:$T$94</definedName>
    <definedName name="OSRRefT22_12x_0" localSheetId="70">'321'!$T$66</definedName>
    <definedName name="OSRRefT22_12x_0" localSheetId="71">'322'!$T$62</definedName>
    <definedName name="OSRRefT22_12x_0" localSheetId="72">'325'!$T$63:$T$66</definedName>
    <definedName name="OSRRefT22_12x_0" localSheetId="61">'326'!$T$95</definedName>
    <definedName name="OSRRefT22_12x_0" localSheetId="53">'330'!$T$118:$T$119</definedName>
    <definedName name="OSRRefT22_12x_0" localSheetId="59">'331'!$T$112</definedName>
    <definedName name="OSRRefT22_12x_0" localSheetId="62">'332'!$T$82</definedName>
    <definedName name="OSRRefT22_12x_0" localSheetId="77">'405'!$T$60:$T$62</definedName>
    <definedName name="OSRRefT22_12x_0" localSheetId="78">'406'!$T$67</definedName>
    <definedName name="OSRRefT22_12x_0" localSheetId="79">'411'!$T$61:$T$65</definedName>
    <definedName name="OSRRefT22_12x_0" localSheetId="80">'412'!$T$63:$T$69</definedName>
    <definedName name="OSRRefT22_12x_0" localSheetId="83">'414'!$T$61</definedName>
    <definedName name="OSRRefT22_12x_0" localSheetId="84">'415'!$T$64:$T$68</definedName>
    <definedName name="OSRRefT22_12x_0" localSheetId="85">'418'!$T$64:$T$66</definedName>
    <definedName name="OSRRefT22_12x_0" localSheetId="88">'425'!$T$67:$T$73</definedName>
    <definedName name="OSRRefT22_12x_0" localSheetId="92">'433'!$T$67:$T$73</definedName>
    <definedName name="OSRRefT22_12x_0" localSheetId="94">'444'!$T$64:$T$66</definedName>
    <definedName name="OSRRefT22_12x_0" localSheetId="96">'450'!$T$64:$T$66</definedName>
    <definedName name="OSRRefT22_12x_0" localSheetId="76">'491'!$T$74</definedName>
    <definedName name="OSRRefT22_12x_0" localSheetId="90">'492'!$T$66:$T$68</definedName>
    <definedName name="OSRRefT22_12x_0" localSheetId="98">'501'!$T$59:$T$62</definedName>
    <definedName name="OSRRefT22_12x_0" localSheetId="39">'Div 2'!$T$61:$T$64</definedName>
    <definedName name="OSRRefT22_12x_0" localSheetId="47">'Div 3'!$T$210</definedName>
    <definedName name="OSRRefT22_12x_0" localSheetId="74">'Div 4'!$T$75</definedName>
    <definedName name="OSRRefT22_12x_0" localSheetId="97">'Div 5'!$T$59:$T$62</definedName>
    <definedName name="OSRRefT22_12x_0" localSheetId="65">'Div 6'!$T$93:$T$94</definedName>
    <definedName name="OSRRefT22_12x_0" localSheetId="2">Summary!$T$246</definedName>
    <definedName name="OSRRefT22_13x_0" localSheetId="41">'201'!$T$60:$T$62</definedName>
    <definedName name="OSRRefT22_13x_0" localSheetId="42">'202'!$T$59:$T$61</definedName>
    <definedName name="OSRRefT22_13x_0" localSheetId="43">'203'!$T$65</definedName>
    <definedName name="OSRRefT22_13x_0" localSheetId="48">'300'!$T$207</definedName>
    <definedName name="OSRRefT22_13x_0" localSheetId="49">'300 &amp; 317'!$T$232</definedName>
    <definedName name="OSRRefT22_13x_0" localSheetId="50">'301'!$T$62</definedName>
    <definedName name="OSRRefT22_13x_0" localSheetId="54">'307'!$T$115</definedName>
    <definedName name="OSRRefT22_13x_0" localSheetId="56">'308'!$T$110</definedName>
    <definedName name="OSRRefT22_13x_0" localSheetId="68">'309'!$T$69</definedName>
    <definedName name="OSRRefT22_13x_0" localSheetId="67">'310'!$T$73</definedName>
    <definedName name="OSRRefT22_13x_0" localSheetId="75">'310 &amp; 491'!$T$85</definedName>
    <definedName name="OSRRefT22_13x_0" localSheetId="57">'311'!$T$109</definedName>
    <definedName name="OSRRefT22_13x_0" localSheetId="69">'313'!$T$76</definedName>
    <definedName name="OSRRefT22_13x_0" localSheetId="60">'315'!$T$102</definedName>
    <definedName name="OSRRefT22_13x_0" localSheetId="66">'317'!$T$96</definedName>
    <definedName name="OSRRefT22_13x_0" localSheetId="70">'321'!$T$68</definedName>
    <definedName name="OSRRefT22_13x_0" localSheetId="71">'322'!$T$64:$T$70</definedName>
    <definedName name="OSRRefT22_13x_0" localSheetId="72">'325'!$T$68:$T$69</definedName>
    <definedName name="OSRRefT22_13x_0" localSheetId="61">'326'!$T$97:$T$98</definedName>
    <definedName name="OSRRefT22_13x_0" localSheetId="53">'330'!$T$121</definedName>
    <definedName name="OSRRefT22_13x_0" localSheetId="59">'331'!$T$114</definedName>
    <definedName name="OSRRefT22_13x_0" localSheetId="62">'332'!$T$84</definedName>
    <definedName name="OSRRefT22_13x_0" localSheetId="77">'405'!$T$64:$T$65</definedName>
    <definedName name="OSRRefT22_13x_0" localSheetId="78">'406'!$T$69</definedName>
    <definedName name="OSRRefT22_13x_0" localSheetId="79">'411'!$T$67:$T$68</definedName>
    <definedName name="OSRRefT22_13x_0" localSheetId="80">'412'!$T$71</definedName>
    <definedName name="OSRRefT22_13x_0" localSheetId="83">'414'!$T$63:$T$69</definedName>
    <definedName name="OSRRefT22_13x_0" localSheetId="84">'415'!$T$70:$T$71</definedName>
    <definedName name="OSRRefT22_13x_0" localSheetId="85">'418'!$T$68:$T$69</definedName>
    <definedName name="OSRRefT22_13x_0" localSheetId="88">'425'!$T$75</definedName>
    <definedName name="OSRRefT22_13x_0" localSheetId="92">'433'!$T$75</definedName>
    <definedName name="OSRRefT22_13x_0" localSheetId="94">'444'!$T$68:$T$75</definedName>
    <definedName name="OSRRefT22_13x_0" localSheetId="96">'450'!$T$68:$T$74</definedName>
    <definedName name="OSRRefT22_13x_0" localSheetId="76">'491'!$T$76</definedName>
    <definedName name="OSRRefT22_13x_0" localSheetId="90">'492'!$T$70:$T$72</definedName>
    <definedName name="OSRRefT22_13x_0" localSheetId="98">'501'!$T$64</definedName>
    <definedName name="OSRRefT22_13x_0" localSheetId="39">'Div 2'!$T$66:$T$69</definedName>
    <definedName name="OSRRefT22_13x_0" localSheetId="47">'Div 3'!$T$212</definedName>
    <definedName name="OSRRefT22_13x_0" localSheetId="74">'Div 4'!$T$77</definedName>
    <definedName name="OSRRefT22_13x_0" localSheetId="97">'Div 5'!$T$64</definedName>
    <definedName name="OSRRefT22_13x_0" localSheetId="65">'Div 6'!$T$96</definedName>
    <definedName name="OSRRefT22_13x_0" localSheetId="2">Summary!$T$248</definedName>
    <definedName name="OSRRefT22_14x_0" localSheetId="41">'201'!$T$64</definedName>
    <definedName name="OSRRefT22_14x_0" localSheetId="42">'202'!$T$63</definedName>
    <definedName name="OSRRefT22_14x_0" localSheetId="43">'203'!$T$67</definedName>
    <definedName name="OSRRefT22_14x_0" localSheetId="48">'300'!$T$209</definedName>
    <definedName name="OSRRefT22_14x_0" localSheetId="49">'300 &amp; 317'!$T$234</definedName>
    <definedName name="OSRRefT22_14x_0" localSheetId="50">'301'!$T$64:$T$67</definedName>
    <definedName name="OSRRefT22_14x_0" localSheetId="56">'308'!$T$112</definedName>
    <definedName name="OSRRefT22_14x_0" localSheetId="67">'310'!$T$75:$T$77</definedName>
    <definedName name="OSRRefT22_14x_0" localSheetId="75">'310 &amp; 491'!$T$87</definedName>
    <definedName name="OSRRefT22_14x_0" localSheetId="57">'311'!$T$111</definedName>
    <definedName name="OSRRefT22_14x_0" localSheetId="69">'313'!$T$78</definedName>
    <definedName name="OSRRefT22_14x_0" localSheetId="60">'315'!$T$104:$T$105</definedName>
    <definedName name="OSRRefT22_14x_0" localSheetId="66">'317'!$T$98</definedName>
    <definedName name="OSRRefT22_14x_0" localSheetId="71">'322'!$T$72</definedName>
    <definedName name="OSRRefT22_14x_0" localSheetId="72">'325'!$T$71:$T$76</definedName>
    <definedName name="OSRRefT22_14x_0" localSheetId="61">'326'!$T$100:$T$102</definedName>
    <definedName name="OSRRefT22_14x_0" localSheetId="53">'330'!$T$123:$T$125</definedName>
    <definedName name="OSRRefT22_14x_0" localSheetId="59">'331'!$T$116:$T$118</definedName>
    <definedName name="OSRRefT22_14x_0" localSheetId="77">'405'!$T$67:$T$73</definedName>
    <definedName name="OSRRefT22_14x_0" localSheetId="79">'411'!$T$70:$T$77</definedName>
    <definedName name="OSRRefT22_14x_0" localSheetId="80">'412'!$T$73</definedName>
    <definedName name="OSRRefT22_14x_0" localSheetId="83">'414'!$T$71</definedName>
    <definedName name="OSRRefT22_14x_0" localSheetId="84">'415'!$T$73:$T$79</definedName>
    <definedName name="OSRRefT22_14x_0" localSheetId="85">'418'!$T$71:$T$77</definedName>
    <definedName name="OSRRefT22_14x_0" localSheetId="88">'425'!$T$77</definedName>
    <definedName name="OSRRefT22_14x_0" localSheetId="92">'433'!$T$77</definedName>
    <definedName name="OSRRefT22_14x_0" localSheetId="94">'444'!$T$77</definedName>
    <definedName name="OSRRefT22_14x_0" localSheetId="96">'450'!$T$76</definedName>
    <definedName name="OSRRefT22_14x_0" localSheetId="76">'491'!$T$78</definedName>
    <definedName name="OSRRefT22_14x_0" localSheetId="90">'492'!$T$74:$T$81</definedName>
    <definedName name="OSRRefT22_14x_0" localSheetId="98">'501'!$T$66</definedName>
    <definedName name="OSRRefT22_14x_0" localSheetId="39">'Div 2'!$T$71:$T$72</definedName>
    <definedName name="OSRRefT22_14x_0" localSheetId="47">'Div 3'!$T$214</definedName>
    <definedName name="OSRRefT22_14x_0" localSheetId="74">'Div 4'!$T$79</definedName>
    <definedName name="OSRRefT22_14x_0" localSheetId="97">'Div 5'!$T$66</definedName>
    <definedName name="OSRRefT22_14x_0" localSheetId="65">'Div 6'!$T$98</definedName>
    <definedName name="OSRRefT22_14x_0" localSheetId="2">Summary!$T$250</definedName>
    <definedName name="OSRRefT22_15x_0" localSheetId="41">'201'!$T$66</definedName>
    <definedName name="OSRRefT22_15x_0" localSheetId="42">'202'!$T$65</definedName>
    <definedName name="OSRRefT22_15x_0" localSheetId="43">'203'!$T$69</definedName>
    <definedName name="OSRRefT22_15x_0" localSheetId="48">'300'!$T$211</definedName>
    <definedName name="OSRRefT22_15x_0" localSheetId="49">'300 &amp; 317'!$T$236</definedName>
    <definedName name="OSRRefT22_15x_0" localSheetId="50">'301'!$T$69</definedName>
    <definedName name="OSRRefT22_15x_0" localSheetId="67">'310'!$T$79</definedName>
    <definedName name="OSRRefT22_15x_0" localSheetId="75">'310 &amp; 491'!$T$89</definedName>
    <definedName name="OSRRefT22_15x_0" localSheetId="66">'317'!$T$100</definedName>
    <definedName name="OSRRefT22_15x_0" localSheetId="71">'322'!$T$74</definedName>
    <definedName name="OSRRefT22_15x_0" localSheetId="72">'325'!$T$78</definedName>
    <definedName name="OSRRefT22_15x_0" localSheetId="61">'326'!$T$104</definedName>
    <definedName name="OSRRefT22_15x_0" localSheetId="53">'330'!$T$127</definedName>
    <definedName name="OSRRefT22_15x_0" localSheetId="59">'331'!$T$120:$T$121</definedName>
    <definedName name="OSRRefT22_15x_0" localSheetId="77">'405'!$T$75</definedName>
    <definedName name="OSRRefT22_15x_0" localSheetId="79">'411'!$T$79</definedName>
    <definedName name="OSRRefT22_15x_0" localSheetId="83">'414'!$T$73</definedName>
    <definedName name="OSRRefT22_15x_0" localSheetId="84">'415'!$T$81</definedName>
    <definedName name="OSRRefT22_15x_0" localSheetId="85">'418'!$T$79</definedName>
    <definedName name="OSRRefT22_15x_0" localSheetId="88">'425'!$T$79</definedName>
    <definedName name="OSRRefT22_15x_0" localSheetId="92">'433'!$T$79:$T$80</definedName>
    <definedName name="OSRRefT22_15x_0" localSheetId="94">'444'!$T$79</definedName>
    <definedName name="OSRRefT22_15x_0" localSheetId="96">'450'!$T$78</definedName>
    <definedName name="OSRRefT22_15x_0" localSheetId="76">'491'!$T$80</definedName>
    <definedName name="OSRRefT22_15x_0" localSheetId="90">'492'!$T$83</definedName>
    <definedName name="OSRRefT22_15x_0" localSheetId="39">'Div 2'!$T$74:$T$75</definedName>
    <definedName name="OSRRefT22_15x_0" localSheetId="47">'Div 3'!$T$216</definedName>
    <definedName name="OSRRefT22_15x_0" localSheetId="74">'Div 4'!$T$81</definedName>
    <definedName name="OSRRefT22_15x_0" localSheetId="65">'Div 6'!$T$100</definedName>
    <definedName name="OSRRefT22_15x_0" localSheetId="2">Summary!$T$252</definedName>
    <definedName name="OSRRefT22_16x_0" localSheetId="41">'201'!$T$68:$T$69</definedName>
    <definedName name="OSRRefT22_16x_0" localSheetId="42">'202'!$T$67</definedName>
    <definedName name="OSRRefT22_16x_0" localSheetId="48">'300'!$T$213:$T$216</definedName>
    <definedName name="OSRRefT22_16x_0" localSheetId="49">'300 &amp; 317'!$T$238:$T$241</definedName>
    <definedName name="OSRRefT22_16x_0" localSheetId="50">'301'!$T$71:$T$73</definedName>
    <definedName name="OSRRefT22_16x_0" localSheetId="67">'310'!$T$81:$T$84</definedName>
    <definedName name="OSRRefT22_16x_0" localSheetId="75">'310 &amp; 491'!$T$91:$T$94</definedName>
    <definedName name="OSRRefT22_16x_0" localSheetId="72">'325'!$T$80</definedName>
    <definedName name="OSRRefT22_16x_0" localSheetId="61">'326'!$T$106:$T$110</definedName>
    <definedName name="OSRRefT22_16x_0" localSheetId="53">'330'!$T$129</definedName>
    <definedName name="OSRRefT22_16x_0" localSheetId="59">'331'!$T$123:$T$125</definedName>
    <definedName name="OSRRefT22_16x_0" localSheetId="77">'405'!$T$77</definedName>
    <definedName name="OSRRefT22_16x_0" localSheetId="79">'411'!$T$81</definedName>
    <definedName name="OSRRefT22_16x_0" localSheetId="84">'415'!$T$83</definedName>
    <definedName name="OSRRefT22_16x_0" localSheetId="85">'418'!$T$81</definedName>
    <definedName name="OSRRefT22_16x_0" localSheetId="94">'444'!$T$81</definedName>
    <definedName name="OSRRefT22_16x_0" localSheetId="96">'450'!$T$80:$T$81</definedName>
    <definedName name="OSRRefT22_16x_0" localSheetId="76">'491'!$T$82:$T$85</definedName>
    <definedName name="OSRRefT22_16x_0" localSheetId="90">'492'!$T$85</definedName>
    <definedName name="OSRRefT22_16x_0" localSheetId="39">'Div 2'!$T$77:$T$80</definedName>
    <definedName name="OSRRefT22_16x_0" localSheetId="47">'Div 3'!$T$218</definedName>
    <definedName name="OSRRefT22_16x_0" localSheetId="74">'Div 4'!$T$83</definedName>
    <definedName name="OSRRefT22_16x_0" localSheetId="2">Summary!$T$254</definedName>
    <definedName name="OSRRefT22_17x_0" localSheetId="48">'300'!$T$218:$T$220</definedName>
    <definedName name="OSRRefT22_17x_0" localSheetId="49">'300 &amp; 317'!$T$243:$T$245</definedName>
    <definedName name="OSRRefT22_17x_0" localSheetId="50">'301'!$T$75</definedName>
    <definedName name="OSRRefT22_17x_0" localSheetId="67">'310'!$T$86:$T$87</definedName>
    <definedName name="OSRRefT22_17x_0" localSheetId="75">'310 &amp; 491'!$T$96:$T$97</definedName>
    <definedName name="OSRRefT22_17x_0" localSheetId="72">'325'!$T$82</definedName>
    <definedName name="OSRRefT22_17x_0" localSheetId="61">'326'!$T$112</definedName>
    <definedName name="OSRRefT22_17x_0" localSheetId="53">'330'!$T$131</definedName>
    <definedName name="OSRRefT22_17x_0" localSheetId="59">'331'!$T$127:$T$128</definedName>
    <definedName name="OSRRefT22_17x_0" localSheetId="77">'405'!$T$79</definedName>
    <definedName name="OSRRefT22_17x_0" localSheetId="79">'411'!$T$83:$T$85</definedName>
    <definedName name="OSRRefT22_17x_0" localSheetId="84">'415'!$T$85</definedName>
    <definedName name="OSRRefT22_17x_0" localSheetId="76">'491'!$T$87:$T$88</definedName>
    <definedName name="OSRRefT22_17x_0" localSheetId="90">'492'!$T$87:$T$88</definedName>
    <definedName name="OSRRefT22_17x_0" localSheetId="39">'Div 2'!$T$82:$T$83</definedName>
    <definedName name="OSRRefT22_17x_0" localSheetId="47">'Div 3'!$T$220:$T$223</definedName>
    <definedName name="OSRRefT22_17x_0" localSheetId="74">'Div 4'!$T$85:$T$88</definedName>
    <definedName name="OSRRefT22_17x_0" localSheetId="2">Summary!$T$256</definedName>
    <definedName name="OSRRefT22_18x_0" localSheetId="48">'300'!$T$222:$T$225</definedName>
    <definedName name="OSRRefT22_18x_0" localSheetId="49">'300 &amp; 317'!$T$247:$T$250</definedName>
    <definedName name="OSRRefT22_18x_0" localSheetId="50">'301'!$T$77:$T$81</definedName>
    <definedName name="OSRRefT22_18x_0" localSheetId="67">'310'!$T$89:$T$96</definedName>
    <definedName name="OSRRefT22_18x_0" localSheetId="75">'310 &amp; 491'!$T$99:$T$103</definedName>
    <definedName name="OSRRefT22_18x_0" localSheetId="61">'326'!$T$114</definedName>
    <definedName name="OSRRefT22_18x_0" localSheetId="59">'331'!$T$130:$T$135</definedName>
    <definedName name="OSRRefT22_18x_0" localSheetId="79">'411'!$T$87</definedName>
    <definedName name="OSRRefT22_18x_0" localSheetId="76">'491'!$T$90:$T$94</definedName>
    <definedName name="OSRRefT22_18x_0" localSheetId="39">'Div 2'!$T$85</definedName>
    <definedName name="OSRRefT22_18x_0" localSheetId="47">'Div 3'!$T$225:$T$227</definedName>
    <definedName name="OSRRefT22_18x_0" localSheetId="74">'Div 4'!$T$90:$T$91</definedName>
    <definedName name="OSRRefT22_18x_0" localSheetId="2">Summary!$T$258:$T$261</definedName>
    <definedName name="OSRRefT22_19x_0" localSheetId="48">'300'!$T$227:$T$228</definedName>
    <definedName name="OSRRefT22_19x_0" localSheetId="49">'300 &amp; 317'!$T$252:$T$253</definedName>
    <definedName name="OSRRefT22_19x_0" localSheetId="50">'301'!$T$83</definedName>
    <definedName name="OSRRefT22_19x_0" localSheetId="67">'310'!$T$98</definedName>
    <definedName name="OSRRefT22_19x_0" localSheetId="75">'310 &amp; 491'!$T$105:$T$106</definedName>
    <definedName name="OSRRefT22_19x_0" localSheetId="61">'326'!$T$116</definedName>
    <definedName name="OSRRefT22_19x_0" localSheetId="59">'331'!$T$137</definedName>
    <definedName name="OSRRefT22_19x_0" localSheetId="76">'491'!$T$96:$T$97</definedName>
    <definedName name="OSRRefT22_19x_0" localSheetId="39">'Div 2'!$T$87:$T$88</definedName>
    <definedName name="OSRRefT22_19x_0" localSheetId="47">'Div 3'!$T$229:$T$233</definedName>
    <definedName name="OSRRefT22_19x_0" localSheetId="74">'Div 4'!$T$93:$T$97</definedName>
    <definedName name="OSRRefT22_19x_0" localSheetId="2">Summary!$T$263:$T$265</definedName>
    <definedName name="OSRRefT22_1x_0" localSheetId="40">'200'!$T$22</definedName>
    <definedName name="OSRRefT22_1x_0" localSheetId="41">'201'!$T$30:$T$32</definedName>
    <definedName name="OSRRefT22_1x_0" localSheetId="42">'202'!$T$29:$T$33</definedName>
    <definedName name="OSRRefT22_1x_0" localSheetId="43">'203'!$T$31:$T$35</definedName>
    <definedName name="OSRRefT22_1x_0" localSheetId="44">'204'!$T$31:$T$36</definedName>
    <definedName name="OSRRefT22_1x_0" localSheetId="45">'205'!$T$29</definedName>
    <definedName name="OSRRefT22_1x_0" localSheetId="46">'206'!$T$29:$T$34</definedName>
    <definedName name="OSRRefT22_1x_0" localSheetId="48">'300'!$T$173:$T$179</definedName>
    <definedName name="OSRRefT22_1x_0" localSheetId="49">'300 &amp; 317'!$T$198:$T$204</definedName>
    <definedName name="OSRRefT22_1x_0" localSheetId="50">'301'!$T$29:$T$35</definedName>
    <definedName name="OSRRefT22_1x_0" localSheetId="51">'306'!$T$30:$T$34</definedName>
    <definedName name="OSRRefT22_1x_0" localSheetId="54">'307'!$T$83:$T$86</definedName>
    <definedName name="OSRRefT22_1x_0" localSheetId="56">'308'!$T$74:$T$78</definedName>
    <definedName name="OSRRefT22_1x_0" localSheetId="68">'309'!$T$33:$T$37</definedName>
    <definedName name="OSRRefT22_1x_0" localSheetId="67">'310'!$T$42:$T$47</definedName>
    <definedName name="OSRRefT22_1x_0" localSheetId="75">'310 &amp; 491'!$T$51:$T$57</definedName>
    <definedName name="OSRRefT22_1x_0" localSheetId="57">'311'!$T$73:$T$77</definedName>
    <definedName name="OSRRefT22_1x_0" localSheetId="69">'313'!$T$39:$T$43</definedName>
    <definedName name="OSRRefT22_1x_0" localSheetId="55">'314'!$T$65:$T$68</definedName>
    <definedName name="OSRRefT22_1x_0" localSheetId="60">'315'!$T$64:$T$69</definedName>
    <definedName name="OSRRefT22_1x_0" localSheetId="63">'316'!$T$42:$T$45</definedName>
    <definedName name="OSRRefT22_1x_0" localSheetId="66">'317'!$T$68:$T$71</definedName>
    <definedName name="OSRRefT22_1x_0" localSheetId="64">'320'!$T$38:$T$40</definedName>
    <definedName name="OSRRefT22_1x_0" localSheetId="70">'321'!$T$32:$T$36</definedName>
    <definedName name="OSRRefT22_1x_0" localSheetId="71">'322'!$T$33:$T$37</definedName>
    <definedName name="OSRRefT22_1x_0" localSheetId="72">'325'!$T$33:$T$38</definedName>
    <definedName name="OSRRefT22_1x_0" localSheetId="61">'326'!$T$70:$T$73</definedName>
    <definedName name="OSRRefT22_1x_0" localSheetId="73">'327'!$T$24</definedName>
    <definedName name="OSRRefT22_1x_0" localSheetId="53">'330'!$T$90:$T$94</definedName>
    <definedName name="OSRRefT22_1x_0" localSheetId="59">'331'!$T$83:$T$88</definedName>
    <definedName name="OSRRefT22_1x_0" localSheetId="62">'332'!$T$51:$T$54</definedName>
    <definedName name="OSRRefT22_1x_0" localSheetId="77">'405'!$T$33:$T$36</definedName>
    <definedName name="OSRRefT22_1x_0" localSheetId="78">'406'!$T$33:$T$37</definedName>
    <definedName name="OSRRefT22_1x_0" localSheetId="79">'411'!$T$30:$T$35</definedName>
    <definedName name="OSRRefT22_1x_0" localSheetId="80">'412'!$T$33:$T$38</definedName>
    <definedName name="OSRRefT22_1x_0" localSheetId="82">'413'!$T$33:$T$37</definedName>
    <definedName name="OSRRefT22_1x_0" localSheetId="83">'414'!$T$33:$T$38</definedName>
    <definedName name="OSRRefT22_1x_0" localSheetId="84">'415'!$T$33:$T$38</definedName>
    <definedName name="OSRRefT22_1x_0" localSheetId="85">'418'!$T$33:$T$38</definedName>
    <definedName name="OSRRefT22_1x_0" localSheetId="81">'420'!$T$32:$T$35</definedName>
    <definedName name="OSRRefT22_1x_0" localSheetId="86">'423'!$T$30</definedName>
    <definedName name="OSRRefT22_1x_0" localSheetId="87">'424'!$T$28:$T$32</definedName>
    <definedName name="OSRRefT22_1x_0" localSheetId="88">'425'!$T$37:$T$42</definedName>
    <definedName name="OSRRefT22_1x_0" localSheetId="91">'430'!$T$29</definedName>
    <definedName name="OSRRefT22_1x_0" localSheetId="92">'433'!$T$36:$T$41</definedName>
    <definedName name="OSRRefT22_1x_0" localSheetId="93">'435'!$T$29:$T$31</definedName>
    <definedName name="OSRRefT22_1x_0" localSheetId="94">'444'!$T$35:$T$40</definedName>
    <definedName name="OSRRefT22_1x_0" localSheetId="96">'450'!$T$35:$T$40</definedName>
    <definedName name="OSRRefT22_1x_0" localSheetId="89">'455'!$T$28:$T$29</definedName>
    <definedName name="OSRRefT22_1x_0" localSheetId="76">'491'!$T$43:$T$49</definedName>
    <definedName name="OSRRefT22_1x_0" localSheetId="90">'492'!$T$38:$T$44</definedName>
    <definedName name="OSRRefT22_1x_0" localSheetId="98">'501'!$T$30:$T$35</definedName>
    <definedName name="OSRRefT22_1x_0" localSheetId="39">'Div 2'!$T$32:$T$38</definedName>
    <definedName name="OSRRefT22_1x_0" localSheetId="47">'Div 3'!$T$178:$T$184</definedName>
    <definedName name="OSRRefT22_1x_0" localSheetId="74">'Div 4'!$T$44:$T$50</definedName>
    <definedName name="OSRRefT22_1x_0" localSheetId="97">'Div 5'!$T$30:$T$35</definedName>
    <definedName name="OSRRefT22_1x_0" localSheetId="65">'Div 6'!$T$68:$T$71</definedName>
    <definedName name="OSRRefT22_1x_0" localSheetId="2">Summary!$T$212:$T$218</definedName>
    <definedName name="OSRRefT22_20x_0" localSheetId="48">'300'!$T$230:$T$236</definedName>
    <definedName name="OSRRefT22_20x_0" localSheetId="49">'300 &amp; 317'!$T$255:$T$261</definedName>
    <definedName name="OSRRefT22_20x_0" localSheetId="50">'301'!$T$85</definedName>
    <definedName name="OSRRefT22_20x_0" localSheetId="67">'310'!$T$100</definedName>
    <definedName name="OSRRefT22_20x_0" localSheetId="75">'310 &amp; 491'!$T$108:$T$115</definedName>
    <definedName name="OSRRefT22_20x_0" localSheetId="59">'331'!$T$139</definedName>
    <definedName name="OSRRefT22_20x_0" localSheetId="76">'491'!$T$99:$T$106</definedName>
    <definedName name="OSRRefT22_20x_0" localSheetId="47">'Div 3'!$T$235:$T$236</definedName>
    <definedName name="OSRRefT22_20x_0" localSheetId="74">'Div 4'!$T$99:$T$100</definedName>
    <definedName name="OSRRefT22_20x_0" localSheetId="2">Summary!$T$267:$T$271</definedName>
    <definedName name="OSRRefT22_21x_0" localSheetId="48">'300'!$T$238:$T$239</definedName>
    <definedName name="OSRRefT22_21x_0" localSheetId="49">'300 &amp; 317'!$T$263:$T$264</definedName>
    <definedName name="OSRRefT22_21x_0" localSheetId="50">'301'!$T$87:$T$89</definedName>
    <definedName name="OSRRefT22_21x_0" localSheetId="67">'310'!$T$102</definedName>
    <definedName name="OSRRefT22_21x_0" localSheetId="75">'310 &amp; 491'!$T$117</definedName>
    <definedName name="OSRRefT22_21x_0" localSheetId="59">'331'!$T$141:$T$142</definedName>
    <definedName name="OSRRefT22_21x_0" localSheetId="76">'491'!$T$108</definedName>
    <definedName name="OSRRefT22_21x_0" localSheetId="47">'Div 3'!$T$238:$T$245</definedName>
    <definedName name="OSRRefT22_21x_0" localSheetId="74">'Div 4'!$T$102:$T$109</definedName>
    <definedName name="OSRRefT22_21x_0" localSheetId="2">Summary!$T$273:$T$274</definedName>
    <definedName name="OSRRefT22_22x_0" localSheetId="48">'300'!$T$241</definedName>
    <definedName name="OSRRefT22_22x_0" localSheetId="49">'300 &amp; 317'!$T$266</definedName>
    <definedName name="OSRRefT22_22x_0" localSheetId="50">'301'!$T$91</definedName>
    <definedName name="OSRRefT22_22x_0" localSheetId="75">'310 &amp; 491'!$T$119</definedName>
    <definedName name="OSRRefT22_22x_0" localSheetId="59">'331'!$T$144</definedName>
    <definedName name="OSRRefT22_22x_0" localSheetId="76">'491'!$T$110</definedName>
    <definedName name="OSRRefT22_22x_0" localSheetId="47">'Div 3'!$T$247:$T$248</definedName>
    <definedName name="OSRRefT22_22x_0" localSheetId="74">'Div 4'!$T$111</definedName>
    <definedName name="OSRRefT22_22x_0" localSheetId="2">Summary!$T$276:$T$283</definedName>
    <definedName name="OSRRefT22_23x_0" localSheetId="48">'300'!$T$243:$T$245</definedName>
    <definedName name="OSRRefT22_23x_0" localSheetId="49">'300 &amp; 317'!$T$268:$T$270</definedName>
    <definedName name="OSRRefT22_23x_0" localSheetId="75">'310 &amp; 491'!$T$121:$T$123</definedName>
    <definedName name="OSRRefT22_23x_0" localSheetId="76">'491'!$T$112:$T$114</definedName>
    <definedName name="OSRRefT22_23x_0" localSheetId="47">'Div 3'!$T$250</definedName>
    <definedName name="OSRRefT22_23x_0" localSheetId="74">'Div 4'!$T$113</definedName>
    <definedName name="OSRRefT22_23x_0" localSheetId="2">Summary!$T$285:$T$286</definedName>
    <definedName name="OSRRefT22_24x_0" localSheetId="48">'300'!$T$247</definedName>
    <definedName name="OSRRefT22_24x_0" localSheetId="49">'300 &amp; 317'!$T$272</definedName>
    <definedName name="OSRRefT22_24x_0" localSheetId="75">'310 &amp; 491'!$T$125</definedName>
    <definedName name="OSRRefT22_24x_0" localSheetId="76">'491'!$T$116</definedName>
    <definedName name="OSRRefT22_24x_0" localSheetId="47">'Div 3'!$T$252:$T$254</definedName>
    <definedName name="OSRRefT22_24x_0" localSheetId="74">'Div 4'!$T$115:$T$117</definedName>
    <definedName name="OSRRefT22_24x_0" localSheetId="2">Summary!$T$288</definedName>
    <definedName name="OSRRefT22_25x_0" localSheetId="47">'Div 3'!$T$256</definedName>
    <definedName name="OSRRefT22_25x_0" localSheetId="74">'Div 4'!$T$119</definedName>
    <definedName name="OSRRefT22_25x_0" localSheetId="2">Summary!$T$290:$T$292</definedName>
    <definedName name="OSRRefT22_26x_0" localSheetId="2">Summary!$T$294</definedName>
    <definedName name="OSRRefT22_2x_0" localSheetId="40">'200'!$T$24</definedName>
    <definedName name="OSRRefT22_2x_0" localSheetId="41">'201'!$T$34</definedName>
    <definedName name="OSRRefT22_2x_0" localSheetId="42">'202'!$T$35</definedName>
    <definedName name="OSRRefT22_2x_0" localSheetId="43">'203'!$T$37</definedName>
    <definedName name="OSRRefT22_2x_0" localSheetId="44">'204'!$T$38</definedName>
    <definedName name="OSRRefT22_2x_0" localSheetId="45">'205'!$T$31</definedName>
    <definedName name="OSRRefT22_2x_0" localSheetId="46">'206'!$T$36</definedName>
    <definedName name="OSRRefT22_2x_0" localSheetId="48">'300'!$T$181</definedName>
    <definedName name="OSRRefT22_2x_0" localSheetId="49">'300 &amp; 317'!$T$206</definedName>
    <definedName name="OSRRefT22_2x_0" localSheetId="50">'301'!$T$37</definedName>
    <definedName name="OSRRefT22_2x_0" localSheetId="51">'306'!$T$36</definedName>
    <definedName name="OSRRefT22_2x_0" localSheetId="54">'307'!$T$88</definedName>
    <definedName name="OSRRefT22_2x_0" localSheetId="56">'308'!$T$80</definedName>
    <definedName name="OSRRefT22_2x_0" localSheetId="68">'309'!$T$39</definedName>
    <definedName name="OSRRefT22_2x_0" localSheetId="67">'310'!$T$49</definedName>
    <definedName name="OSRRefT22_2x_0" localSheetId="75">'310 &amp; 491'!$T$59</definedName>
    <definedName name="OSRRefT22_2x_0" localSheetId="57">'311'!$T$79</definedName>
    <definedName name="OSRRefT22_2x_0" localSheetId="69">'313'!$T$45</definedName>
    <definedName name="OSRRefT22_2x_0" localSheetId="55">'314'!$T$70</definedName>
    <definedName name="OSRRefT22_2x_0" localSheetId="60">'315'!$T$71</definedName>
    <definedName name="OSRRefT22_2x_0" localSheetId="63">'316'!$T$47</definedName>
    <definedName name="OSRRefT22_2x_0" localSheetId="66">'317'!$T$73</definedName>
    <definedName name="OSRRefT22_2x_0" localSheetId="64">'320'!$T$42</definedName>
    <definedName name="OSRRefT22_2x_0" localSheetId="70">'321'!$T$38</definedName>
    <definedName name="OSRRefT22_2x_0" localSheetId="71">'322'!$T$39</definedName>
    <definedName name="OSRRefT22_2x_0" localSheetId="72">'325'!$T$40</definedName>
    <definedName name="OSRRefT22_2x_0" localSheetId="61">'326'!$T$75</definedName>
    <definedName name="OSRRefT22_2x_0" localSheetId="73">'327'!$T$26</definedName>
    <definedName name="OSRRefT22_2x_0" localSheetId="53">'330'!$T$96</definedName>
    <definedName name="OSRRefT22_2x_0" localSheetId="59">'331'!$T$90</definedName>
    <definedName name="OSRRefT22_2x_0" localSheetId="62">'332'!$T$56</definedName>
    <definedName name="OSRRefT22_2x_0" localSheetId="77">'405'!$T$38</definedName>
    <definedName name="OSRRefT22_2x_0" localSheetId="78">'406'!$T$39</definedName>
    <definedName name="OSRRefT22_2x_0" localSheetId="79">'411'!$T$37</definedName>
    <definedName name="OSRRefT22_2x_0" localSheetId="80">'412'!$T$40</definedName>
    <definedName name="OSRRefT22_2x_0" localSheetId="82">'413'!$T$39</definedName>
    <definedName name="OSRRefT22_2x_0" localSheetId="83">'414'!$T$40</definedName>
    <definedName name="OSRRefT22_2x_0" localSheetId="84">'415'!$T$40</definedName>
    <definedName name="OSRRefT22_2x_0" localSheetId="85">'418'!$T$40</definedName>
    <definedName name="OSRRefT22_2x_0" localSheetId="81">'420'!$T$37</definedName>
    <definedName name="OSRRefT22_2x_0" localSheetId="86">'423'!$T$32</definedName>
    <definedName name="OSRRefT22_2x_0" localSheetId="87">'424'!$T$34</definedName>
    <definedName name="OSRRefT22_2x_0" localSheetId="88">'425'!$T$44</definedName>
    <definedName name="OSRRefT22_2x_0" localSheetId="91">'430'!$T$31</definedName>
    <definedName name="OSRRefT22_2x_0" localSheetId="92">'433'!$T$43</definedName>
    <definedName name="OSRRefT22_2x_0" localSheetId="93">'435'!$T$33</definedName>
    <definedName name="OSRRefT22_2x_0" localSheetId="94">'444'!$T$42</definedName>
    <definedName name="OSRRefT22_2x_0" localSheetId="96">'450'!$T$42</definedName>
    <definedName name="OSRRefT22_2x_0" localSheetId="89">'455'!$T$31</definedName>
    <definedName name="OSRRefT22_2x_0" localSheetId="76">'491'!$T$51</definedName>
    <definedName name="OSRRefT22_2x_0" localSheetId="90">'492'!$T$46</definedName>
    <definedName name="OSRRefT22_2x_0" localSheetId="98">'501'!$T$37</definedName>
    <definedName name="OSRRefT22_2x_0" localSheetId="39">'Div 2'!$T$40</definedName>
    <definedName name="OSRRefT22_2x_0" localSheetId="47">'Div 3'!$T$186</definedName>
    <definedName name="OSRRefT22_2x_0" localSheetId="74">'Div 4'!$T$52</definedName>
    <definedName name="OSRRefT22_2x_0" localSheetId="97">'Div 5'!$T$37</definedName>
    <definedName name="OSRRefT22_2x_0" localSheetId="65">'Div 6'!$T$73</definedName>
    <definedName name="OSRRefT22_2x_0" localSheetId="2">Summary!$T$220</definedName>
    <definedName name="OSRRefT22_3x_0" localSheetId="40">'200'!$T$26</definedName>
    <definedName name="OSRRefT22_3x_0" localSheetId="41">'201'!$T$36</definedName>
    <definedName name="OSRRefT22_3x_0" localSheetId="42">'202'!$T$37</definedName>
    <definedName name="OSRRefT22_3x_0" localSheetId="43">'203'!$T$39</definedName>
    <definedName name="OSRRefT22_3x_0" localSheetId="44">'204'!$T$40:$T$41</definedName>
    <definedName name="OSRRefT22_3x_0" localSheetId="45">'205'!$T$33</definedName>
    <definedName name="OSRRefT22_3x_0" localSheetId="46">'206'!$T$38</definedName>
    <definedName name="OSRRefT22_3x_0" localSheetId="48">'300'!$T$183:$T$184</definedName>
    <definedName name="OSRRefT22_3x_0" localSheetId="49">'300 &amp; 317'!$T$208:$T$209</definedName>
    <definedName name="OSRRefT22_3x_0" localSheetId="50">'301'!$T$39:$T$40</definedName>
    <definedName name="OSRRefT22_3x_0" localSheetId="51">'306'!$T$38</definedName>
    <definedName name="OSRRefT22_3x_0" localSheetId="54">'307'!$T$90</definedName>
    <definedName name="OSRRefT22_3x_0" localSheetId="56">'308'!$T$82:$T$83</definedName>
    <definedName name="OSRRefT22_3x_0" localSheetId="68">'309'!$T$41</definedName>
    <definedName name="OSRRefT22_3x_0" localSheetId="67">'310'!$T$51</definedName>
    <definedName name="OSRRefT22_3x_0" localSheetId="75">'310 &amp; 491'!$T$61</definedName>
    <definedName name="OSRRefT22_3x_0" localSheetId="57">'311'!$T$81:$T$82</definedName>
    <definedName name="OSRRefT22_3x_0" localSheetId="69">'313'!$T$47</definedName>
    <definedName name="OSRRefT22_3x_0" localSheetId="55">'314'!$T$72:$T$73</definedName>
    <definedName name="OSRRefT22_3x_0" localSheetId="60">'315'!$T$73:$T$74</definedName>
    <definedName name="OSRRefT22_3x_0" localSheetId="63">'316'!$T$49</definedName>
    <definedName name="OSRRefT22_3x_0" localSheetId="66">'317'!$T$75</definedName>
    <definedName name="OSRRefT22_3x_0" localSheetId="64">'320'!$T$44</definedName>
    <definedName name="OSRRefT22_3x_0" localSheetId="70">'321'!$T$40</definedName>
    <definedName name="OSRRefT22_3x_0" localSheetId="71">'322'!$T$41</definedName>
    <definedName name="OSRRefT22_3x_0" localSheetId="72">'325'!$T$42</definedName>
    <definedName name="OSRRefT22_3x_0" localSheetId="61">'326'!$T$77</definedName>
    <definedName name="OSRRefT22_3x_0" localSheetId="53">'330'!$T$98</definedName>
    <definedName name="OSRRefT22_3x_0" localSheetId="59">'331'!$T$92</definedName>
    <definedName name="OSRRefT22_3x_0" localSheetId="62">'332'!$T$58</definedName>
    <definedName name="OSRRefT22_3x_0" localSheetId="77">'405'!$T$40</definedName>
    <definedName name="OSRRefT22_3x_0" localSheetId="78">'406'!$T$41</definedName>
    <definedName name="OSRRefT22_3x_0" localSheetId="79">'411'!$T$39:$T$41</definedName>
    <definedName name="OSRRefT22_3x_0" localSheetId="80">'412'!$T$42</definedName>
    <definedName name="OSRRefT22_3x_0" localSheetId="82">'413'!$T$41</definedName>
    <definedName name="OSRRefT22_3x_0" localSheetId="83">'414'!$T$42</definedName>
    <definedName name="OSRRefT22_3x_0" localSheetId="84">'415'!$T$42</definedName>
    <definedName name="OSRRefT22_3x_0" localSheetId="85">'418'!$T$42</definedName>
    <definedName name="OSRRefT22_3x_0" localSheetId="81">'420'!$T$39</definedName>
    <definedName name="OSRRefT22_3x_0" localSheetId="86">'423'!$T$34</definedName>
    <definedName name="OSRRefT22_3x_0" localSheetId="87">'424'!$T$36</definedName>
    <definedName name="OSRRefT22_3x_0" localSheetId="88">'425'!$T$46</definedName>
    <definedName name="OSRRefT22_3x_0" localSheetId="91">'430'!$T$33</definedName>
    <definedName name="OSRRefT22_3x_0" localSheetId="92">'433'!$T$45</definedName>
    <definedName name="OSRRefT22_3x_0" localSheetId="93">'435'!$T$35</definedName>
    <definedName name="OSRRefT22_3x_0" localSheetId="94">'444'!$T$44</definedName>
    <definedName name="OSRRefT22_3x_0" localSheetId="96">'450'!$T$44</definedName>
    <definedName name="OSRRefT22_3x_0" localSheetId="76">'491'!$T$53</definedName>
    <definedName name="OSRRefT22_3x_0" localSheetId="90">'492'!$T$48</definedName>
    <definedName name="OSRRefT22_3x_0" localSheetId="98">'501'!$T$39</definedName>
    <definedName name="OSRRefT22_3x_0" localSheetId="39">'Div 2'!$T$42</definedName>
    <definedName name="OSRRefT22_3x_0" localSheetId="47">'Div 3'!$T$188:$T$189</definedName>
    <definedName name="OSRRefT22_3x_0" localSheetId="74">'Div 4'!$T$54</definedName>
    <definedName name="OSRRefT22_3x_0" localSheetId="97">'Div 5'!$T$39</definedName>
    <definedName name="OSRRefT22_3x_0" localSheetId="65">'Div 6'!$T$75</definedName>
    <definedName name="OSRRefT22_3x_0" localSheetId="2">Summary!$T$222:$T$223</definedName>
    <definedName name="OSRRefT22_4x_0" localSheetId="40">'200'!$T$28:$T$29</definedName>
    <definedName name="OSRRefT22_4x_0" localSheetId="41">'201'!$T$38</definedName>
    <definedName name="OSRRefT22_4x_0" localSheetId="42">'202'!$T$39</definedName>
    <definedName name="OSRRefT22_4x_0" localSheetId="43">'203'!$T$41</definedName>
    <definedName name="OSRRefT22_4x_0" localSheetId="44">'204'!$T$43</definedName>
    <definedName name="OSRRefT22_4x_0" localSheetId="45">'205'!$T$35:$T$36</definedName>
    <definedName name="OSRRefT22_4x_0" localSheetId="46">'206'!$T$40</definedName>
    <definedName name="OSRRefT22_4x_0" localSheetId="48">'300'!$T$186</definedName>
    <definedName name="OSRRefT22_4x_0" localSheetId="49">'300 &amp; 317'!$T$211</definedName>
    <definedName name="OSRRefT22_4x_0" localSheetId="50">'301'!$T$42</definedName>
    <definedName name="OSRRefT22_4x_0" localSheetId="51">'306'!$T$40</definedName>
    <definedName name="OSRRefT22_4x_0" localSheetId="54">'307'!$T$92:$T$93</definedName>
    <definedName name="OSRRefT22_4x_0" localSheetId="56">'308'!$T$85</definedName>
    <definedName name="OSRRefT22_4x_0" localSheetId="68">'309'!$T$43</definedName>
    <definedName name="OSRRefT22_4x_0" localSheetId="67">'310'!$T$53</definedName>
    <definedName name="OSRRefT22_4x_0" localSheetId="75">'310 &amp; 491'!$T$63</definedName>
    <definedName name="OSRRefT22_4x_0" localSheetId="57">'311'!$T$84</definedName>
    <definedName name="OSRRefT22_4x_0" localSheetId="69">'313'!$T$49</definedName>
    <definedName name="OSRRefT22_4x_0" localSheetId="55">'314'!$T$75</definedName>
    <definedName name="OSRRefT22_4x_0" localSheetId="60">'315'!$T$76</definedName>
    <definedName name="OSRRefT22_4x_0" localSheetId="63">'316'!$T$51</definedName>
    <definedName name="OSRRefT22_4x_0" localSheetId="66">'317'!$T$77</definedName>
    <definedName name="OSRRefT22_4x_0" localSheetId="64">'320'!$T$46:$T$47</definedName>
    <definedName name="OSRRefT22_4x_0" localSheetId="70">'321'!$T$42</definedName>
    <definedName name="OSRRefT22_4x_0" localSheetId="71">'322'!$T$43</definedName>
    <definedName name="OSRRefT22_4x_0" localSheetId="72">'325'!$T$44</definedName>
    <definedName name="OSRRefT22_4x_0" localSheetId="61">'326'!$T$79</definedName>
    <definedName name="OSRRefT22_4x_0" localSheetId="53">'330'!$T$100:$T$101</definedName>
    <definedName name="OSRRefT22_4x_0" localSheetId="59">'331'!$T$94</definedName>
    <definedName name="OSRRefT22_4x_0" localSheetId="62">'332'!$T$60</definedName>
    <definedName name="OSRRefT22_4x_0" localSheetId="77">'405'!$T$42</definedName>
    <definedName name="OSRRefT22_4x_0" localSheetId="78">'406'!$T$43</definedName>
    <definedName name="OSRRefT22_4x_0" localSheetId="79">'411'!$T$43</definedName>
    <definedName name="OSRRefT22_4x_0" localSheetId="80">'412'!$T$44</definedName>
    <definedName name="OSRRefT22_4x_0" localSheetId="82">'413'!$T$43</definedName>
    <definedName name="OSRRefT22_4x_0" localSheetId="83">'414'!$T$44</definedName>
    <definedName name="OSRRefT22_4x_0" localSheetId="84">'415'!$T$44</definedName>
    <definedName name="OSRRefT22_4x_0" localSheetId="85">'418'!$T$44</definedName>
    <definedName name="OSRRefT22_4x_0" localSheetId="81">'420'!$T$41</definedName>
    <definedName name="OSRRefT22_4x_0" localSheetId="86">'423'!$T$36</definedName>
    <definedName name="OSRRefT22_4x_0" localSheetId="87">'424'!$T$38</definedName>
    <definedName name="OSRRefT22_4x_0" localSheetId="88">'425'!$T$48</definedName>
    <definedName name="OSRRefT22_4x_0" localSheetId="91">'430'!$T$35</definedName>
    <definedName name="OSRRefT22_4x_0" localSheetId="92">'433'!$T$47</definedName>
    <definedName name="OSRRefT22_4x_0" localSheetId="93">'435'!$T$37</definedName>
    <definedName name="OSRRefT22_4x_0" localSheetId="94">'444'!$T$46</definedName>
    <definedName name="OSRRefT22_4x_0" localSheetId="96">'450'!$T$46</definedName>
    <definedName name="OSRRefT22_4x_0" localSheetId="76">'491'!$T$55</definedName>
    <definedName name="OSRRefT22_4x_0" localSheetId="90">'492'!$T$50</definedName>
    <definedName name="OSRRefT22_4x_0" localSheetId="98">'501'!$T$41</definedName>
    <definedName name="OSRRefT22_4x_0" localSheetId="39">'Div 2'!$T$44</definedName>
    <definedName name="OSRRefT22_4x_0" localSheetId="47">'Div 3'!$T$191</definedName>
    <definedName name="OSRRefT22_4x_0" localSheetId="74">'Div 4'!$T$56</definedName>
    <definedName name="OSRRefT22_4x_0" localSheetId="97">'Div 5'!$T$41</definedName>
    <definedName name="OSRRefT22_4x_0" localSheetId="65">'Div 6'!$T$77</definedName>
    <definedName name="OSRRefT22_4x_0" localSheetId="2">Summary!$T$225</definedName>
    <definedName name="OSRRefT22_5x_0" localSheetId="41">'201'!$T$40</definedName>
    <definedName name="OSRRefT22_5x_0" localSheetId="42">'202'!$T$41</definedName>
    <definedName name="OSRRefT22_5x_0" localSheetId="43">'203'!$T$43</definedName>
    <definedName name="OSRRefT22_5x_0" localSheetId="44">'204'!$T$45</definedName>
    <definedName name="OSRRefT22_5x_0" localSheetId="45">'205'!$T$38</definedName>
    <definedName name="OSRRefT22_5x_0" localSheetId="46">'206'!$T$42:$T$43</definedName>
    <definedName name="OSRRefT22_5x_0" localSheetId="48">'300'!$T$188:$T$189</definedName>
    <definedName name="OSRRefT22_5x_0" localSheetId="49">'300 &amp; 317'!$T$213:$T$214</definedName>
    <definedName name="OSRRefT22_5x_0" localSheetId="50">'301'!$T$44:$T$45</definedName>
    <definedName name="OSRRefT22_5x_0" localSheetId="51">'306'!$T$42</definedName>
    <definedName name="OSRRefT22_5x_0" localSheetId="54">'307'!$T$95</definedName>
    <definedName name="OSRRefT22_5x_0" localSheetId="56">'308'!$T$87</definedName>
    <definedName name="OSRRefT22_5x_0" localSheetId="68">'309'!$T$45</definedName>
    <definedName name="OSRRefT22_5x_0" localSheetId="67">'310'!$T$55:$T$56</definedName>
    <definedName name="OSRRefT22_5x_0" localSheetId="75">'310 &amp; 491'!$T$65:$T$67</definedName>
    <definedName name="OSRRefT22_5x_0" localSheetId="57">'311'!$T$86</definedName>
    <definedName name="OSRRefT22_5x_0" localSheetId="69">'313'!$T$51</definedName>
    <definedName name="OSRRefT22_5x_0" localSheetId="55">'314'!$T$77</definedName>
    <definedName name="OSRRefT22_5x_0" localSheetId="60">'315'!$T$78:$T$79</definedName>
    <definedName name="OSRRefT22_5x_0" localSheetId="63">'316'!$T$53</definedName>
    <definedName name="OSRRefT22_5x_0" localSheetId="66">'317'!$T$79</definedName>
    <definedName name="OSRRefT22_5x_0" localSheetId="64">'320'!$T$49</definedName>
    <definedName name="OSRRefT22_5x_0" localSheetId="70">'321'!$T$44</definedName>
    <definedName name="OSRRefT22_5x_0" localSheetId="71">'322'!$T$45</definedName>
    <definedName name="OSRRefT22_5x_0" localSheetId="72">'325'!$T$46:$T$47</definedName>
    <definedName name="OSRRefT22_5x_0" localSheetId="61">'326'!$T$81</definedName>
    <definedName name="OSRRefT22_5x_0" localSheetId="53">'330'!$T$103</definedName>
    <definedName name="OSRRefT22_5x_0" localSheetId="59">'331'!$T$96:$T$97</definedName>
    <definedName name="OSRRefT22_5x_0" localSheetId="62">'332'!$T$62</definedName>
    <definedName name="OSRRefT22_5x_0" localSheetId="77">'405'!$T$44:$T$45</definedName>
    <definedName name="OSRRefT22_5x_0" localSheetId="78">'406'!$T$45</definedName>
    <definedName name="OSRRefT22_5x_0" localSheetId="79">'411'!$T$45</definedName>
    <definedName name="OSRRefT22_5x_0" localSheetId="80">'412'!$T$46</definedName>
    <definedName name="OSRRefT22_5x_0" localSheetId="82">'413'!$T$45</definedName>
    <definedName name="OSRRefT22_5x_0" localSheetId="83">'414'!$T$46</definedName>
    <definedName name="OSRRefT22_5x_0" localSheetId="84">'415'!$T$46:$T$47</definedName>
    <definedName name="OSRRefT22_5x_0" localSheetId="85">'418'!$T$46:$T$47</definedName>
    <definedName name="OSRRefT22_5x_0" localSheetId="81">'420'!$T$43:$T$44</definedName>
    <definedName name="OSRRefT22_5x_0" localSheetId="86">'423'!$T$38</definedName>
    <definedName name="OSRRefT22_5x_0" localSheetId="87">'424'!$T$40</definedName>
    <definedName name="OSRRefT22_5x_0" localSheetId="88">'425'!$T$50</definedName>
    <definedName name="OSRRefT22_5x_0" localSheetId="91">'430'!$T$37</definedName>
    <definedName name="OSRRefT22_5x_0" localSheetId="92">'433'!$T$49</definedName>
    <definedName name="OSRRefT22_5x_0" localSheetId="93">'435'!$T$39</definedName>
    <definedName name="OSRRefT22_5x_0" localSheetId="94">'444'!$T$48</definedName>
    <definedName name="OSRRefT22_5x_0" localSheetId="96">'450'!$T$48</definedName>
    <definedName name="OSRRefT22_5x_0" localSheetId="76">'491'!$T$57:$T$59</definedName>
    <definedName name="OSRRefT22_5x_0" localSheetId="90">'492'!$T$52</definedName>
    <definedName name="OSRRefT22_5x_0" localSheetId="98">'501'!$T$43:$T$44</definedName>
    <definedName name="OSRRefT22_5x_0" localSheetId="39">'Div 2'!$T$46:$T$47</definedName>
    <definedName name="OSRRefT22_5x_0" localSheetId="47">'Div 3'!$T$193:$T$194</definedName>
    <definedName name="OSRRefT22_5x_0" localSheetId="74">'Div 4'!$T$58:$T$60</definedName>
    <definedName name="OSRRefT22_5x_0" localSheetId="97">'Div 5'!$T$43:$T$44</definedName>
    <definedName name="OSRRefT22_5x_0" localSheetId="65">'Div 6'!$T$79</definedName>
    <definedName name="OSRRefT22_5x_0" localSheetId="2">Summary!$T$227:$T$229</definedName>
    <definedName name="OSRRefT22_6x_0" localSheetId="41">'201'!$T$42</definedName>
    <definedName name="OSRRefT22_6x_0" localSheetId="42">'202'!$T$43</definedName>
    <definedName name="OSRRefT22_6x_0" localSheetId="43">'203'!$T$45</definedName>
    <definedName name="OSRRefT22_6x_0" localSheetId="44">'204'!$T$47:$T$50</definedName>
    <definedName name="OSRRefT22_6x_0" localSheetId="45">'205'!$T$40:$T$41</definedName>
    <definedName name="OSRRefT22_6x_0" localSheetId="46">'206'!$T$45</definedName>
    <definedName name="OSRRefT22_6x_0" localSheetId="48">'300'!$T$191:$T$192</definedName>
    <definedName name="OSRRefT22_6x_0" localSheetId="49">'300 &amp; 317'!$T$216:$T$217</definedName>
    <definedName name="OSRRefT22_6x_0" localSheetId="50">'301'!$T$47:$T$48</definedName>
    <definedName name="OSRRefT22_6x_0" localSheetId="51">'306'!$T$44</definedName>
    <definedName name="OSRRefT22_6x_0" localSheetId="54">'307'!$T$97</definedName>
    <definedName name="OSRRefT22_6x_0" localSheetId="56">'308'!$T$89:$T$90</definedName>
    <definedName name="OSRRefT22_6x_0" localSheetId="68">'309'!$T$47</definedName>
    <definedName name="OSRRefT22_6x_0" localSheetId="67">'310'!$T$58</definedName>
    <definedName name="OSRRefT22_6x_0" localSheetId="75">'310 &amp; 491'!$T$69</definedName>
    <definedName name="OSRRefT22_6x_0" localSheetId="57">'311'!$T$88:$T$89</definedName>
    <definedName name="OSRRefT22_6x_0" localSheetId="69">'313'!$T$53</definedName>
    <definedName name="OSRRefT22_6x_0" localSheetId="55">'314'!$T$79</definedName>
    <definedName name="OSRRefT22_6x_0" localSheetId="60">'315'!$T$81</definedName>
    <definedName name="OSRRefT22_6x_0" localSheetId="63">'316'!$T$55</definedName>
    <definedName name="OSRRefT22_6x_0" localSheetId="66">'317'!$T$81</definedName>
    <definedName name="OSRRefT22_6x_0" localSheetId="64">'320'!$T$51</definedName>
    <definedName name="OSRRefT22_6x_0" localSheetId="70">'321'!$T$46</definedName>
    <definedName name="OSRRefT22_6x_0" localSheetId="71">'322'!$T$47</definedName>
    <definedName name="OSRRefT22_6x_0" localSheetId="72">'325'!$T$49</definedName>
    <definedName name="OSRRefT22_6x_0" localSheetId="61">'326'!$T$83</definedName>
    <definedName name="OSRRefT22_6x_0" localSheetId="53">'330'!$T$105</definedName>
    <definedName name="OSRRefT22_6x_0" localSheetId="59">'331'!$T$99</definedName>
    <definedName name="OSRRefT22_6x_0" localSheetId="62">'332'!$T$64:$T$65</definedName>
    <definedName name="OSRRefT22_6x_0" localSheetId="77">'405'!$T$47</definedName>
    <definedName name="OSRRefT22_6x_0" localSheetId="78">'406'!$T$47</definedName>
    <definedName name="OSRRefT22_6x_0" localSheetId="79">'411'!$T$47</definedName>
    <definedName name="OSRRefT22_6x_0" localSheetId="80">'412'!$T$48</definedName>
    <definedName name="OSRRefT22_6x_0" localSheetId="82">'413'!$T$47</definedName>
    <definedName name="OSRRefT22_6x_0" localSheetId="83">'414'!$T$48</definedName>
    <definedName name="OSRRefT22_6x_0" localSheetId="84">'415'!$T$49</definedName>
    <definedName name="OSRRefT22_6x_0" localSheetId="85">'418'!$T$49</definedName>
    <definedName name="OSRRefT22_6x_0" localSheetId="81">'420'!$T$46</definedName>
    <definedName name="OSRRefT22_6x_0" localSheetId="87">'424'!$T$42</definedName>
    <definedName name="OSRRefT22_6x_0" localSheetId="88">'425'!$T$52</definedName>
    <definedName name="OSRRefT22_6x_0" localSheetId="91">'430'!$T$39:$T$40</definedName>
    <definedName name="OSRRefT22_6x_0" localSheetId="92">'433'!$T$51</definedName>
    <definedName name="OSRRefT22_6x_0" localSheetId="93">'435'!$T$41</definedName>
    <definedName name="OSRRefT22_6x_0" localSheetId="94">'444'!$T$50</definedName>
    <definedName name="OSRRefT22_6x_0" localSheetId="96">'450'!$T$50</definedName>
    <definedName name="OSRRefT22_6x_0" localSheetId="76">'491'!$T$61</definedName>
    <definedName name="OSRRefT22_6x_0" localSheetId="90">'492'!$T$54</definedName>
    <definedName name="OSRRefT22_6x_0" localSheetId="98">'501'!$T$46</definedName>
    <definedName name="OSRRefT22_6x_0" localSheetId="39">'Div 2'!$T$49</definedName>
    <definedName name="OSRRefT22_6x_0" localSheetId="47">'Div 3'!$T$196:$T$197</definedName>
    <definedName name="OSRRefT22_6x_0" localSheetId="74">'Div 4'!$T$62</definedName>
    <definedName name="OSRRefT22_6x_0" localSheetId="97">'Div 5'!$T$46</definedName>
    <definedName name="OSRRefT22_6x_0" localSheetId="65">'Div 6'!$T$81</definedName>
    <definedName name="OSRRefT22_6x_0" localSheetId="2">Summary!$T$231:$T$232</definedName>
    <definedName name="OSRRefT22_7x_0" localSheetId="41">'201'!$T$44</definedName>
    <definedName name="OSRRefT22_7x_0" localSheetId="42">'202'!$T$45</definedName>
    <definedName name="OSRRefT22_7x_0" localSheetId="43">'203'!$T$47</definedName>
    <definedName name="OSRRefT22_7x_0" localSheetId="44">'204'!$T$52:$T$53</definedName>
    <definedName name="OSRRefT22_7x_0" localSheetId="45">'205'!$T$43</definedName>
    <definedName name="OSRRefT22_7x_0" localSheetId="46">'206'!$T$47</definedName>
    <definedName name="OSRRefT22_7x_0" localSheetId="48">'300'!$T$194</definedName>
    <definedName name="OSRRefT22_7x_0" localSheetId="49">'300 &amp; 317'!$T$219</definedName>
    <definedName name="OSRRefT22_7x_0" localSheetId="50">'301'!$T$50</definedName>
    <definedName name="OSRRefT22_7x_0" localSheetId="51">'306'!$T$46:$T$47</definedName>
    <definedName name="OSRRefT22_7x_0" localSheetId="54">'307'!$T$99</definedName>
    <definedName name="OSRRefT22_7x_0" localSheetId="56">'308'!$T$92</definedName>
    <definedName name="OSRRefT22_7x_0" localSheetId="68">'309'!$T$49</definedName>
    <definedName name="OSRRefT22_7x_0" localSheetId="67">'310'!$T$60</definedName>
    <definedName name="OSRRefT22_7x_0" localSheetId="75">'310 &amp; 491'!$T$71</definedName>
    <definedName name="OSRRefT22_7x_0" localSheetId="57">'311'!$T$91</definedName>
    <definedName name="OSRRefT22_7x_0" localSheetId="69">'313'!$T$55</definedName>
    <definedName name="OSRRefT22_7x_0" localSheetId="55">'314'!$T$81:$T$82</definedName>
    <definedName name="OSRRefT22_7x_0" localSheetId="60">'315'!$T$83</definedName>
    <definedName name="OSRRefT22_7x_0" localSheetId="63">'316'!$T$57</definedName>
    <definedName name="OSRRefT22_7x_0" localSheetId="66">'317'!$T$83</definedName>
    <definedName name="OSRRefT22_7x_0" localSheetId="64">'320'!$T$53:$T$54</definedName>
    <definedName name="OSRRefT22_7x_0" localSheetId="70">'321'!$T$48:$T$50</definedName>
    <definedName name="OSRRefT22_7x_0" localSheetId="71">'322'!$T$49</definedName>
    <definedName name="OSRRefT22_7x_0" localSheetId="72">'325'!$T$51</definedName>
    <definedName name="OSRRefT22_7x_0" localSheetId="61">'326'!$T$85</definedName>
    <definedName name="OSRRefT22_7x_0" localSheetId="53">'330'!$T$107</definedName>
    <definedName name="OSRRefT22_7x_0" localSheetId="59">'331'!$T$101</definedName>
    <definedName name="OSRRefT22_7x_0" localSheetId="62">'332'!$T$67</definedName>
    <definedName name="OSRRefT22_7x_0" localSheetId="77">'405'!$T$49</definedName>
    <definedName name="OSRRefT22_7x_0" localSheetId="78">'406'!$T$49</definedName>
    <definedName name="OSRRefT22_7x_0" localSheetId="79">'411'!$T$49</definedName>
    <definedName name="OSRRefT22_7x_0" localSheetId="80">'412'!$T$50</definedName>
    <definedName name="OSRRefT22_7x_0" localSheetId="82">'413'!$T$49:$T$51</definedName>
    <definedName name="OSRRefT22_7x_0" localSheetId="83">'414'!$T$50</definedName>
    <definedName name="OSRRefT22_7x_0" localSheetId="84">'415'!$T$51</definedName>
    <definedName name="OSRRefT22_7x_0" localSheetId="85">'418'!$T$51</definedName>
    <definedName name="OSRRefT22_7x_0" localSheetId="87">'424'!$T$44:$T$45</definedName>
    <definedName name="OSRRefT22_7x_0" localSheetId="88">'425'!$T$54</definedName>
    <definedName name="OSRRefT22_7x_0" localSheetId="91">'430'!$T$42</definedName>
    <definedName name="OSRRefT22_7x_0" localSheetId="92">'433'!$T$53</definedName>
    <definedName name="OSRRefT22_7x_0" localSheetId="93">'435'!$T$43</definedName>
    <definedName name="OSRRefT22_7x_0" localSheetId="94">'444'!$T$52</definedName>
    <definedName name="OSRRefT22_7x_0" localSheetId="96">'450'!$T$52</definedName>
    <definedName name="OSRRefT22_7x_0" localSheetId="76">'491'!$T$63</definedName>
    <definedName name="OSRRefT22_7x_0" localSheetId="90">'492'!$T$56</definedName>
    <definedName name="OSRRefT22_7x_0" localSheetId="98">'501'!$T$48</definedName>
    <definedName name="OSRRefT22_7x_0" localSheetId="39">'Div 2'!$T$51</definedName>
    <definedName name="OSRRefT22_7x_0" localSheetId="47">'Div 3'!$T$199</definedName>
    <definedName name="OSRRefT22_7x_0" localSheetId="74">'Div 4'!$T$64</definedName>
    <definedName name="OSRRefT22_7x_0" localSheetId="97">'Div 5'!$T$48</definedName>
    <definedName name="OSRRefT22_7x_0" localSheetId="65">'Div 6'!$T$83</definedName>
    <definedName name="OSRRefT22_7x_0" localSheetId="2">Summary!$T$234</definedName>
    <definedName name="OSRRefT22_8x_0" localSheetId="41">'201'!$T$46</definedName>
    <definedName name="OSRRefT22_8x_0" localSheetId="42">'202'!$T$47</definedName>
    <definedName name="OSRRefT22_8x_0" localSheetId="43">'203'!$T$49</definedName>
    <definedName name="OSRRefT22_8x_0" localSheetId="44">'204'!$T$55:$T$56</definedName>
    <definedName name="OSRRefT22_8x_0" localSheetId="45">'205'!$T$45</definedName>
    <definedName name="OSRRefT22_8x_0" localSheetId="48">'300'!$T$196</definedName>
    <definedName name="OSRRefT22_8x_0" localSheetId="49">'300 &amp; 317'!$T$221</definedName>
    <definedName name="OSRRefT22_8x_0" localSheetId="50">'301'!$T$52</definedName>
    <definedName name="OSRRefT22_8x_0" localSheetId="51">'306'!$T$49:$T$53</definedName>
    <definedName name="OSRRefT22_8x_0" localSheetId="54">'307'!$T$101</definedName>
    <definedName name="OSRRefT22_8x_0" localSheetId="56">'308'!$T$94</definedName>
    <definedName name="OSRRefT22_8x_0" localSheetId="68">'309'!$T$51</definedName>
    <definedName name="OSRRefT22_8x_0" localSheetId="67">'310'!$T$62</definedName>
    <definedName name="OSRRefT22_8x_0" localSheetId="75">'310 &amp; 491'!$T$73</definedName>
    <definedName name="OSRRefT22_8x_0" localSheetId="57">'311'!$T$93</definedName>
    <definedName name="OSRRefT22_8x_0" localSheetId="69">'313'!$T$57</definedName>
    <definedName name="OSRRefT22_8x_0" localSheetId="55">'314'!$T$84</definedName>
    <definedName name="OSRRefT22_8x_0" localSheetId="60">'315'!$T$85:$T$86</definedName>
    <definedName name="OSRRefT22_8x_0" localSheetId="63">'316'!$T$59:$T$60</definedName>
    <definedName name="OSRRefT22_8x_0" localSheetId="66">'317'!$T$85</definedName>
    <definedName name="OSRRefT22_8x_0" localSheetId="64">'320'!$T$56</definedName>
    <definedName name="OSRRefT22_8x_0" localSheetId="70">'321'!$T$52</definedName>
    <definedName name="OSRRefT22_8x_0" localSheetId="71">'322'!$T$51</definedName>
    <definedName name="OSRRefT22_8x_0" localSheetId="72">'325'!$T$53</definedName>
    <definedName name="OSRRefT22_8x_0" localSheetId="61">'326'!$T$87</definedName>
    <definedName name="OSRRefT22_8x_0" localSheetId="53">'330'!$T$109</definedName>
    <definedName name="OSRRefT22_8x_0" localSheetId="59">'331'!$T$103:$T$104</definedName>
    <definedName name="OSRRefT22_8x_0" localSheetId="62">'332'!$T$69</definedName>
    <definedName name="OSRRefT22_8x_0" localSheetId="77">'405'!$T$51</definedName>
    <definedName name="OSRRefT22_8x_0" localSheetId="78">'406'!$T$51</definedName>
    <definedName name="OSRRefT22_8x_0" localSheetId="79">'411'!$T$51</definedName>
    <definedName name="OSRRefT22_8x_0" localSheetId="80">'412'!$T$52</definedName>
    <definedName name="OSRRefT22_8x_0" localSheetId="82">'413'!$T$53:$T$54</definedName>
    <definedName name="OSRRefT22_8x_0" localSheetId="83">'414'!$T$52</definedName>
    <definedName name="OSRRefT22_8x_0" localSheetId="84">'415'!$T$53</definedName>
    <definedName name="OSRRefT22_8x_0" localSheetId="85">'418'!$T$53</definedName>
    <definedName name="OSRRefT22_8x_0" localSheetId="87">'424'!$T$47</definedName>
    <definedName name="OSRRefT22_8x_0" localSheetId="88">'425'!$T$56</definedName>
    <definedName name="OSRRefT22_8x_0" localSheetId="91">'430'!$T$44</definedName>
    <definedName name="OSRRefT22_8x_0" localSheetId="92">'433'!$T$55</definedName>
    <definedName name="OSRRefT22_8x_0" localSheetId="93">'435'!$T$45:$T$48</definedName>
    <definedName name="OSRRefT22_8x_0" localSheetId="94">'444'!$T$54</definedName>
    <definedName name="OSRRefT22_8x_0" localSheetId="96">'450'!$T$54</definedName>
    <definedName name="OSRRefT22_8x_0" localSheetId="76">'491'!$T$65</definedName>
    <definedName name="OSRRefT22_8x_0" localSheetId="90">'492'!$T$58</definedName>
    <definedName name="OSRRefT22_8x_0" localSheetId="98">'501'!$T$50</definedName>
    <definedName name="OSRRefT22_8x_0" localSheetId="39">'Div 2'!$T$53</definedName>
    <definedName name="OSRRefT22_8x_0" localSheetId="47">'Div 3'!$T$201</definedName>
    <definedName name="OSRRefT22_8x_0" localSheetId="74">'Div 4'!$T$66</definedName>
    <definedName name="OSRRefT22_8x_0" localSheetId="97">'Div 5'!$T$50</definedName>
    <definedName name="OSRRefT22_8x_0" localSheetId="65">'Div 6'!$T$85</definedName>
    <definedName name="OSRRefT22_8x_0" localSheetId="2">Summary!$T$236</definedName>
    <definedName name="OSRRefT22_9x_0" localSheetId="41">'201'!$T$48</definedName>
    <definedName name="OSRRefT22_9x_0" localSheetId="42">'202'!$T$49</definedName>
    <definedName name="OSRRefT22_9x_0" localSheetId="43">'203'!$T$51:$T$53</definedName>
    <definedName name="OSRRefT22_9x_0" localSheetId="44">'204'!$T$58</definedName>
    <definedName name="OSRRefT22_9x_0" localSheetId="48">'300'!$T$198</definedName>
    <definedName name="OSRRefT22_9x_0" localSheetId="49">'300 &amp; 317'!$T$223</definedName>
    <definedName name="OSRRefT22_9x_0" localSheetId="50">'301'!$T$54</definedName>
    <definedName name="OSRRefT22_9x_0" localSheetId="51">'306'!$T$55</definedName>
    <definedName name="OSRRefT22_9x_0" localSheetId="54">'307'!$T$103:$T$104</definedName>
    <definedName name="OSRRefT22_9x_0" localSheetId="56">'308'!$T$96:$T$97</definedName>
    <definedName name="OSRRefT22_9x_0" localSheetId="68">'309'!$T$53:$T$54</definedName>
    <definedName name="OSRRefT22_9x_0" localSheetId="67">'310'!$T$64:$T$65</definedName>
    <definedName name="OSRRefT22_9x_0" localSheetId="75">'310 &amp; 491'!$T$75</definedName>
    <definedName name="OSRRefT22_9x_0" localSheetId="57">'311'!$T$95:$T$96</definedName>
    <definedName name="OSRRefT22_9x_0" localSheetId="69">'313'!$T$59:$T$61</definedName>
    <definedName name="OSRRefT22_9x_0" localSheetId="55">'314'!$T$86</definedName>
    <definedName name="OSRRefT22_9x_0" localSheetId="60">'315'!$T$88:$T$89</definedName>
    <definedName name="OSRRefT22_9x_0" localSheetId="63">'316'!$T$62</definedName>
    <definedName name="OSRRefT22_9x_0" localSheetId="66">'317'!$T$87</definedName>
    <definedName name="OSRRefT22_9x_0" localSheetId="70">'321'!$T$54:$T$56</definedName>
    <definedName name="OSRRefT22_9x_0" localSheetId="71">'322'!$T$53</definedName>
    <definedName name="OSRRefT22_9x_0" localSheetId="72">'325'!$T$55</definedName>
    <definedName name="OSRRefT22_9x_0" localSheetId="61">'326'!$T$89</definedName>
    <definedName name="OSRRefT22_9x_0" localSheetId="53">'330'!$T$111</definedName>
    <definedName name="OSRRefT22_9x_0" localSheetId="59">'331'!$T$106</definedName>
    <definedName name="OSRRefT22_9x_0" localSheetId="62">'332'!$T$71:$T$72</definedName>
    <definedName name="OSRRefT22_9x_0" localSheetId="77">'405'!$T$53</definedName>
    <definedName name="OSRRefT22_9x_0" localSheetId="78">'406'!$T$53:$T$55</definedName>
    <definedName name="OSRRefT22_9x_0" localSheetId="79">'411'!$T$53</definedName>
    <definedName name="OSRRefT22_9x_0" localSheetId="80">'412'!$T$54:$T$55</definedName>
    <definedName name="OSRRefT22_9x_0" localSheetId="82">'413'!$T$56:$T$61</definedName>
    <definedName name="OSRRefT22_9x_0" localSheetId="83">'414'!$T$54:$T$55</definedName>
    <definedName name="OSRRefT22_9x_0" localSheetId="84">'415'!$T$55</definedName>
    <definedName name="OSRRefT22_9x_0" localSheetId="85">'418'!$T$55</definedName>
    <definedName name="OSRRefT22_9x_0" localSheetId="87">'424'!$T$49</definedName>
    <definedName name="OSRRefT22_9x_0" localSheetId="88">'425'!$T$58:$T$60</definedName>
    <definedName name="OSRRefT22_9x_0" localSheetId="91">'430'!$T$46</definedName>
    <definedName name="OSRRefT22_9x_0" localSheetId="92">'433'!$T$57</definedName>
    <definedName name="OSRRefT22_9x_0" localSheetId="93">'435'!$T$50</definedName>
    <definedName name="OSRRefT22_9x_0" localSheetId="94">'444'!$T$56</definedName>
    <definedName name="OSRRefT22_9x_0" localSheetId="96">'450'!$T$56</definedName>
    <definedName name="OSRRefT22_9x_0" localSheetId="76">'491'!$T$67</definedName>
    <definedName name="OSRRefT22_9x_0" localSheetId="90">'492'!$T$60</definedName>
    <definedName name="OSRRefT22_9x_0" localSheetId="98">'501'!$T$52</definedName>
    <definedName name="OSRRefT22_9x_0" localSheetId="39">'Div 2'!$T$55</definedName>
    <definedName name="OSRRefT22_9x_0" localSheetId="47">'Div 3'!$T$203</definedName>
    <definedName name="OSRRefT22_9x_0" localSheetId="74">'Div 4'!$T$68</definedName>
    <definedName name="OSRRefT22_9x_0" localSheetId="97">'Div 5'!$T$52</definedName>
    <definedName name="OSRRefT22_9x_0" localSheetId="65">'Div 6'!$T$87</definedName>
    <definedName name="OSRRefT22_9x_0" localSheetId="2">Summary!$T$238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'201'!$T$20:$T$28,'201'!$T$30:$T$32,'201'!$T$34,'201'!$T$36,'201'!$T$38,'201'!$T$40,'201'!$T$42,'201'!$T$44,'201'!$T$46,'201'!$T$48,'201'!$T$50:$T$52,'201'!$T$54:$T$56,'201'!$T$58,'201'!$T$60:$T$62,'201'!$T$64,'201'!$T$66,'201'!$T$68:$T$69</definedName>
    <definedName name="OSRRefT22x_0" localSheetId="42">'202'!$T$20:$T$27,'202'!$T$29:$T$33,'202'!$T$35,'202'!$T$37,'202'!$T$39,'202'!$T$41,'202'!$T$43,'202'!$T$45,'202'!$T$47,'202'!$T$49,'202'!$T$51:$T$53,'202'!$T$55,'202'!$T$57,'202'!$T$59:$T$61,'202'!$T$63,'202'!$T$65,'202'!$T$67</definedName>
    <definedName name="OSRRefT22x_0" localSheetId="43">'203'!$T$20:$T$29,'203'!$T$31:$T$35,'203'!$T$37,'203'!$T$39,'203'!$T$41,'203'!$T$43,'203'!$T$45,'203'!$T$47,'203'!$T$49,'203'!$T$51:$T$53,'203'!$T$55:$T$56,'203'!$T$58:$T$59,'203'!$T$61:$T$63,'203'!$T$65,'203'!$T$67,'203'!$T$69</definedName>
    <definedName name="OSRRefT22x_0" localSheetId="44">'204'!$T$20:$T$29,'204'!$T$31:$T$36,'204'!$T$38,'204'!$T$40:$T$41,'204'!$T$43,'204'!$T$45,'204'!$T$47:$T$50,'204'!$T$52:$T$53,'204'!$T$55:$T$56,'204'!$T$58,'204'!$T$60:$T$61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48">'300'!$T$163:$T$171,'300'!$T$173:$T$179,'300'!$T$181,'300'!$T$183:$T$184,'300'!$T$186,'300'!$T$188:$T$189,'300'!$T$191:$T$192,'300'!$T$194,'300'!$T$196,'300'!$T$198,'300'!$T$200:$T$201,'300'!$T$203,'300'!$T$205,'300'!$T$207,'300'!$T$209,'300'!$T$211,'300'!$T$213:$T$216,'300'!$T$218:$T$220,'300'!$T$222:$T$225,'300'!$T$227:$T$228,'300'!$T$230:$T$236,'300'!$T$238:$T$239,'300'!$T$241,'300'!$T$243:$T$245,'300'!$T$247</definedName>
    <definedName name="OSRRefT22x_0" localSheetId="49">'300 &amp; 317'!$T$188:$T$196,'300 &amp; 317'!$T$198:$T$204,'300 &amp; 317'!$T$206,'300 &amp; 317'!$T$208:$T$209,'300 &amp; 317'!$T$211,'300 &amp; 317'!$T$213:$T$214,'300 &amp; 317'!$T$216:$T$217,'300 &amp; 317'!$T$219,'300 &amp; 317'!$T$221,'300 &amp; 317'!$T$223,'300 &amp; 317'!$T$225:$T$226,'300 &amp; 317'!$T$228,'300 &amp; 317'!$T$230,'300 &amp; 317'!$T$232,'300 &amp; 317'!$T$234,'300 &amp; 317'!$T$236,'300 &amp; 317'!$T$238:$T$241,'300 &amp; 317'!$T$243:$T$245,'300 &amp; 317'!$T$247:$T$250,'300 &amp; 317'!$T$252:$T$253,'300 &amp; 317'!$T$255:$T$261,'300 &amp; 317'!$T$263:$T$264,'300 &amp; 317'!$T$266,'300 &amp; 317'!$T$268:$T$270,'300 &amp; 317'!$T$272</definedName>
    <definedName name="OSRRefT22x_0" localSheetId="50">'301'!$T$20:$T$27,'301'!$T$29:$T$35,'301'!$T$37,'301'!$T$39:$T$40,'301'!$T$42,'301'!$T$44:$T$45,'301'!$T$47:$T$48,'301'!$T$50,'301'!$T$52,'301'!$T$54,'301'!$T$56,'301'!$T$58,'301'!$T$60,'301'!$T$62,'301'!$T$64:$T$67,'301'!$T$69,'301'!$T$71:$T$73,'301'!$T$75,'301'!$T$77:$T$81,'301'!$T$83,'301'!$T$85,'301'!$T$87:$T$89,'301'!$T$91</definedName>
    <definedName name="OSRRefT22x_0" localSheetId="51">'306'!$T$20:$T$28,'306'!$T$30:$T$34,'306'!$T$36,'306'!$T$38,'306'!$T$40,'306'!$T$42,'306'!$T$44,'306'!$T$46:$T$47,'306'!$T$49:$T$53,'306'!$T$55,'306'!$T$57</definedName>
    <definedName name="OSRRefT22x_0" localSheetId="54">'307'!$T$74:$T$81,'307'!$T$83:$T$86,'307'!$T$88,'307'!$T$90,'307'!$T$92:$T$93,'307'!$T$95,'307'!$T$97,'307'!$T$99,'307'!$T$101,'307'!$T$103:$T$104,'307'!$T$106:$T$107,'307'!$T$109:$T$111,'307'!$T$113,'307'!$T$115</definedName>
    <definedName name="OSRRefT22x_0" localSheetId="56">'308'!$T$64:$T$72,'308'!$T$74:$T$78,'308'!$T$80,'308'!$T$82:$T$83,'308'!$T$85,'308'!$T$87,'308'!$T$89:$T$90,'308'!$T$92,'308'!$T$94,'308'!$T$96:$T$97,'308'!$T$99:$T$100,'308'!$T$102:$T$105,'308'!$T$107:$T$108,'308'!$T$110,'308'!$T$112</definedName>
    <definedName name="OSRRefT22x_0" localSheetId="68">'309'!$T$24:$T$31,'309'!$T$33:$T$37,'309'!$T$39,'309'!$T$41,'309'!$T$43,'309'!$T$45,'309'!$T$47,'309'!$T$49,'309'!$T$51,'309'!$T$53:$T$54,'309'!$T$56:$T$58,'309'!$T$60,'309'!$T$62:$T$67,'309'!$T$69</definedName>
    <definedName name="OSRRefT22x_0" localSheetId="67">'310'!$T$33:$T$40,'310'!$T$42:$T$47,'310'!$T$49,'310'!$T$51,'310'!$T$53,'310'!$T$55:$T$56,'310'!$T$58,'310'!$T$60,'310'!$T$62,'310'!$T$64:$T$65,'310'!$T$67,'310'!$T$69,'310'!$T$71,'310'!$T$73,'310'!$T$75:$T$77,'310'!$T$79,'310'!$T$81:$T$84,'310'!$T$86:$T$87,'310'!$T$89:$T$96,'310'!$T$98,'310'!$T$100,'310'!$T$102</definedName>
    <definedName name="OSRRefT22x_0" localSheetId="75">'310 &amp; 491'!$T$41:$T$49,'310 &amp; 491'!$T$51:$T$57,'310 &amp; 491'!$T$59,'310 &amp; 491'!$T$61,'310 &amp; 491'!$T$63,'310 &amp; 491'!$T$65:$T$67,'310 &amp; 491'!$T$69,'310 &amp; 491'!$T$71,'310 &amp; 491'!$T$73,'310 &amp; 491'!$T$75,'310 &amp; 491'!$T$77:$T$78,'310 &amp; 491'!$T$80:$T$81,'310 &amp; 491'!$T$83,'310 &amp; 491'!$T$85,'310 &amp; 491'!$T$87,'310 &amp; 491'!$T$89,'310 &amp; 491'!$T$91:$T$94,'310 &amp; 491'!$T$96:$T$97,'310 &amp; 491'!$T$99:$T$103,'310 &amp; 491'!$T$105:$T$106,'310 &amp; 491'!$T$108:$T$115,'310 &amp; 491'!$T$117,'310 &amp; 491'!$T$119,'310 &amp; 491'!$T$121:$T$123,'310 &amp; 491'!$T$125</definedName>
    <definedName name="OSRRefT22x_0" localSheetId="57">'311'!$T$63:$T$71,'311'!$T$73:$T$77,'311'!$T$79,'311'!$T$81:$T$82,'311'!$T$84,'311'!$T$86,'311'!$T$88:$T$89,'311'!$T$91,'311'!$T$93,'311'!$T$95:$T$96,'311'!$T$98:$T$99,'311'!$T$101:$T$104,'311'!$T$106:$T$107,'311'!$T$109,'311'!$T$111</definedName>
    <definedName name="OSRRefT22x_0" localSheetId="69">'313'!$T$30:$T$37,'313'!$T$39:$T$43,'313'!$T$45,'313'!$T$47,'313'!$T$49,'313'!$T$51,'313'!$T$53,'313'!$T$55,'313'!$T$57,'313'!$T$59:$T$61,'313'!$T$63:$T$64,'313'!$T$66:$T$67,'313'!$T$69:$T$74,'313'!$T$76,'313'!$T$78</definedName>
    <definedName name="OSRRefT22x_0" localSheetId="55">'314'!$T$56:$T$63,'314'!$T$65:$T$68,'314'!$T$70,'314'!$T$72:$T$73,'314'!$T$75,'314'!$T$77,'314'!$T$79,'314'!$T$81:$T$82,'314'!$T$84,'314'!$T$86</definedName>
    <definedName name="OSRRefT22x_0" localSheetId="60">'315'!$T$55:$T$62,'315'!$T$64:$T$69,'315'!$T$71,'315'!$T$73:$T$74,'315'!$T$76,'315'!$T$78:$T$79,'315'!$T$81,'315'!$T$83,'315'!$T$85:$T$86,'315'!$T$88:$T$89,'315'!$T$91:$T$92,'315'!$T$94:$T$98,'315'!$T$100,'315'!$T$102,'315'!$T$104:$T$105</definedName>
    <definedName name="OSRRefT22x_0" localSheetId="63">'316'!$T$33:$T$40,'316'!$T$42:$T$45,'316'!$T$47,'316'!$T$49,'316'!$T$51,'316'!$T$53,'316'!$T$55,'316'!$T$57,'316'!$T$59:$T$60,'316'!$T$62,'316'!$T$64:$T$68,'316'!$T$70,'316'!$T$72</definedName>
    <definedName name="OSRRefT22x_0" localSheetId="66">'317'!$T$58:$T$66,'317'!$T$68:$T$71,'317'!$T$73,'317'!$T$75,'317'!$T$77,'317'!$T$79,'317'!$T$81,'317'!$T$83,'317'!$T$85,'317'!$T$87,'317'!$T$89,'317'!$T$91,'317'!$T$93:$T$94,'317'!$T$96,'317'!$T$98,'317'!$T$100</definedName>
    <definedName name="OSRRefT22x_0" localSheetId="64">'320'!$T$29:$T$36,'320'!$T$38:$T$40,'320'!$T$42,'320'!$T$44,'320'!$T$46:$T$47,'320'!$T$49,'320'!$T$51,'320'!$T$53:$T$54,'320'!$T$56</definedName>
    <definedName name="OSRRefT22x_0" localSheetId="70">'321'!$T$24:$T$30,'321'!$T$32:$T$36,'321'!$T$38,'321'!$T$40,'321'!$T$42,'321'!$T$44,'321'!$T$46,'321'!$T$48:$T$50,'321'!$T$52,'321'!$T$54:$T$56,'321'!$T$58:$T$62,'321'!$T$64,'321'!$T$66,'321'!$T$68</definedName>
    <definedName name="OSRRefT22x_0" localSheetId="71">'322'!$T$24:$T$31,'322'!$T$33:$T$37,'322'!$T$39,'322'!$T$41,'322'!$T$43,'322'!$T$45,'322'!$T$47,'322'!$T$49,'322'!$T$51,'322'!$T$53,'322'!$T$55:$T$56,'322'!$T$58:$T$60,'322'!$T$62,'322'!$T$64:$T$70,'322'!$T$72,'322'!$T$74</definedName>
    <definedName name="OSRRefT22x_0" localSheetId="58">'324'!$T$25</definedName>
    <definedName name="OSRRefT22x_0" localSheetId="72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61">'326'!$T$61:$T$68,'326'!$T$70:$T$73,'326'!$T$75,'326'!$T$77,'326'!$T$79,'326'!$T$81,'326'!$T$83,'326'!$T$85,'326'!$T$87,'326'!$T$89,'326'!$T$91,'326'!$T$93,'326'!$T$95,'326'!$T$97:$T$98,'326'!$T$100:$T$102,'326'!$T$104,'326'!$T$106:$T$110,'326'!$T$112,'326'!$T$114,'326'!$T$116</definedName>
    <definedName name="OSRRefT22x_0" localSheetId="73">'327'!$T$22,'327'!$T$24,'327'!$T$26</definedName>
    <definedName name="OSRRefT22x_0" localSheetId="53">'330'!$T$81:$T$88,'330'!$T$90:$T$94,'330'!$T$96,'330'!$T$98,'330'!$T$100:$T$101,'330'!$T$103,'330'!$T$105,'330'!$T$107,'330'!$T$109,'330'!$T$111,'330'!$T$113,'330'!$T$115:$T$116,'330'!$T$118:$T$119,'330'!$T$121,'330'!$T$123:$T$125,'330'!$T$127,'330'!$T$129,'330'!$T$131</definedName>
    <definedName name="OSRRefT22x_0" localSheetId="59">'331'!$T$74:$T$81,'331'!$T$83:$T$88,'331'!$T$90,'331'!$T$92,'331'!$T$94,'331'!$T$96:$T$97,'331'!$T$99,'331'!$T$101,'331'!$T$103:$T$104,'331'!$T$106,'331'!$T$108,'331'!$T$110,'331'!$T$112,'331'!$T$114,'331'!$T$116:$T$118,'331'!$T$120:$T$121,'331'!$T$123:$T$125,'331'!$T$127:$T$128,'331'!$T$130:$T$135,'331'!$T$137,'331'!$T$139,'331'!$T$141:$T$142,'331'!$T$144</definedName>
    <definedName name="OSRRefT22x_0" localSheetId="62">'332'!$T$42:$T$49,'332'!$T$51:$T$54,'332'!$T$56,'332'!$T$58,'332'!$T$60,'332'!$T$62,'332'!$T$64:$T$65,'332'!$T$67,'332'!$T$69,'332'!$T$71:$T$72,'332'!$T$74,'332'!$T$76:$T$80,'332'!$T$82,'332'!$T$84</definedName>
    <definedName name="OSRRefT22x_0" localSheetId="52">'335'!$T$20</definedName>
    <definedName name="OSRRefT22x_0" localSheetId="77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8">'406'!$T$24:$T$31,'406'!$T$33:$T$37,'406'!$T$39,'406'!$T$41,'406'!$T$43,'406'!$T$45,'406'!$T$47,'406'!$T$49,'406'!$T$51,'406'!$T$53:$T$55,'406'!$T$57:$T$58,'406'!$T$60:$T$65,'406'!$T$67,'406'!$T$69</definedName>
    <definedName name="OSRRefT22x_0" localSheetId="79">'411'!$T$20:$T$28,'411'!$T$30:$T$35,'411'!$T$37,'411'!$T$39:$T$41,'411'!$T$43,'411'!$T$45,'411'!$T$47,'411'!$T$49,'411'!$T$51,'411'!$T$53,'411'!$T$55,'411'!$T$57:$T$59,'411'!$T$61:$T$65,'411'!$T$67:$T$68,'411'!$T$70:$T$77,'411'!$T$79,'411'!$T$81,'411'!$T$83:$T$85,'411'!$T$87</definedName>
    <definedName name="OSRRefT22x_0" localSheetId="80">'412'!$T$24:$T$31,'412'!$T$33:$T$38,'412'!$T$40,'412'!$T$42,'412'!$T$44,'412'!$T$46,'412'!$T$48,'412'!$T$50,'412'!$T$52,'412'!$T$54:$T$55,'412'!$T$57,'412'!$T$59:$T$61,'412'!$T$63:$T$69,'412'!$T$71,'412'!$T$73</definedName>
    <definedName name="OSRRefT22x_0" localSheetId="82">'413'!$T$24:$T$31,'413'!$T$33:$T$37,'413'!$T$39,'413'!$T$41,'413'!$T$43,'413'!$T$45,'413'!$T$47,'413'!$T$49:$T$51,'413'!$T$53:$T$54,'413'!$T$56:$T$61,'413'!$T$63</definedName>
    <definedName name="OSRRefT22x_0" localSheetId="83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4">'415'!$T$24:$T$31,'415'!$T$33:$T$38,'415'!$T$40,'415'!$T$42,'415'!$T$44,'415'!$T$46:$T$47,'415'!$T$49,'415'!$T$51,'415'!$T$53,'415'!$T$55,'415'!$T$57,'415'!$T$59:$T$62,'415'!$T$64:$T$68,'415'!$T$70:$T$71,'415'!$T$73:$T$79,'415'!$T$81,'415'!$T$83,'415'!$T$85</definedName>
    <definedName name="OSRRefT22x_0" localSheetId="85">'418'!$T$24:$T$31,'418'!$T$33:$T$38,'418'!$T$40,'418'!$T$42,'418'!$T$44,'418'!$T$46:$T$47,'418'!$T$49,'418'!$T$51,'418'!$T$53,'418'!$T$55,'418'!$T$57:$T$58,'418'!$T$60:$T$62,'418'!$T$64:$T$66,'418'!$T$68:$T$69,'418'!$T$71:$T$77,'418'!$T$79,'418'!$T$81</definedName>
    <definedName name="OSRRefT22x_0" localSheetId="81">'420'!$T$23:$T$30,'420'!$T$32:$T$35,'420'!$T$37,'420'!$T$39,'420'!$T$41,'420'!$T$43:$T$44,'420'!$T$46</definedName>
    <definedName name="OSRRefT22x_0" localSheetId="86">'423'!$T$21:$T$28,'423'!$T$30,'423'!$T$32,'423'!$T$34,'423'!$T$36,'423'!$T$38</definedName>
    <definedName name="OSRRefT22x_0" localSheetId="87">'424'!$T$24:$T$26,'424'!$T$28:$T$32,'424'!$T$34,'424'!$T$36,'424'!$T$38,'424'!$T$40,'424'!$T$42,'424'!$T$44:$T$45,'424'!$T$47,'424'!$T$49,'424'!$T$51:$T$56,'424'!$T$58</definedName>
    <definedName name="OSRRefT22x_0" localSheetId="88">'425'!$T$27:$T$35,'425'!$T$37:$T$42,'425'!$T$44,'425'!$T$46,'425'!$T$48,'425'!$T$50,'425'!$T$52,'425'!$T$54,'425'!$T$56,'425'!$T$58:$T$60,'425'!$T$62,'425'!$T$64:$T$65,'425'!$T$67:$T$73,'425'!$T$75,'425'!$T$77,'425'!$T$79</definedName>
    <definedName name="OSRRefT22x_0" localSheetId="91">'430'!$T$20:$T$27,'430'!$T$29,'430'!$T$31,'430'!$T$33,'430'!$T$35,'430'!$T$37,'430'!$T$39:$T$40,'430'!$T$42,'430'!$T$44,'430'!$T$46</definedName>
    <definedName name="OSRRefT22x_0" localSheetId="92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3">'435'!$T$25:$T$27,'435'!$T$29:$T$31,'435'!$T$33,'435'!$T$35,'435'!$T$37,'435'!$T$39,'435'!$T$41,'435'!$T$43,'435'!$T$45:$T$48,'435'!$T$50</definedName>
    <definedName name="OSRRefT22x_0" localSheetId="94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5">'445'!$T$20</definedName>
    <definedName name="OSRRefT22x_0" localSheetId="96">'450'!$T$25:$T$33,'450'!$T$35:$T$40,'450'!$T$42,'450'!$T$44,'450'!$T$46,'450'!$T$48,'450'!$T$50,'450'!$T$52,'450'!$T$54,'450'!$T$56,'450'!$T$58,'450'!$T$60:$T$62,'450'!$T$64:$T$66,'450'!$T$68:$T$74,'450'!$T$76,'450'!$T$78,'450'!$T$80:$T$81</definedName>
    <definedName name="OSRRefT22x_0" localSheetId="89">'455'!$T$20:$T$26,'455'!$T$28:$T$29,'455'!$T$31</definedName>
    <definedName name="OSRRefT22x_0" localSheetId="76">'491'!$T$33:$T$41,'491'!$T$43:$T$49,'491'!$T$51,'491'!$T$53,'491'!$T$55,'491'!$T$57:$T$59,'491'!$T$61,'491'!$T$63,'491'!$T$65,'491'!$T$67,'491'!$T$69,'491'!$T$71:$T$72,'491'!$T$74,'491'!$T$76,'491'!$T$78,'491'!$T$80,'491'!$T$82:$T$85,'491'!$T$87:$T$88,'491'!$T$90:$T$94,'491'!$T$96:$T$97,'491'!$T$99:$T$106,'491'!$T$108,'491'!$T$110,'491'!$T$112:$T$114,'491'!$T$116</definedName>
    <definedName name="OSRRefT22x_0" localSheetId="90">'492'!$T$28:$T$36,'492'!$T$38:$T$44,'492'!$T$46,'492'!$T$48,'492'!$T$50,'492'!$T$52,'492'!$T$54,'492'!$T$56,'492'!$T$58,'492'!$T$60,'492'!$T$62,'492'!$T$64,'492'!$T$66:$T$68,'492'!$T$70:$T$72,'492'!$T$74:$T$81,'492'!$T$83,'492'!$T$85,'492'!$T$87:$T$88</definedName>
    <definedName name="OSRRefT22x_0" localSheetId="98">'501'!$T$21:$T$28,'501'!$T$30:$T$35,'501'!$T$37,'501'!$T$39,'501'!$T$41,'501'!$T$43:$T$44,'501'!$T$46,'501'!$T$48,'501'!$T$50,'501'!$T$52,'501'!$T$54:$T$55,'501'!$T$57,'501'!$T$59:$T$62,'501'!$T$64,'501'!$T$66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2'!$T$77:$T$80,'Div 2'!$T$82:$T$83,'Div 2'!$T$85,'Div 2'!$T$87:$T$88</definedName>
    <definedName name="OSRRefT22x_0" localSheetId="47">'Div 3'!$T$168:$T$176,'Div 3'!$T$178:$T$184,'Div 3'!$T$186,'Div 3'!$T$188:$T$189,'Div 3'!$T$191,'Div 3'!$T$193:$T$194,'Div 3'!$T$196:$T$197,'Div 3'!$T$199,'Div 3'!$T$201,'Div 3'!$T$203,'Div 3'!$T$205:$T$206,'Div 3'!$T$208,'Div 3'!$T$210,'Div 3'!$T$212,'Div 3'!$T$214,'Div 3'!$T$216,'Div 3'!$T$218,'Div 3'!$T$220:$T$223,'Div 3'!$T$225:$T$227,'Div 3'!$T$229:$T$233,'Div 3'!$T$235:$T$236,'Div 3'!$T$238:$T$245,'Div 3'!$T$247:$T$248,'Div 3'!$T$250,'Div 3'!$T$252:$T$254,'Div 3'!$T$256</definedName>
    <definedName name="OSRRefT22x_0" localSheetId="74">'Div 4'!$T$34:$T$42,'Div 4'!$T$44:$T$50,'Div 4'!$T$52,'Div 4'!$T$54,'Div 4'!$T$56,'Div 4'!$T$58:$T$60,'Div 4'!$T$62,'Div 4'!$T$64,'Div 4'!$T$66,'Div 4'!$T$68,'Div 4'!$T$70,'Div 4'!$T$72:$T$73,'Div 4'!$T$75,'Div 4'!$T$77,'Div 4'!$T$79,'Div 4'!$T$81,'Div 4'!$T$83,'Div 4'!$T$85:$T$88,'Div 4'!$T$90:$T$91,'Div 4'!$T$93:$T$97,'Div 4'!$T$99:$T$100,'Div 4'!$T$102:$T$109,'Div 4'!$T$111,'Div 4'!$T$113,'Div 4'!$T$115:$T$117,'Div 4'!$T$119</definedName>
    <definedName name="OSRRefT22x_0" localSheetId="97">'Div 5'!$T$21:$T$28,'Div 5'!$T$30:$T$35,'Div 5'!$T$37,'Div 5'!$T$39,'Div 5'!$T$41,'Div 5'!$T$43:$T$44,'Div 5'!$T$46,'Div 5'!$T$48,'Div 5'!$T$50,'Div 5'!$T$52,'Div 5'!$T$54:$T$55,'Div 5'!$T$57,'Div 5'!$T$59:$T$62,'Div 5'!$T$64,'Div 5'!$T$66</definedName>
    <definedName name="OSRRefT22x_0" localSheetId="65">'Div 6'!$T$58:$T$66,'Div 6'!$T$68:$T$71,'Div 6'!$T$73,'Div 6'!$T$75,'Div 6'!$T$77,'Div 6'!$T$79,'Div 6'!$T$81,'Div 6'!$T$83,'Div 6'!$T$85,'Div 6'!$T$87,'Div 6'!$T$89,'Div 6'!$T$91,'Div 6'!$T$93:$T$94,'Div 6'!$T$96,'Div 6'!$T$98,'Div 6'!$T$100</definedName>
    <definedName name="OSRRefT22x_0" localSheetId="2">Summary!$T$202:$T$210,Summary!$T$212:$T$218,Summary!$T$220,Summary!$T$222:$T$223,Summary!$T$225,Summary!$T$227:$T$229,Summary!$T$231:$T$232,Summary!$T$234,Summary!$T$236,Summary!$T$238,Summary!$T$240:$T$241,Summary!$T$243:$T$244,Summary!$T$246,Summary!$T$248,Summary!$T$250,Summary!$T$252,Summary!$T$254,Summary!$T$256,Summary!$T$258:$T$261,Summary!$T$263:$T$265,Summary!$T$267:$T$271,Summary!$T$273:$T$274,Summary!$T$276:$T$283,Summary!$T$285:$T$286,Summary!$T$288,Summary!$T$290:$T$292,Summary!$T$294</definedName>
    <definedName name="OSRRefT25x_0" localSheetId="48">'300'!$T$250:$T$258</definedName>
    <definedName name="OSRRefT25x_0" localSheetId="49">'300 &amp; 317'!$T$275:$T$286</definedName>
    <definedName name="OSRRefT25x_0" localSheetId="50">'301'!$T$94:$T$96</definedName>
    <definedName name="OSRRefT25x_0" localSheetId="54">'307'!$T$118</definedName>
    <definedName name="OSRRefT25x_0" localSheetId="56">'308'!$T$115:$T$117</definedName>
    <definedName name="OSRRefT25x_0" localSheetId="75">'310 &amp; 491'!$T$128:$T$130</definedName>
    <definedName name="OSRRefT25x_0" localSheetId="57">'311'!$T$114:$T$116</definedName>
    <definedName name="OSRRefT25x_0" localSheetId="60">'315'!$T$108</definedName>
    <definedName name="OSRRefT25x_0" localSheetId="63">'316'!$T$75</definedName>
    <definedName name="OSRRefT25x_0" localSheetId="66">'317'!$T$103:$T$106</definedName>
    <definedName name="OSRRefT25x_0" localSheetId="64">'320'!$T$59:$T$63</definedName>
    <definedName name="OSRRefT25x_0" localSheetId="53">'330'!$T$134</definedName>
    <definedName name="OSRRefT25x_0" localSheetId="59">'331'!$T$147</definedName>
    <definedName name="OSRRefT25x_0" localSheetId="62">'332'!$T$87:$T$92</definedName>
    <definedName name="OSRRefT25x_0" localSheetId="79">'411'!$T$90:$T$91</definedName>
    <definedName name="OSRRefT25x_0" localSheetId="82">'413'!$T$66</definedName>
    <definedName name="OSRRefT25x_0" localSheetId="84">'415'!$T$88</definedName>
    <definedName name="OSRRefT25x_0" localSheetId="85">'418'!$T$84</definedName>
    <definedName name="OSRRefT25x_0" localSheetId="86">'423'!$T$41</definedName>
    <definedName name="OSRRefT25x_0" localSheetId="87">'424'!$T$61</definedName>
    <definedName name="OSRRefT25x_0" localSheetId="88">'425'!$T$82</definedName>
    <definedName name="OSRRefT25x_0" localSheetId="89">'455'!$T$34:$T$35</definedName>
    <definedName name="OSRRefT25x_0" localSheetId="76">'491'!$T$119:$T$121</definedName>
    <definedName name="OSRRefT25x_0" localSheetId="98">'501'!$T$69:$T$70</definedName>
    <definedName name="OSRRefT25x_0" localSheetId="47">'Div 3'!$T$259:$T$267</definedName>
    <definedName name="OSRRefT25x_0" localSheetId="74">'Div 4'!$T$122:$T$124</definedName>
    <definedName name="OSRRefT25x_0" localSheetId="97">'Div 5'!$T$69:$T$70</definedName>
    <definedName name="OSRRefT25x_0" localSheetId="65">'Div 6'!$T$103:$T$106</definedName>
    <definedName name="OSRRefT25x_0" localSheetId="2">Summary!$T$297:$T$309</definedName>
    <definedName name="_xlnm.Print_Area" localSheetId="38">'100'!$A$1:$Z$34</definedName>
    <definedName name="_xlnm.Print_Area" localSheetId="40">'200'!$A$1:$Z$43</definedName>
    <definedName name="_xlnm.Print_Area" localSheetId="41">'201'!$A$1:$Z$83</definedName>
    <definedName name="_xlnm.Print_Area" localSheetId="42">'202'!$A$1:$Z$81</definedName>
    <definedName name="_xlnm.Print_Area" localSheetId="43">'203'!$A$1:$Z$83</definedName>
    <definedName name="_xlnm.Print_Area" localSheetId="44">'204'!$A$1:$Z$75</definedName>
    <definedName name="_xlnm.Print_Area" localSheetId="45">'205'!$A$1:$Z$59</definedName>
    <definedName name="_xlnm.Print_Area" localSheetId="46">'206'!$A$1:$Z$61</definedName>
    <definedName name="_xlnm.Print_Area" localSheetId="48">'300'!$A$1:$Z$270</definedName>
    <definedName name="_xlnm.Print_Area" localSheetId="49">'300 &amp; 317'!$A$1:$Z$298</definedName>
    <definedName name="_xlnm.Print_Area" localSheetId="50">'301'!$A$1:$Z$108</definedName>
    <definedName name="_xlnm.Print_Area" localSheetId="51">'306'!$A$1:$Z$71</definedName>
    <definedName name="_xlnm.Print_Area" localSheetId="54">'307'!$A$1:$Z$130</definedName>
    <definedName name="_xlnm.Print_Area" localSheetId="56">'308'!$A$1:$Z$129</definedName>
    <definedName name="_xlnm.Print_Area" localSheetId="68">'309'!$A$1:$Z$83</definedName>
    <definedName name="_xlnm.Print_Area" localSheetId="67">'310'!$A$1:$Z$116</definedName>
    <definedName name="_xlnm.Print_Area" localSheetId="75">'310 &amp; 491'!$A$1:$Z$142</definedName>
    <definedName name="_xlnm.Print_Area" localSheetId="57">'311'!$A$1:$Z$128</definedName>
    <definedName name="_xlnm.Print_Area" localSheetId="69">'313'!$A$1:$Z$92</definedName>
    <definedName name="_xlnm.Print_Area" localSheetId="55">'314'!$A$1:$Z$100</definedName>
    <definedName name="_xlnm.Print_Area" localSheetId="60">'315'!$A$1:$Z$120</definedName>
    <definedName name="_xlnm.Print_Area" localSheetId="63">'316'!$A$1:$Z$87</definedName>
    <definedName name="_xlnm.Print_Area" localSheetId="66">'317'!$A$1:$Z$118</definedName>
    <definedName name="_xlnm.Print_Area" localSheetId="64">'320'!$A$1:$Z$75</definedName>
    <definedName name="_xlnm.Print_Area" localSheetId="70">'321'!$A$1:$Z$82</definedName>
    <definedName name="_xlnm.Print_Area" localSheetId="71">'322'!$A$1:$Z$88</definedName>
    <definedName name="_xlnm.Print_Area" localSheetId="58">'324'!$A$1:$Z$39</definedName>
    <definedName name="_xlnm.Print_Area" localSheetId="72">'325'!$A$1:$Z$96</definedName>
    <definedName name="_xlnm.Print_Area" localSheetId="61">'326'!$A$1:$Z$130</definedName>
    <definedName name="_xlnm.Print_Area" localSheetId="73">'327'!$A$1:$Z$40</definedName>
    <definedName name="_xlnm.Print_Area" localSheetId="53">'330'!$A$1:$Z$146</definedName>
    <definedName name="_xlnm.Print_Area" localSheetId="59">'331'!$A$1:$Z$159</definedName>
    <definedName name="_xlnm.Print_Area" localSheetId="62">'332'!$A$1:$Z$104</definedName>
    <definedName name="_xlnm.Print_Area" localSheetId="52">'335'!$A$1:$Z$34</definedName>
    <definedName name="_xlnm.Print_Area" localSheetId="77">'405'!$A$1:$Z$93</definedName>
    <definedName name="_xlnm.Print_Area" localSheetId="78">'406'!$A$1:$Z$83</definedName>
    <definedName name="_xlnm.Print_Area" localSheetId="79">'411'!$A$1:$Z$103</definedName>
    <definedName name="_xlnm.Print_Area" localSheetId="80">'412'!$A$1:$Z$87</definedName>
    <definedName name="_xlnm.Print_Area" localSheetId="82">'413'!$A$1:$Z$78</definedName>
    <definedName name="_xlnm.Print_Area" localSheetId="83">'414'!$A$1:$Z$87</definedName>
    <definedName name="_xlnm.Print_Area" localSheetId="84">'415'!$A$1:$Z$100</definedName>
    <definedName name="_xlnm.Print_Area" localSheetId="85">'418'!$A$1:$Z$96</definedName>
    <definedName name="_xlnm.Print_Area" localSheetId="81">'420'!$A$1:$Z$60</definedName>
    <definedName name="_xlnm.Print_Area" localSheetId="86">'423'!$A$1:$Z$53</definedName>
    <definedName name="_xlnm.Print_Area" localSheetId="87">'424'!$A$1:$Z$73</definedName>
    <definedName name="_xlnm.Print_Area" localSheetId="88">'425'!$A$1:$Z$94</definedName>
    <definedName name="_xlnm.Print_Area" localSheetId="91">'430'!$A$1:$Z$60</definedName>
    <definedName name="_xlnm.Print_Area" localSheetId="92">'433'!$A$1:$Z$94</definedName>
    <definedName name="_xlnm.Print_Area" localSheetId="93">'435'!$A$1:$Z$64</definedName>
    <definedName name="_xlnm.Print_Area" localSheetId="94">'444'!$A$1:$Z$95</definedName>
    <definedName name="_xlnm.Print_Area" localSheetId="95">'445'!$A$1:$Z$34</definedName>
    <definedName name="_xlnm.Print_Area" localSheetId="96">'450'!$A$1:$Z$95</definedName>
    <definedName name="_xlnm.Print_Area" localSheetId="89">'455'!$A$1:$Z$47</definedName>
    <definedName name="_xlnm.Print_Area" localSheetId="76">'491'!$A$1:$Z$133</definedName>
    <definedName name="_xlnm.Print_Area" localSheetId="90">'492'!$A$1:$Z$102</definedName>
    <definedName name="_xlnm.Print_Area" localSheetId="98">'501'!$A$1:$Z$82</definedName>
    <definedName name="_xlnm.Print_Area" localSheetId="99">Dept!$A$1:$Z$39</definedName>
    <definedName name="_xlnm.Print_Area" localSheetId="37">'Div 1'!$A$1:$Z$34</definedName>
    <definedName name="_xlnm.Print_Area" localSheetId="39">'Div 2'!$A$1:$Z$102</definedName>
    <definedName name="_xlnm.Print_Area" localSheetId="47">'Div 3'!$A$1:$Z$279</definedName>
    <definedName name="_xlnm.Print_Area" localSheetId="74">'Div 4'!$A$1:$Z$136</definedName>
    <definedName name="_xlnm.Print_Area" localSheetId="97">'Div 5'!$A$1:$Z$82</definedName>
    <definedName name="_xlnm.Print_Area" localSheetId="65">'Div 6'!$A$1:$Z$118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Summary!$A$1:$Z$323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4">'307'!$A:$C,'307'!$1:$10</definedName>
    <definedName name="_xlnm.Print_Titles" localSheetId="56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7">'311'!$A:$C,'311'!$1:$10</definedName>
    <definedName name="_xlnm.Print_Titles" localSheetId="69">'313'!$A:$C,'313'!$1:$10</definedName>
    <definedName name="_xlnm.Print_Titles" localSheetId="55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8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3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52">'335'!$A:$C,'335'!$1:$10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'445'!$A:$C,'445'!$1:$10</definedName>
    <definedName name="_xlnm.Print_Titles" localSheetId="96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7">'Div 5'!$A:$C,'Div 5'!$1:$10</definedName>
    <definedName name="_xlnm.Print_Titles" localSheetId="65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4" i="110" l="1"/>
  <c r="X74" i="110"/>
  <c r="N74" i="110"/>
  <c r="L74" i="110"/>
  <c r="X70" i="110"/>
  <c r="T70" i="110"/>
  <c r="Z70" i="110" s="1"/>
  <c r="P70" i="110"/>
  <c r="H70" i="110"/>
  <c r="D70" i="110"/>
  <c r="B70" i="110"/>
  <c r="T69" i="110"/>
  <c r="P69" i="110"/>
  <c r="L69" i="110"/>
  <c r="N69" i="110" s="1"/>
  <c r="H69" i="110"/>
  <c r="D69" i="110"/>
  <c r="B69" i="110"/>
  <c r="T68" i="110"/>
  <c r="P68" i="110"/>
  <c r="X68" i="110" s="1"/>
  <c r="D68" i="110"/>
  <c r="Z66" i="110"/>
  <c r="X66" i="110"/>
  <c r="L66" i="110"/>
  <c r="N66" i="110" s="1"/>
  <c r="B66" i="110"/>
  <c r="X65" i="110"/>
  <c r="Z65" i="110" s="1"/>
  <c r="T65" i="110"/>
  <c r="P65" i="110"/>
  <c r="H65" i="110"/>
  <c r="D65" i="110"/>
  <c r="L65" i="110" s="1"/>
  <c r="B65" i="110"/>
  <c r="X64" i="110"/>
  <c r="Z64" i="110" s="1"/>
  <c r="L64" i="110"/>
  <c r="N64" i="110" s="1"/>
  <c r="B64" i="110"/>
  <c r="T63" i="110"/>
  <c r="X63" i="110" s="1"/>
  <c r="Z63" i="110" s="1"/>
  <c r="P63" i="110"/>
  <c r="H63" i="110"/>
  <c r="F63" i="110"/>
  <c r="D63" i="110"/>
  <c r="L63" i="110" s="1"/>
  <c r="B63" i="110"/>
  <c r="Z62" i="110"/>
  <c r="X62" i="110"/>
  <c r="N62" i="110"/>
  <c r="L62" i="110"/>
  <c r="B62" i="110"/>
  <c r="X61" i="110"/>
  <c r="Z61" i="110" s="1"/>
  <c r="N61" i="110"/>
  <c r="L61" i="110"/>
  <c r="B61" i="110"/>
  <c r="X60" i="110"/>
  <c r="Z60" i="110" s="1"/>
  <c r="N60" i="110"/>
  <c r="L60" i="110"/>
  <c r="B60" i="110"/>
  <c r="Z59" i="110"/>
  <c r="X59" i="110"/>
  <c r="N59" i="110"/>
  <c r="L59" i="110"/>
  <c r="J59" i="110"/>
  <c r="B59" i="110"/>
  <c r="T58" i="110"/>
  <c r="P58" i="110"/>
  <c r="X58" i="110" s="1"/>
  <c r="H58" i="110"/>
  <c r="D58" i="110"/>
  <c r="L58" i="110" s="1"/>
  <c r="B58" i="110"/>
  <c r="Z57" i="110"/>
  <c r="X57" i="110"/>
  <c r="N57" i="110"/>
  <c r="L57" i="110"/>
  <c r="B57" i="110"/>
  <c r="Z56" i="110"/>
  <c r="X56" i="110"/>
  <c r="T56" i="110"/>
  <c r="P56" i="110"/>
  <c r="H56" i="110"/>
  <c r="N56" i="110" s="1"/>
  <c r="D56" i="110"/>
  <c r="L56" i="110" s="1"/>
  <c r="B56" i="110"/>
  <c r="Z55" i="110"/>
  <c r="X55" i="110"/>
  <c r="N55" i="110"/>
  <c r="L55" i="110"/>
  <c r="J55" i="110"/>
  <c r="B55" i="110"/>
  <c r="Z54" i="110"/>
  <c r="X54" i="110"/>
  <c r="N54" i="110"/>
  <c r="L54" i="110"/>
  <c r="B54" i="110"/>
  <c r="T53" i="110"/>
  <c r="P53" i="110"/>
  <c r="N53" i="110"/>
  <c r="H53" i="110"/>
  <c r="D53" i="110"/>
  <c r="L53" i="110" s="1"/>
  <c r="B53" i="110"/>
  <c r="X52" i="110"/>
  <c r="Z52" i="110" s="1"/>
  <c r="N52" i="110"/>
  <c r="L52" i="110"/>
  <c r="B52" i="110"/>
  <c r="X51" i="110"/>
  <c r="Z51" i="110" s="1"/>
  <c r="V51" i="110"/>
  <c r="T51" i="110"/>
  <c r="P51" i="110"/>
  <c r="L51" i="110"/>
  <c r="N51" i="110" s="1"/>
  <c r="H51" i="110"/>
  <c r="D51" i="110"/>
  <c r="B51" i="110"/>
  <c r="Z50" i="110"/>
  <c r="X50" i="110"/>
  <c r="N50" i="110"/>
  <c r="L50" i="110"/>
  <c r="J50" i="110"/>
  <c r="B50" i="110"/>
  <c r="T49" i="110"/>
  <c r="P49" i="110"/>
  <c r="H49" i="110"/>
  <c r="D49" i="110"/>
  <c r="B49" i="110"/>
  <c r="X48" i="110"/>
  <c r="Z48" i="110" s="1"/>
  <c r="V48" i="110"/>
  <c r="L48" i="110"/>
  <c r="N48" i="110" s="1"/>
  <c r="B48" i="110"/>
  <c r="Z47" i="110"/>
  <c r="T47" i="110"/>
  <c r="P47" i="110"/>
  <c r="X47" i="110" s="1"/>
  <c r="H47" i="110"/>
  <c r="F47" i="110"/>
  <c r="D47" i="110"/>
  <c r="L47" i="110" s="1"/>
  <c r="N47" i="110" s="1"/>
  <c r="B47" i="110"/>
  <c r="Z46" i="110"/>
  <c r="X46" i="110"/>
  <c r="N46" i="110"/>
  <c r="L46" i="110"/>
  <c r="B46" i="110"/>
  <c r="X45" i="110"/>
  <c r="Z45" i="110" s="1"/>
  <c r="T45" i="110"/>
  <c r="P45" i="110"/>
  <c r="N45" i="110"/>
  <c r="L45" i="110"/>
  <c r="H45" i="110"/>
  <c r="D45" i="110"/>
  <c r="B45" i="110"/>
  <c r="Z44" i="110"/>
  <c r="X44" i="110"/>
  <c r="L44" i="110"/>
  <c r="N44" i="110" s="1"/>
  <c r="B44" i="110"/>
  <c r="X43" i="110"/>
  <c r="Z43" i="110" s="1"/>
  <c r="V43" i="110"/>
  <c r="N43" i="110"/>
  <c r="L43" i="110"/>
  <c r="B43" i="110"/>
  <c r="T42" i="110"/>
  <c r="P42" i="110"/>
  <c r="X42" i="110" s="1"/>
  <c r="Z42" i="110" s="1"/>
  <c r="L42" i="110"/>
  <c r="N42" i="110" s="1"/>
  <c r="H42" i="110"/>
  <c r="D42" i="110"/>
  <c r="B42" i="110"/>
  <c r="Z41" i="110"/>
  <c r="X41" i="110"/>
  <c r="N41" i="110"/>
  <c r="L41" i="110"/>
  <c r="B41" i="110"/>
  <c r="T40" i="110"/>
  <c r="P40" i="110"/>
  <c r="L40" i="110"/>
  <c r="J40" i="110"/>
  <c r="H40" i="110"/>
  <c r="N40" i="110" s="1"/>
  <c r="D40" i="110"/>
  <c r="B40" i="110"/>
  <c r="X39" i="110"/>
  <c r="Z39" i="110" s="1"/>
  <c r="L39" i="110"/>
  <c r="N39" i="110" s="1"/>
  <c r="B39" i="110"/>
  <c r="T38" i="110"/>
  <c r="P38" i="110"/>
  <c r="H38" i="110"/>
  <c r="D38" i="110"/>
  <c r="L38" i="110" s="1"/>
  <c r="B38" i="110"/>
  <c r="Z37" i="110"/>
  <c r="X37" i="110"/>
  <c r="N37" i="110"/>
  <c r="L37" i="110"/>
  <c r="B37" i="110"/>
  <c r="X36" i="110"/>
  <c r="Z36" i="110" s="1"/>
  <c r="T36" i="110"/>
  <c r="P36" i="110"/>
  <c r="N36" i="110"/>
  <c r="L36" i="110"/>
  <c r="H36" i="110"/>
  <c r="D36" i="110"/>
  <c r="B36" i="110"/>
  <c r="Z35" i="110"/>
  <c r="X35" i="110"/>
  <c r="L35" i="110"/>
  <c r="N35" i="110" s="1"/>
  <c r="J35" i="110"/>
  <c r="B35" i="110"/>
  <c r="X34" i="110"/>
  <c r="Z34" i="110" s="1"/>
  <c r="N34" i="110"/>
  <c r="L34" i="110"/>
  <c r="B34" i="110"/>
  <c r="Z33" i="110"/>
  <c r="X33" i="110"/>
  <c r="L33" i="110"/>
  <c r="N33" i="110" s="1"/>
  <c r="J33" i="110"/>
  <c r="B33" i="110"/>
  <c r="X32" i="110"/>
  <c r="Z32" i="110" s="1"/>
  <c r="N32" i="110"/>
  <c r="L32" i="110"/>
  <c r="B32" i="110"/>
  <c r="Z31" i="110"/>
  <c r="X31" i="110"/>
  <c r="N31" i="110"/>
  <c r="L31" i="110"/>
  <c r="J31" i="110"/>
  <c r="B31" i="110"/>
  <c r="X30" i="110"/>
  <c r="Z30" i="110" s="1"/>
  <c r="N30" i="110"/>
  <c r="L30" i="110"/>
  <c r="B30" i="110"/>
  <c r="T29" i="110"/>
  <c r="R29" i="110"/>
  <c r="P29" i="110"/>
  <c r="X29" i="110" s="1"/>
  <c r="Z29" i="110" s="1"/>
  <c r="N29" i="110"/>
  <c r="H29" i="110"/>
  <c r="D29" i="110"/>
  <c r="L29" i="110" s="1"/>
  <c r="B29" i="110"/>
  <c r="Z28" i="110"/>
  <c r="X28" i="110"/>
  <c r="N28" i="110"/>
  <c r="L28" i="110"/>
  <c r="B28" i="110"/>
  <c r="X27" i="110"/>
  <c r="Z27" i="110" s="1"/>
  <c r="V27" i="110"/>
  <c r="L27" i="110"/>
  <c r="N27" i="110" s="1"/>
  <c r="B27" i="110"/>
  <c r="Z26" i="110"/>
  <c r="X26" i="110"/>
  <c r="L26" i="110"/>
  <c r="N26" i="110" s="1"/>
  <c r="B26" i="110"/>
  <c r="X25" i="110"/>
  <c r="Z25" i="110" s="1"/>
  <c r="V25" i="110"/>
  <c r="N25" i="110"/>
  <c r="L25" i="110"/>
  <c r="B25" i="110"/>
  <c r="Z24" i="110"/>
  <c r="X24" i="110"/>
  <c r="N24" i="110"/>
  <c r="L24" i="110"/>
  <c r="B24" i="110"/>
  <c r="X23" i="110"/>
  <c r="Z23" i="110" s="1"/>
  <c r="V23" i="110"/>
  <c r="L23" i="110"/>
  <c r="N23" i="110" s="1"/>
  <c r="B23" i="110"/>
  <c r="X22" i="110"/>
  <c r="Z22" i="110" s="1"/>
  <c r="L22" i="110"/>
  <c r="N22" i="110" s="1"/>
  <c r="B22" i="110"/>
  <c r="X21" i="110"/>
  <c r="Z21" i="110" s="1"/>
  <c r="V21" i="110"/>
  <c r="N21" i="110"/>
  <c r="L21" i="110"/>
  <c r="F21" i="110"/>
  <c r="B21" i="110"/>
  <c r="T20" i="110"/>
  <c r="R20" i="110"/>
  <c r="P20" i="110"/>
  <c r="H20" i="110"/>
  <c r="F20" i="110"/>
  <c r="D20" i="110"/>
  <c r="L20" i="110" s="1"/>
  <c r="B20" i="110"/>
  <c r="T19" i="110"/>
  <c r="R19" i="110"/>
  <c r="P19" i="110"/>
  <c r="H19" i="110"/>
  <c r="D19" i="110"/>
  <c r="T17" i="110"/>
  <c r="J17" i="110"/>
  <c r="H17" i="110"/>
  <c r="X15" i="110"/>
  <c r="T15" i="110"/>
  <c r="Z15" i="110" s="1"/>
  <c r="R15" i="110"/>
  <c r="P15" i="110"/>
  <c r="J15" i="110"/>
  <c r="H15" i="110"/>
  <c r="N15" i="110" s="1"/>
  <c r="D15" i="110"/>
  <c r="L15" i="110" s="1"/>
  <c r="X13" i="110"/>
  <c r="T13" i="110"/>
  <c r="P13" i="110"/>
  <c r="P12" i="110" s="1"/>
  <c r="R37" i="110" s="1"/>
  <c r="N13" i="110"/>
  <c r="L13" i="110"/>
  <c r="H13" i="110"/>
  <c r="D13" i="110"/>
  <c r="B13" i="110"/>
  <c r="T12" i="110"/>
  <c r="V30" i="110" s="1"/>
  <c r="N12" i="110"/>
  <c r="L12" i="110"/>
  <c r="H12" i="110"/>
  <c r="J49" i="110" s="1"/>
  <c r="D12" i="110"/>
  <c r="F49" i="110" s="1"/>
  <c r="D6" i="110"/>
  <c r="D4" i="110"/>
  <c r="V44" i="109"/>
  <c r="R44" i="109"/>
  <c r="R41" i="109"/>
  <c r="F41" i="109"/>
  <c r="Z39" i="109"/>
  <c r="X39" i="109"/>
  <c r="N39" i="109"/>
  <c r="L39" i="109"/>
  <c r="F39" i="109"/>
  <c r="X35" i="109"/>
  <c r="Z35" i="109" s="1"/>
  <c r="T35" i="109"/>
  <c r="P35" i="109"/>
  <c r="H35" i="109"/>
  <c r="D35" i="109"/>
  <c r="L35" i="109" s="1"/>
  <c r="N35" i="109" s="1"/>
  <c r="B35" i="109"/>
  <c r="X34" i="109"/>
  <c r="Z34" i="109" s="1"/>
  <c r="T34" i="109"/>
  <c r="P34" i="109"/>
  <c r="H34" i="109"/>
  <c r="D34" i="109"/>
  <c r="D33" i="109" s="1"/>
  <c r="B34" i="109"/>
  <c r="X33" i="109"/>
  <c r="Z33" i="109" s="1"/>
  <c r="T33" i="109"/>
  <c r="P33" i="109"/>
  <c r="F33" i="109"/>
  <c r="X31" i="109"/>
  <c r="Z31" i="109" s="1"/>
  <c r="N31" i="109"/>
  <c r="L31" i="109"/>
  <c r="F31" i="109"/>
  <c r="B31" i="109"/>
  <c r="X30" i="109"/>
  <c r="T30" i="109"/>
  <c r="Z30" i="109" s="1"/>
  <c r="P30" i="109"/>
  <c r="N30" i="109"/>
  <c r="L30" i="109"/>
  <c r="H30" i="109"/>
  <c r="F30" i="109"/>
  <c r="D30" i="109"/>
  <c r="B30" i="109"/>
  <c r="Z29" i="109"/>
  <c r="X29" i="109"/>
  <c r="N29" i="109"/>
  <c r="L29" i="109"/>
  <c r="J29" i="109"/>
  <c r="B29" i="109"/>
  <c r="Z28" i="109"/>
  <c r="X28" i="109"/>
  <c r="N28" i="109"/>
  <c r="L28" i="109"/>
  <c r="B28" i="109"/>
  <c r="X27" i="109"/>
  <c r="Z27" i="109" s="1"/>
  <c r="T27" i="109"/>
  <c r="R27" i="109"/>
  <c r="P27" i="109"/>
  <c r="L27" i="109"/>
  <c r="N27" i="109" s="1"/>
  <c r="H27" i="109"/>
  <c r="D27" i="109"/>
  <c r="B27" i="109"/>
  <c r="X26" i="109"/>
  <c r="Z26" i="109" s="1"/>
  <c r="N26" i="109"/>
  <c r="L26" i="109"/>
  <c r="B26" i="109"/>
  <c r="X25" i="109"/>
  <c r="Z25" i="109" s="1"/>
  <c r="R25" i="109"/>
  <c r="L25" i="109"/>
  <c r="N25" i="109" s="1"/>
  <c r="B25" i="109"/>
  <c r="Z24" i="109"/>
  <c r="X24" i="109"/>
  <c r="N24" i="109"/>
  <c r="L24" i="109"/>
  <c r="F24" i="109"/>
  <c r="B24" i="109"/>
  <c r="Z23" i="109"/>
  <c r="X23" i="109"/>
  <c r="R23" i="109"/>
  <c r="N23" i="109"/>
  <c r="L23" i="109"/>
  <c r="F23" i="109"/>
  <c r="B23" i="109"/>
  <c r="X22" i="109"/>
  <c r="Z22" i="109" s="1"/>
  <c r="R22" i="109"/>
  <c r="L22" i="109"/>
  <c r="N22" i="109" s="1"/>
  <c r="F22" i="109"/>
  <c r="B22" i="109"/>
  <c r="X21" i="109"/>
  <c r="Z21" i="109" s="1"/>
  <c r="N21" i="109"/>
  <c r="L21" i="109"/>
  <c r="J21" i="109"/>
  <c r="B21" i="109"/>
  <c r="Z20" i="109"/>
  <c r="X20" i="109"/>
  <c r="N20" i="109"/>
  <c r="L20" i="109"/>
  <c r="F20" i="109"/>
  <c r="B20" i="109"/>
  <c r="Z19" i="109"/>
  <c r="T19" i="109"/>
  <c r="P19" i="109"/>
  <c r="X19" i="109" s="1"/>
  <c r="L19" i="109"/>
  <c r="N19" i="109" s="1"/>
  <c r="H19" i="109"/>
  <c r="F19" i="109"/>
  <c r="D19" i="109"/>
  <c r="B19" i="109"/>
  <c r="T18" i="109"/>
  <c r="Z18" i="109" s="1"/>
  <c r="P18" i="109"/>
  <c r="X18" i="109" s="1"/>
  <c r="H18" i="109"/>
  <c r="F18" i="109"/>
  <c r="D18" i="109"/>
  <c r="L18" i="109" s="1"/>
  <c r="H16" i="109"/>
  <c r="F16" i="109"/>
  <c r="D16" i="109"/>
  <c r="T14" i="109"/>
  <c r="Z14" i="109" s="1"/>
  <c r="P14" i="109"/>
  <c r="X14" i="109" s="1"/>
  <c r="H14" i="109"/>
  <c r="N14" i="109" s="1"/>
  <c r="F14" i="109"/>
  <c r="D14" i="109"/>
  <c r="T12" i="109"/>
  <c r="T16" i="109" s="1"/>
  <c r="P12" i="109"/>
  <c r="R18" i="109" s="1"/>
  <c r="H12" i="109"/>
  <c r="J34" i="109" s="1"/>
  <c r="D12" i="109"/>
  <c r="F37" i="109" s="1"/>
  <c r="D6" i="109"/>
  <c r="D4" i="109"/>
  <c r="X87" i="108"/>
  <c r="Z87" i="108" s="1"/>
  <c r="N87" i="108"/>
  <c r="L87" i="108"/>
  <c r="T83" i="108"/>
  <c r="Z83" i="108" s="1"/>
  <c r="P83" i="108"/>
  <c r="H83" i="108"/>
  <c r="N83" i="108" s="1"/>
  <c r="D83" i="108"/>
  <c r="L83" i="108" s="1"/>
  <c r="Z81" i="108"/>
  <c r="X81" i="108"/>
  <c r="N81" i="108"/>
  <c r="L81" i="108"/>
  <c r="B81" i="108"/>
  <c r="Z80" i="108"/>
  <c r="X80" i="108"/>
  <c r="N80" i="108"/>
  <c r="L80" i="108"/>
  <c r="B80" i="108"/>
  <c r="T79" i="108"/>
  <c r="Z79" i="108" s="1"/>
  <c r="P79" i="108"/>
  <c r="X79" i="108" s="1"/>
  <c r="H79" i="108"/>
  <c r="N79" i="108" s="1"/>
  <c r="D79" i="108"/>
  <c r="B79" i="108"/>
  <c r="X78" i="108"/>
  <c r="Z78" i="108" s="1"/>
  <c r="L78" i="108"/>
  <c r="N78" i="108" s="1"/>
  <c r="B78" i="108"/>
  <c r="X77" i="108"/>
  <c r="Z77" i="108" s="1"/>
  <c r="T77" i="108"/>
  <c r="P77" i="108"/>
  <c r="H77" i="108"/>
  <c r="N77" i="108" s="1"/>
  <c r="D77" i="108"/>
  <c r="L77" i="108" s="1"/>
  <c r="B77" i="108"/>
  <c r="Z76" i="108"/>
  <c r="X76" i="108"/>
  <c r="N76" i="108"/>
  <c r="L76" i="108"/>
  <c r="B76" i="108"/>
  <c r="T75" i="108"/>
  <c r="P75" i="108"/>
  <c r="N75" i="108"/>
  <c r="L75" i="108"/>
  <c r="H75" i="108"/>
  <c r="D75" i="108"/>
  <c r="B75" i="108"/>
  <c r="Z74" i="108"/>
  <c r="X74" i="108"/>
  <c r="N74" i="108"/>
  <c r="L74" i="108"/>
  <c r="B74" i="108"/>
  <c r="Z73" i="108"/>
  <c r="X73" i="108"/>
  <c r="N73" i="108"/>
  <c r="L73" i="108"/>
  <c r="B73" i="108"/>
  <c r="Z72" i="108"/>
  <c r="X72" i="108"/>
  <c r="N72" i="108"/>
  <c r="L72" i="108"/>
  <c r="B72" i="108"/>
  <c r="X71" i="108"/>
  <c r="Z71" i="108" s="1"/>
  <c r="L71" i="108"/>
  <c r="N71" i="108" s="1"/>
  <c r="B71" i="108"/>
  <c r="Z70" i="108"/>
  <c r="X70" i="108"/>
  <c r="L70" i="108"/>
  <c r="N70" i="108" s="1"/>
  <c r="B70" i="108"/>
  <c r="Z69" i="108"/>
  <c r="X69" i="108"/>
  <c r="L69" i="108"/>
  <c r="N69" i="108" s="1"/>
  <c r="B69" i="108"/>
  <c r="Z68" i="108"/>
  <c r="X68" i="108"/>
  <c r="N68" i="108"/>
  <c r="L68" i="108"/>
  <c r="B68" i="108"/>
  <c r="T67" i="108"/>
  <c r="Z67" i="108" s="1"/>
  <c r="P67" i="108"/>
  <c r="X67" i="108" s="1"/>
  <c r="H67" i="108"/>
  <c r="D67" i="108"/>
  <c r="B67" i="108"/>
  <c r="X66" i="108"/>
  <c r="Z66" i="108" s="1"/>
  <c r="L66" i="108"/>
  <c r="N66" i="108" s="1"/>
  <c r="B66" i="108"/>
  <c r="X65" i="108"/>
  <c r="Z65" i="108" s="1"/>
  <c r="N65" i="108"/>
  <c r="L65" i="108"/>
  <c r="B65" i="108"/>
  <c r="Z64" i="108"/>
  <c r="X64" i="108"/>
  <c r="N64" i="108"/>
  <c r="L64" i="108"/>
  <c r="B64" i="108"/>
  <c r="T63" i="108"/>
  <c r="P63" i="108"/>
  <c r="X63" i="108" s="1"/>
  <c r="L63" i="108"/>
  <c r="N63" i="108" s="1"/>
  <c r="H63" i="108"/>
  <c r="D63" i="108"/>
  <c r="B63" i="108"/>
  <c r="X62" i="108"/>
  <c r="Z62" i="108" s="1"/>
  <c r="N62" i="108"/>
  <c r="L62" i="108"/>
  <c r="B62" i="108"/>
  <c r="Z61" i="108"/>
  <c r="X61" i="108"/>
  <c r="N61" i="108"/>
  <c r="L61" i="108"/>
  <c r="B61" i="108"/>
  <c r="Z60" i="108"/>
  <c r="X60" i="108"/>
  <c r="N60" i="108"/>
  <c r="L60" i="108"/>
  <c r="B60" i="108"/>
  <c r="X59" i="108"/>
  <c r="T59" i="108"/>
  <c r="P59" i="108"/>
  <c r="N59" i="108"/>
  <c r="L59" i="108"/>
  <c r="H59" i="108"/>
  <c r="D59" i="108"/>
  <c r="B59" i="108"/>
  <c r="Z58" i="108"/>
  <c r="X58" i="108"/>
  <c r="V58" i="108"/>
  <c r="L58" i="108"/>
  <c r="N58" i="108" s="1"/>
  <c r="B58" i="108"/>
  <c r="T57" i="108"/>
  <c r="P57" i="108"/>
  <c r="H57" i="108"/>
  <c r="N57" i="108" s="1"/>
  <c r="D57" i="108"/>
  <c r="L57" i="108" s="1"/>
  <c r="B57" i="108"/>
  <c r="Z56" i="108"/>
  <c r="X56" i="108"/>
  <c r="N56" i="108"/>
  <c r="L56" i="108"/>
  <c r="B56" i="108"/>
  <c r="T55" i="108"/>
  <c r="Z55" i="108" s="1"/>
  <c r="P55" i="108"/>
  <c r="X55" i="108" s="1"/>
  <c r="L55" i="108"/>
  <c r="N55" i="108" s="1"/>
  <c r="H55" i="108"/>
  <c r="D55" i="108"/>
  <c r="B55" i="108"/>
  <c r="X54" i="108"/>
  <c r="Z54" i="108" s="1"/>
  <c r="N54" i="108"/>
  <c r="L54" i="108"/>
  <c r="B54" i="108"/>
  <c r="Z53" i="108"/>
  <c r="X53" i="108"/>
  <c r="T53" i="108"/>
  <c r="P53" i="108"/>
  <c r="L53" i="108"/>
  <c r="H53" i="108"/>
  <c r="N53" i="108" s="1"/>
  <c r="D53" i="108"/>
  <c r="B53" i="108"/>
  <c r="Z52" i="108"/>
  <c r="X52" i="108"/>
  <c r="N52" i="108"/>
  <c r="L52" i="108"/>
  <c r="B52" i="108"/>
  <c r="T51" i="108"/>
  <c r="Z51" i="108" s="1"/>
  <c r="P51" i="108"/>
  <c r="X51" i="108" s="1"/>
  <c r="N51" i="108"/>
  <c r="H51" i="108"/>
  <c r="D51" i="108"/>
  <c r="L51" i="108" s="1"/>
  <c r="B51" i="108"/>
  <c r="X50" i="108"/>
  <c r="Z50" i="108" s="1"/>
  <c r="L50" i="108"/>
  <c r="N50" i="108" s="1"/>
  <c r="B50" i="108"/>
  <c r="X49" i="108"/>
  <c r="Z49" i="108" s="1"/>
  <c r="T49" i="108"/>
  <c r="P49" i="108"/>
  <c r="H49" i="108"/>
  <c r="N49" i="108" s="1"/>
  <c r="D49" i="108"/>
  <c r="L49" i="108" s="1"/>
  <c r="B49" i="108"/>
  <c r="Z48" i="108"/>
  <c r="X48" i="108"/>
  <c r="N48" i="108"/>
  <c r="L48" i="108"/>
  <c r="B48" i="108"/>
  <c r="X47" i="108"/>
  <c r="T47" i="108"/>
  <c r="P47" i="108"/>
  <c r="N47" i="108"/>
  <c r="L47" i="108"/>
  <c r="H47" i="108"/>
  <c r="D47" i="108"/>
  <c r="B47" i="108"/>
  <c r="Z46" i="108"/>
  <c r="X46" i="108"/>
  <c r="L46" i="108"/>
  <c r="N46" i="108" s="1"/>
  <c r="B46" i="108"/>
  <c r="T45" i="108"/>
  <c r="P45" i="108"/>
  <c r="X45" i="108" s="1"/>
  <c r="Z45" i="108" s="1"/>
  <c r="H45" i="108"/>
  <c r="D45" i="108"/>
  <c r="L45" i="108" s="1"/>
  <c r="B45" i="108"/>
  <c r="Z44" i="108"/>
  <c r="X44" i="108"/>
  <c r="N44" i="108"/>
  <c r="L44" i="108"/>
  <c r="B44" i="108"/>
  <c r="V43" i="108"/>
  <c r="T43" i="108"/>
  <c r="Z43" i="108" s="1"/>
  <c r="P43" i="108"/>
  <c r="X43" i="108" s="1"/>
  <c r="N43" i="108"/>
  <c r="L43" i="108"/>
  <c r="H43" i="108"/>
  <c r="D43" i="108"/>
  <c r="B43" i="108"/>
  <c r="X42" i="108"/>
  <c r="Z42" i="108" s="1"/>
  <c r="N42" i="108"/>
  <c r="L42" i="108"/>
  <c r="B42" i="108"/>
  <c r="X41" i="108"/>
  <c r="Z41" i="108" s="1"/>
  <c r="T41" i="108"/>
  <c r="P41" i="108"/>
  <c r="L41" i="108"/>
  <c r="H41" i="108"/>
  <c r="D41" i="108"/>
  <c r="B41" i="108"/>
  <c r="Z40" i="108"/>
  <c r="X40" i="108"/>
  <c r="N40" i="108"/>
  <c r="L40" i="108"/>
  <c r="B40" i="108"/>
  <c r="X39" i="108"/>
  <c r="Z39" i="108" s="1"/>
  <c r="L39" i="108"/>
  <c r="N39" i="108" s="1"/>
  <c r="B39" i="108"/>
  <c r="Z38" i="108"/>
  <c r="X38" i="108"/>
  <c r="N38" i="108"/>
  <c r="L38" i="108"/>
  <c r="B38" i="108"/>
  <c r="Z37" i="108"/>
  <c r="X37" i="108"/>
  <c r="N37" i="108"/>
  <c r="L37" i="108"/>
  <c r="B37" i="108"/>
  <c r="Z36" i="108"/>
  <c r="X36" i="108"/>
  <c r="N36" i="108"/>
  <c r="L36" i="108"/>
  <c r="B36" i="108"/>
  <c r="X35" i="108"/>
  <c r="Z35" i="108" s="1"/>
  <c r="L35" i="108"/>
  <c r="N35" i="108" s="1"/>
  <c r="B35" i="108"/>
  <c r="X34" i="108"/>
  <c r="Z34" i="108" s="1"/>
  <c r="T34" i="108"/>
  <c r="P34" i="108"/>
  <c r="H34" i="108"/>
  <c r="D34" i="108"/>
  <c r="L34" i="108" s="1"/>
  <c r="N34" i="108" s="1"/>
  <c r="B34" i="108"/>
  <c r="X33" i="108"/>
  <c r="Z33" i="108" s="1"/>
  <c r="N33" i="108"/>
  <c r="L33" i="108"/>
  <c r="B33" i="108"/>
  <c r="Z32" i="108"/>
  <c r="X32" i="108"/>
  <c r="N32" i="108"/>
  <c r="L32" i="108"/>
  <c r="B32" i="108"/>
  <c r="X31" i="108"/>
  <c r="Z31" i="108" s="1"/>
  <c r="L31" i="108"/>
  <c r="N31" i="108" s="1"/>
  <c r="B31" i="108"/>
  <c r="X30" i="108"/>
  <c r="Z30" i="108" s="1"/>
  <c r="L30" i="108"/>
  <c r="N30" i="108" s="1"/>
  <c r="B30" i="108"/>
  <c r="Z29" i="108"/>
  <c r="X29" i="108"/>
  <c r="N29" i="108"/>
  <c r="L29" i="108"/>
  <c r="B29" i="108"/>
  <c r="Z28" i="108"/>
  <c r="X28" i="108"/>
  <c r="N28" i="108"/>
  <c r="L28" i="108"/>
  <c r="B28" i="108"/>
  <c r="X27" i="108"/>
  <c r="Z27" i="108" s="1"/>
  <c r="L27" i="108"/>
  <c r="N27" i="108" s="1"/>
  <c r="B27" i="108"/>
  <c r="X26" i="108"/>
  <c r="Z26" i="108" s="1"/>
  <c r="L26" i="108"/>
  <c r="N26" i="108" s="1"/>
  <c r="B26" i="108"/>
  <c r="X25" i="108"/>
  <c r="Z25" i="108" s="1"/>
  <c r="N25" i="108"/>
  <c r="L25" i="108"/>
  <c r="B25" i="108"/>
  <c r="T24" i="108"/>
  <c r="P24" i="108"/>
  <c r="X24" i="108" s="1"/>
  <c r="L24" i="108"/>
  <c r="N24" i="108" s="1"/>
  <c r="H24" i="108"/>
  <c r="D24" i="108"/>
  <c r="B24" i="108"/>
  <c r="X23" i="108"/>
  <c r="T23" i="108"/>
  <c r="P23" i="108"/>
  <c r="H23" i="108"/>
  <c r="D23" i="108"/>
  <c r="X19" i="108"/>
  <c r="Z19" i="108" s="1"/>
  <c r="L19" i="108"/>
  <c r="N19" i="108" s="1"/>
  <c r="B19" i="108"/>
  <c r="X18" i="108"/>
  <c r="Z18" i="108" s="1"/>
  <c r="N18" i="108"/>
  <c r="L18" i="108"/>
  <c r="B18" i="108"/>
  <c r="Z17" i="108"/>
  <c r="X17" i="108"/>
  <c r="T17" i="108"/>
  <c r="P17" i="108"/>
  <c r="H17" i="108"/>
  <c r="D17" i="108"/>
  <c r="L17" i="108" s="1"/>
  <c r="T15" i="108"/>
  <c r="P15" i="108"/>
  <c r="X15" i="108" s="1"/>
  <c r="Z15" i="108" s="1"/>
  <c r="L15" i="108"/>
  <c r="H15" i="108"/>
  <c r="N15" i="108" s="1"/>
  <c r="D15" i="108"/>
  <c r="B15" i="108"/>
  <c r="T14" i="108"/>
  <c r="P14" i="108"/>
  <c r="H14" i="108"/>
  <c r="D14" i="108"/>
  <c r="B14" i="108"/>
  <c r="T13" i="108"/>
  <c r="T12" i="108" s="1"/>
  <c r="P13" i="108"/>
  <c r="H13" i="108"/>
  <c r="D13" i="108"/>
  <c r="B13" i="108"/>
  <c r="D6" i="108"/>
  <c r="D4" i="108"/>
  <c r="V31" i="107"/>
  <c r="V28" i="107"/>
  <c r="Z26" i="107"/>
  <c r="X26" i="107"/>
  <c r="V26" i="107"/>
  <c r="R26" i="107"/>
  <c r="N26" i="107"/>
  <c r="L26" i="107"/>
  <c r="F26" i="107"/>
  <c r="R24" i="107"/>
  <c r="T22" i="107"/>
  <c r="R22" i="107"/>
  <c r="P22" i="107"/>
  <c r="N22" i="107"/>
  <c r="H22" i="107"/>
  <c r="D22" i="107"/>
  <c r="L22" i="107" s="1"/>
  <c r="X20" i="107"/>
  <c r="Z20" i="107" s="1"/>
  <c r="R20" i="107"/>
  <c r="N20" i="107"/>
  <c r="L20" i="107"/>
  <c r="F20" i="107"/>
  <c r="B20" i="107"/>
  <c r="V19" i="107"/>
  <c r="T19" i="107"/>
  <c r="P19" i="107"/>
  <c r="X19" i="107" s="1"/>
  <c r="Z19" i="107" s="1"/>
  <c r="N19" i="107"/>
  <c r="L19" i="107"/>
  <c r="H19" i="107"/>
  <c r="F19" i="107"/>
  <c r="D19" i="107"/>
  <c r="B19" i="107"/>
  <c r="T18" i="107"/>
  <c r="P18" i="107"/>
  <c r="X18" i="107" s="1"/>
  <c r="N18" i="107"/>
  <c r="H18" i="107"/>
  <c r="D18" i="107"/>
  <c r="L18" i="107" s="1"/>
  <c r="T14" i="107"/>
  <c r="Z14" i="107" s="1"/>
  <c r="P14" i="107"/>
  <c r="N14" i="107"/>
  <c r="H14" i="107"/>
  <c r="D14" i="107"/>
  <c r="D16" i="107" s="1"/>
  <c r="Z12" i="107"/>
  <c r="X12" i="107"/>
  <c r="T12" i="107"/>
  <c r="V18" i="107" s="1"/>
  <c r="P12" i="107"/>
  <c r="R31" i="107" s="1"/>
  <c r="L12" i="107"/>
  <c r="H12" i="107"/>
  <c r="D12" i="107"/>
  <c r="F18" i="107" s="1"/>
  <c r="D6" i="107"/>
  <c r="D4" i="107"/>
  <c r="X87" i="106"/>
  <c r="Z87" i="106" s="1"/>
  <c r="L87" i="106"/>
  <c r="N87" i="106" s="1"/>
  <c r="Z83" i="106"/>
  <c r="T83" i="106"/>
  <c r="P83" i="106"/>
  <c r="X83" i="106" s="1"/>
  <c r="H83" i="106"/>
  <c r="N83" i="106" s="1"/>
  <c r="D83" i="106"/>
  <c r="L83" i="106" s="1"/>
  <c r="Z81" i="106"/>
  <c r="X81" i="106"/>
  <c r="N81" i="106"/>
  <c r="L81" i="106"/>
  <c r="B81" i="106"/>
  <c r="T80" i="106"/>
  <c r="Z80" i="106" s="1"/>
  <c r="P80" i="106"/>
  <c r="X80" i="106" s="1"/>
  <c r="N80" i="106"/>
  <c r="H80" i="106"/>
  <c r="D80" i="106"/>
  <c r="L80" i="106" s="1"/>
  <c r="B80" i="106"/>
  <c r="X79" i="106"/>
  <c r="Z79" i="106" s="1"/>
  <c r="N79" i="106"/>
  <c r="L79" i="106"/>
  <c r="B79" i="106"/>
  <c r="T78" i="106"/>
  <c r="P78" i="106"/>
  <c r="X78" i="106" s="1"/>
  <c r="Z78" i="106" s="1"/>
  <c r="N78" i="106"/>
  <c r="L78" i="106"/>
  <c r="H78" i="106"/>
  <c r="D78" i="106"/>
  <c r="B78" i="106"/>
  <c r="X77" i="106"/>
  <c r="Z77" i="106" s="1"/>
  <c r="N77" i="106"/>
  <c r="L77" i="106"/>
  <c r="B77" i="106"/>
  <c r="T76" i="106"/>
  <c r="X76" i="106" s="1"/>
  <c r="Z76" i="106" s="1"/>
  <c r="P76" i="106"/>
  <c r="L76" i="106"/>
  <c r="N76" i="106" s="1"/>
  <c r="H76" i="106"/>
  <c r="D76" i="106"/>
  <c r="B76" i="106"/>
  <c r="X75" i="106"/>
  <c r="Z75" i="106" s="1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Z72" i="106"/>
  <c r="X72" i="106"/>
  <c r="L72" i="106"/>
  <c r="N72" i="106" s="1"/>
  <c r="B72" i="106"/>
  <c r="X71" i="106"/>
  <c r="Z71" i="106" s="1"/>
  <c r="L71" i="106"/>
  <c r="N71" i="106" s="1"/>
  <c r="B71" i="106"/>
  <c r="Z70" i="106"/>
  <c r="X70" i="106"/>
  <c r="N70" i="106"/>
  <c r="L70" i="106"/>
  <c r="B70" i="106"/>
  <c r="Z69" i="106"/>
  <c r="X69" i="106"/>
  <c r="L69" i="106"/>
  <c r="N69" i="106" s="1"/>
  <c r="B69" i="106"/>
  <c r="Z68" i="106"/>
  <c r="X68" i="106"/>
  <c r="N68" i="106"/>
  <c r="L68" i="106"/>
  <c r="B68" i="106"/>
  <c r="T67" i="106"/>
  <c r="P67" i="106"/>
  <c r="X67" i="106" s="1"/>
  <c r="H67" i="106"/>
  <c r="D67" i="106"/>
  <c r="L67" i="106" s="1"/>
  <c r="N67" i="106" s="1"/>
  <c r="B67" i="106"/>
  <c r="Z66" i="106"/>
  <c r="X66" i="106"/>
  <c r="N66" i="106"/>
  <c r="L66" i="106"/>
  <c r="B66" i="106"/>
  <c r="X65" i="106"/>
  <c r="Z65" i="106" s="1"/>
  <c r="L65" i="106"/>
  <c r="N65" i="106" s="1"/>
  <c r="B65" i="106"/>
  <c r="X64" i="106"/>
  <c r="Z64" i="106" s="1"/>
  <c r="N64" i="106"/>
  <c r="L64" i="106"/>
  <c r="B64" i="106"/>
  <c r="X63" i="106"/>
  <c r="T63" i="106"/>
  <c r="Z63" i="106" s="1"/>
  <c r="P63" i="106"/>
  <c r="L63" i="106"/>
  <c r="H63" i="106"/>
  <c r="N63" i="106" s="1"/>
  <c r="D63" i="106"/>
  <c r="B63" i="106"/>
  <c r="Z62" i="106"/>
  <c r="X62" i="106"/>
  <c r="N62" i="106"/>
  <c r="L62" i="106"/>
  <c r="B62" i="106"/>
  <c r="X61" i="106"/>
  <c r="Z61" i="106" s="1"/>
  <c r="N61" i="106"/>
  <c r="L61" i="106"/>
  <c r="B61" i="106"/>
  <c r="Z60" i="106"/>
  <c r="X60" i="106"/>
  <c r="N60" i="106"/>
  <c r="L60" i="106"/>
  <c r="B60" i="106"/>
  <c r="T59" i="106"/>
  <c r="Z59" i="106" s="1"/>
  <c r="P59" i="106"/>
  <c r="X59" i="106" s="1"/>
  <c r="H59" i="106"/>
  <c r="D59" i="106"/>
  <c r="B59" i="106"/>
  <c r="Z58" i="106"/>
  <c r="X58" i="106"/>
  <c r="N58" i="106"/>
  <c r="L58" i="106"/>
  <c r="B58" i="106"/>
  <c r="T57" i="106"/>
  <c r="P57" i="106"/>
  <c r="X57" i="106" s="1"/>
  <c r="Z57" i="106" s="1"/>
  <c r="H57" i="106"/>
  <c r="N57" i="106" s="1"/>
  <c r="D57" i="106"/>
  <c r="L57" i="106" s="1"/>
  <c r="B57" i="106"/>
  <c r="X56" i="106"/>
  <c r="Z56" i="106" s="1"/>
  <c r="N56" i="106"/>
  <c r="L56" i="106"/>
  <c r="B56" i="106"/>
  <c r="X55" i="106"/>
  <c r="Z55" i="106" s="1"/>
  <c r="T55" i="106"/>
  <c r="P55" i="106"/>
  <c r="L55" i="106"/>
  <c r="H55" i="106"/>
  <c r="N55" i="106" s="1"/>
  <c r="D55" i="106"/>
  <c r="B55" i="106"/>
  <c r="Z54" i="106"/>
  <c r="X54" i="106"/>
  <c r="N54" i="106"/>
  <c r="L54" i="106"/>
  <c r="B54" i="106"/>
  <c r="T53" i="106"/>
  <c r="P53" i="106"/>
  <c r="H53" i="106"/>
  <c r="D53" i="106"/>
  <c r="L53" i="106" s="1"/>
  <c r="B53" i="106"/>
  <c r="Z52" i="106"/>
  <c r="X52" i="106"/>
  <c r="L52" i="106"/>
  <c r="N52" i="106" s="1"/>
  <c r="B52" i="106"/>
  <c r="T51" i="106"/>
  <c r="Z51" i="106" s="1"/>
  <c r="P51" i="106"/>
  <c r="X51" i="106" s="1"/>
  <c r="H51" i="106"/>
  <c r="D51" i="106"/>
  <c r="L51" i="106" s="1"/>
  <c r="N51" i="106" s="1"/>
  <c r="B51" i="106"/>
  <c r="Z50" i="106"/>
  <c r="X50" i="106"/>
  <c r="N50" i="106"/>
  <c r="L50" i="106"/>
  <c r="B50" i="106"/>
  <c r="X49" i="106"/>
  <c r="T49" i="106"/>
  <c r="P49" i="106"/>
  <c r="L49" i="106"/>
  <c r="H49" i="106"/>
  <c r="N49" i="106" s="1"/>
  <c r="D49" i="106"/>
  <c r="B49" i="106"/>
  <c r="Z48" i="106"/>
  <c r="X48" i="106"/>
  <c r="N48" i="106"/>
  <c r="L48" i="106"/>
  <c r="B48" i="106"/>
  <c r="T47" i="106"/>
  <c r="P47" i="106"/>
  <c r="H47" i="106"/>
  <c r="D47" i="106"/>
  <c r="B47" i="106"/>
  <c r="Z46" i="106"/>
  <c r="X46" i="106"/>
  <c r="N46" i="106"/>
  <c r="L46" i="106"/>
  <c r="B46" i="106"/>
  <c r="T45" i="106"/>
  <c r="P45" i="106"/>
  <c r="X45" i="106" s="1"/>
  <c r="Z45" i="106" s="1"/>
  <c r="H45" i="106"/>
  <c r="D45" i="106"/>
  <c r="L45" i="106" s="1"/>
  <c r="B45" i="106"/>
  <c r="X44" i="106"/>
  <c r="Z44" i="106" s="1"/>
  <c r="N44" i="106"/>
  <c r="L44" i="106"/>
  <c r="B44" i="106"/>
  <c r="X43" i="106"/>
  <c r="T43" i="106"/>
  <c r="Z43" i="106" s="1"/>
  <c r="P43" i="106"/>
  <c r="L43" i="106"/>
  <c r="H43" i="106"/>
  <c r="N43" i="106" s="1"/>
  <c r="D43" i="106"/>
  <c r="B43" i="106"/>
  <c r="Z42" i="106"/>
  <c r="X42" i="106"/>
  <c r="N42" i="106"/>
  <c r="L42" i="106"/>
  <c r="B42" i="106"/>
  <c r="T41" i="106"/>
  <c r="P41" i="106"/>
  <c r="H41" i="106"/>
  <c r="D41" i="106"/>
  <c r="B41" i="106"/>
  <c r="Z40" i="106"/>
  <c r="X40" i="106"/>
  <c r="L40" i="106"/>
  <c r="N40" i="106" s="1"/>
  <c r="B40" i="106"/>
  <c r="X39" i="106"/>
  <c r="Z39" i="106" s="1"/>
  <c r="L39" i="106"/>
  <c r="N39" i="106" s="1"/>
  <c r="B39" i="106"/>
  <c r="Z38" i="106"/>
  <c r="X38" i="106"/>
  <c r="N38" i="106"/>
  <c r="L38" i="106"/>
  <c r="B38" i="106"/>
  <c r="Z37" i="106"/>
  <c r="X37" i="106"/>
  <c r="L37" i="106"/>
  <c r="N37" i="106" s="1"/>
  <c r="B37" i="106"/>
  <c r="Z36" i="106"/>
  <c r="X36" i="106"/>
  <c r="L36" i="106"/>
  <c r="N36" i="106" s="1"/>
  <c r="B36" i="106"/>
  <c r="X35" i="106"/>
  <c r="Z35" i="106" s="1"/>
  <c r="L35" i="106"/>
  <c r="N35" i="106" s="1"/>
  <c r="B35" i="106"/>
  <c r="T34" i="106"/>
  <c r="P34" i="106"/>
  <c r="X34" i="106" s="1"/>
  <c r="Z34" i="106" s="1"/>
  <c r="H34" i="106"/>
  <c r="D34" i="106"/>
  <c r="B34" i="106"/>
  <c r="X33" i="106"/>
  <c r="Z33" i="106" s="1"/>
  <c r="L33" i="106"/>
  <c r="N33" i="106" s="1"/>
  <c r="B33" i="106"/>
  <c r="X32" i="106"/>
  <c r="Z32" i="106" s="1"/>
  <c r="N32" i="106"/>
  <c r="L32" i="106"/>
  <c r="B32" i="106"/>
  <c r="X31" i="106"/>
  <c r="Z31" i="106" s="1"/>
  <c r="N31" i="106"/>
  <c r="L31" i="106"/>
  <c r="B31" i="106"/>
  <c r="Z30" i="106"/>
  <c r="X30" i="106"/>
  <c r="L30" i="106"/>
  <c r="N30" i="106" s="1"/>
  <c r="B30" i="106"/>
  <c r="X29" i="106"/>
  <c r="Z29" i="106" s="1"/>
  <c r="L29" i="106"/>
  <c r="N29" i="106" s="1"/>
  <c r="B29" i="106"/>
  <c r="X28" i="106"/>
  <c r="Z28" i="106" s="1"/>
  <c r="N28" i="106"/>
  <c r="L28" i="106"/>
  <c r="B28" i="106"/>
  <c r="X27" i="106"/>
  <c r="Z27" i="106" s="1"/>
  <c r="N27" i="106"/>
  <c r="L27" i="106"/>
  <c r="B27" i="106"/>
  <c r="Z26" i="106"/>
  <c r="X26" i="106"/>
  <c r="N26" i="106"/>
  <c r="L26" i="106"/>
  <c r="B26" i="106"/>
  <c r="X25" i="106"/>
  <c r="Z25" i="106" s="1"/>
  <c r="L25" i="106"/>
  <c r="N25" i="106" s="1"/>
  <c r="B25" i="106"/>
  <c r="X24" i="106"/>
  <c r="Z24" i="106" s="1"/>
  <c r="T24" i="106"/>
  <c r="P24" i="106"/>
  <c r="N24" i="106"/>
  <c r="H24" i="106"/>
  <c r="D24" i="106"/>
  <c r="L24" i="106" s="1"/>
  <c r="B24" i="106"/>
  <c r="T23" i="106"/>
  <c r="P23" i="106"/>
  <c r="H23" i="106"/>
  <c r="D23" i="106"/>
  <c r="Z19" i="106"/>
  <c r="X19" i="106"/>
  <c r="L19" i="106"/>
  <c r="N19" i="106" s="1"/>
  <c r="B19" i="106"/>
  <c r="Z18" i="106"/>
  <c r="X18" i="106"/>
  <c r="N18" i="106"/>
  <c r="L18" i="106"/>
  <c r="J18" i="106"/>
  <c r="B18" i="106"/>
  <c r="T17" i="106"/>
  <c r="P17" i="106"/>
  <c r="H17" i="106"/>
  <c r="D17" i="106"/>
  <c r="L17" i="106" s="1"/>
  <c r="N17" i="106" s="1"/>
  <c r="T15" i="106"/>
  <c r="P15" i="106"/>
  <c r="X15" i="106" s="1"/>
  <c r="N15" i="106"/>
  <c r="H15" i="106"/>
  <c r="L15" i="106" s="1"/>
  <c r="D15" i="106"/>
  <c r="B15" i="106"/>
  <c r="T14" i="106"/>
  <c r="P14" i="106"/>
  <c r="H14" i="106"/>
  <c r="H12" i="106" s="1"/>
  <c r="D14" i="106"/>
  <c r="B14" i="106"/>
  <c r="T13" i="106"/>
  <c r="P13" i="106"/>
  <c r="X13" i="106" s="1"/>
  <c r="Z13" i="106" s="1"/>
  <c r="L13" i="106"/>
  <c r="N13" i="106" s="1"/>
  <c r="H13" i="106"/>
  <c r="D13" i="106"/>
  <c r="B13" i="106"/>
  <c r="D6" i="106"/>
  <c r="D4" i="106"/>
  <c r="Z56" i="105"/>
  <c r="X56" i="105"/>
  <c r="L56" i="105"/>
  <c r="N56" i="105" s="1"/>
  <c r="Z52" i="105"/>
  <c r="T52" i="105"/>
  <c r="P52" i="105"/>
  <c r="X52" i="105" s="1"/>
  <c r="N52" i="105"/>
  <c r="L52" i="105"/>
  <c r="H52" i="105"/>
  <c r="D52" i="105"/>
  <c r="Z50" i="105"/>
  <c r="X50" i="105"/>
  <c r="N50" i="105"/>
  <c r="L50" i="105"/>
  <c r="B50" i="105"/>
  <c r="T49" i="105"/>
  <c r="P49" i="105"/>
  <c r="H49" i="105"/>
  <c r="D49" i="105"/>
  <c r="L49" i="105" s="1"/>
  <c r="B49" i="105"/>
  <c r="Z48" i="105"/>
  <c r="X48" i="105"/>
  <c r="N48" i="105"/>
  <c r="L48" i="105"/>
  <c r="B48" i="105"/>
  <c r="Z47" i="105"/>
  <c r="X47" i="105"/>
  <c r="L47" i="105"/>
  <c r="N47" i="105" s="1"/>
  <c r="B47" i="105"/>
  <c r="Z46" i="105"/>
  <c r="X46" i="105"/>
  <c r="N46" i="105"/>
  <c r="L46" i="105"/>
  <c r="B46" i="105"/>
  <c r="X45" i="105"/>
  <c r="Z45" i="105" s="1"/>
  <c r="N45" i="105"/>
  <c r="L45" i="105"/>
  <c r="B45" i="105"/>
  <c r="T44" i="105"/>
  <c r="P44" i="105"/>
  <c r="X44" i="105" s="1"/>
  <c r="Z44" i="105" s="1"/>
  <c r="H44" i="105"/>
  <c r="D44" i="105"/>
  <c r="L44" i="105" s="1"/>
  <c r="B44" i="105"/>
  <c r="X43" i="105"/>
  <c r="Z43" i="105" s="1"/>
  <c r="N43" i="105"/>
  <c r="L43" i="105"/>
  <c r="B43" i="105"/>
  <c r="X42" i="105"/>
  <c r="Z42" i="105" s="1"/>
  <c r="T42" i="105"/>
  <c r="P42" i="105"/>
  <c r="H42" i="105"/>
  <c r="D42" i="105"/>
  <c r="L42" i="105" s="1"/>
  <c r="N42" i="105" s="1"/>
  <c r="B42" i="105"/>
  <c r="Z41" i="105"/>
  <c r="X41" i="105"/>
  <c r="L41" i="105"/>
  <c r="N41" i="105" s="1"/>
  <c r="B41" i="105"/>
  <c r="X40" i="105"/>
  <c r="T40" i="105"/>
  <c r="P40" i="105"/>
  <c r="N40" i="105"/>
  <c r="H40" i="105"/>
  <c r="D40" i="105"/>
  <c r="L40" i="105" s="1"/>
  <c r="B40" i="105"/>
  <c r="Z39" i="105"/>
  <c r="X39" i="105"/>
  <c r="N39" i="105"/>
  <c r="L39" i="105"/>
  <c r="B39" i="105"/>
  <c r="T38" i="105"/>
  <c r="Z38" i="105" s="1"/>
  <c r="P38" i="105"/>
  <c r="X38" i="105" s="1"/>
  <c r="N38" i="105"/>
  <c r="H38" i="105"/>
  <c r="D38" i="105"/>
  <c r="L38" i="105" s="1"/>
  <c r="B38" i="105"/>
  <c r="X37" i="105"/>
  <c r="Z37" i="105" s="1"/>
  <c r="N37" i="105"/>
  <c r="L37" i="105"/>
  <c r="B37" i="105"/>
  <c r="T36" i="105"/>
  <c r="P36" i="105"/>
  <c r="X36" i="105" s="1"/>
  <c r="Z36" i="105" s="1"/>
  <c r="L36" i="105"/>
  <c r="N36" i="105" s="1"/>
  <c r="H36" i="105"/>
  <c r="D36" i="105"/>
  <c r="B36" i="105"/>
  <c r="Z35" i="105"/>
  <c r="X35" i="105"/>
  <c r="L35" i="105"/>
  <c r="N35" i="105" s="1"/>
  <c r="B35" i="105"/>
  <c r="Z34" i="105"/>
  <c r="T34" i="105"/>
  <c r="X34" i="105" s="1"/>
  <c r="P34" i="105"/>
  <c r="L34" i="105"/>
  <c r="H34" i="105"/>
  <c r="N34" i="105" s="1"/>
  <c r="D34" i="105"/>
  <c r="B34" i="105"/>
  <c r="X33" i="105"/>
  <c r="Z33" i="105" s="1"/>
  <c r="N33" i="105"/>
  <c r="L33" i="105"/>
  <c r="B33" i="105"/>
  <c r="V32" i="105"/>
  <c r="T32" i="105"/>
  <c r="R32" i="105"/>
  <c r="P32" i="105"/>
  <c r="X32" i="105" s="1"/>
  <c r="Z32" i="105" s="1"/>
  <c r="H32" i="105"/>
  <c r="N32" i="105" s="1"/>
  <c r="D32" i="105"/>
  <c r="L32" i="105" s="1"/>
  <c r="B32" i="105"/>
  <c r="X31" i="105"/>
  <c r="Z31" i="105" s="1"/>
  <c r="N31" i="105"/>
  <c r="L31" i="105"/>
  <c r="B31" i="105"/>
  <c r="Z30" i="105"/>
  <c r="X30" i="105"/>
  <c r="N30" i="105"/>
  <c r="L30" i="105"/>
  <c r="B30" i="105"/>
  <c r="X29" i="105"/>
  <c r="Z29" i="105" s="1"/>
  <c r="R29" i="105"/>
  <c r="L29" i="105"/>
  <c r="N29" i="105" s="1"/>
  <c r="B29" i="105"/>
  <c r="X28" i="105"/>
  <c r="T28" i="105"/>
  <c r="Z28" i="105" s="1"/>
  <c r="R28" i="105"/>
  <c r="P28" i="105"/>
  <c r="N28" i="105"/>
  <c r="H28" i="105"/>
  <c r="D28" i="105"/>
  <c r="L28" i="105" s="1"/>
  <c r="B28" i="105"/>
  <c r="Z27" i="105"/>
  <c r="X27" i="105"/>
  <c r="L27" i="105"/>
  <c r="N27" i="105" s="1"/>
  <c r="B27" i="105"/>
  <c r="X26" i="105"/>
  <c r="Z26" i="105" s="1"/>
  <c r="N26" i="105"/>
  <c r="L26" i="105"/>
  <c r="B26" i="105"/>
  <c r="X25" i="105"/>
  <c r="Z25" i="105" s="1"/>
  <c r="N25" i="105"/>
  <c r="L25" i="105"/>
  <c r="B25" i="105"/>
  <c r="V24" i="105"/>
  <c r="T24" i="105"/>
  <c r="R24" i="105"/>
  <c r="P24" i="105"/>
  <c r="X24" i="105" s="1"/>
  <c r="Z24" i="105" s="1"/>
  <c r="L24" i="105"/>
  <c r="H24" i="105"/>
  <c r="N24" i="105" s="1"/>
  <c r="D24" i="105"/>
  <c r="B24" i="105"/>
  <c r="X23" i="105"/>
  <c r="T23" i="105"/>
  <c r="P23" i="105"/>
  <c r="H23" i="105"/>
  <c r="D23" i="105"/>
  <c r="L23" i="105" s="1"/>
  <c r="N23" i="105" s="1"/>
  <c r="X19" i="105"/>
  <c r="Z19" i="105" s="1"/>
  <c r="L19" i="105"/>
  <c r="N19" i="105" s="1"/>
  <c r="B19" i="105"/>
  <c r="Z18" i="105"/>
  <c r="X18" i="105"/>
  <c r="N18" i="105"/>
  <c r="L18" i="105"/>
  <c r="J18" i="105"/>
  <c r="B18" i="105"/>
  <c r="T17" i="105"/>
  <c r="P17" i="105"/>
  <c r="X17" i="105" s="1"/>
  <c r="Z17" i="105" s="1"/>
  <c r="H17" i="105"/>
  <c r="D17" i="105"/>
  <c r="T15" i="105"/>
  <c r="P15" i="105"/>
  <c r="X15" i="105" s="1"/>
  <c r="Z15" i="105" s="1"/>
  <c r="H15" i="105"/>
  <c r="D15" i="105"/>
  <c r="L15" i="105" s="1"/>
  <c r="N15" i="105" s="1"/>
  <c r="B15" i="105"/>
  <c r="Z14" i="105"/>
  <c r="T14" i="105"/>
  <c r="P14" i="105"/>
  <c r="X14" i="105" s="1"/>
  <c r="H14" i="105"/>
  <c r="N14" i="105" s="1"/>
  <c r="D14" i="105"/>
  <c r="B14" i="105"/>
  <c r="X13" i="105"/>
  <c r="T13" i="105"/>
  <c r="P13" i="105"/>
  <c r="P12" i="105" s="1"/>
  <c r="H13" i="105"/>
  <c r="D13" i="105"/>
  <c r="B13" i="105"/>
  <c r="T12" i="105"/>
  <c r="H12" i="105"/>
  <c r="J32" i="105" s="1"/>
  <c r="D6" i="105"/>
  <c r="D4" i="105"/>
  <c r="X86" i="104"/>
  <c r="Z86" i="104" s="1"/>
  <c r="N86" i="104"/>
  <c r="L86" i="104"/>
  <c r="T82" i="104"/>
  <c r="Z82" i="104" s="1"/>
  <c r="P82" i="104"/>
  <c r="N82" i="104"/>
  <c r="H82" i="104"/>
  <c r="D82" i="104"/>
  <c r="L82" i="104" s="1"/>
  <c r="Z80" i="104"/>
  <c r="X80" i="104"/>
  <c r="N80" i="104"/>
  <c r="L80" i="104"/>
  <c r="B80" i="104"/>
  <c r="Z79" i="104"/>
  <c r="X79" i="104"/>
  <c r="N79" i="104"/>
  <c r="L79" i="104"/>
  <c r="B79" i="104"/>
  <c r="T78" i="104"/>
  <c r="P78" i="104"/>
  <c r="X78" i="104" s="1"/>
  <c r="Z78" i="104" s="1"/>
  <c r="N78" i="104"/>
  <c r="H78" i="104"/>
  <c r="D78" i="104"/>
  <c r="B78" i="104"/>
  <c r="X77" i="104"/>
  <c r="Z77" i="104" s="1"/>
  <c r="N77" i="104"/>
  <c r="L77" i="104"/>
  <c r="B77" i="104"/>
  <c r="X76" i="104"/>
  <c r="T76" i="104"/>
  <c r="Z76" i="104" s="1"/>
  <c r="P76" i="104"/>
  <c r="N76" i="104"/>
  <c r="H76" i="104"/>
  <c r="D76" i="104"/>
  <c r="L76" i="104" s="1"/>
  <c r="B76" i="104"/>
  <c r="X75" i="104"/>
  <c r="Z75" i="104" s="1"/>
  <c r="L75" i="104"/>
  <c r="N75" i="104" s="1"/>
  <c r="B75" i="104"/>
  <c r="X74" i="104"/>
  <c r="T74" i="104"/>
  <c r="Z74" i="104" s="1"/>
  <c r="P74" i="104"/>
  <c r="N74" i="104"/>
  <c r="H74" i="104"/>
  <c r="D74" i="104"/>
  <c r="L74" i="104" s="1"/>
  <c r="B74" i="104"/>
  <c r="Z73" i="104"/>
  <c r="X73" i="104"/>
  <c r="N73" i="104"/>
  <c r="L73" i="104"/>
  <c r="F73" i="104"/>
  <c r="B73" i="104"/>
  <c r="Z72" i="104"/>
  <c r="X72" i="104"/>
  <c r="N72" i="104"/>
  <c r="L72" i="104"/>
  <c r="B72" i="104"/>
  <c r="X71" i="104"/>
  <c r="Z71" i="104" s="1"/>
  <c r="N71" i="104"/>
  <c r="L71" i="104"/>
  <c r="J71" i="104"/>
  <c r="B71" i="104"/>
  <c r="Z70" i="104"/>
  <c r="X70" i="104"/>
  <c r="N70" i="104"/>
  <c r="L70" i="104"/>
  <c r="B70" i="104"/>
  <c r="Z69" i="104"/>
  <c r="X69" i="104"/>
  <c r="L69" i="104"/>
  <c r="N69" i="104" s="1"/>
  <c r="F69" i="104"/>
  <c r="B69" i="104"/>
  <c r="Z68" i="104"/>
  <c r="X68" i="104"/>
  <c r="L68" i="104"/>
  <c r="N68" i="104" s="1"/>
  <c r="B68" i="104"/>
  <c r="X67" i="104"/>
  <c r="Z67" i="104" s="1"/>
  <c r="L67" i="104"/>
  <c r="N67" i="104" s="1"/>
  <c r="B67" i="104"/>
  <c r="T66" i="104"/>
  <c r="P66" i="104"/>
  <c r="X66" i="104" s="1"/>
  <c r="Z66" i="104" s="1"/>
  <c r="N66" i="104"/>
  <c r="H66" i="104"/>
  <c r="D66" i="104"/>
  <c r="L66" i="104" s="1"/>
  <c r="B66" i="104"/>
  <c r="X65" i="104"/>
  <c r="Z65" i="104" s="1"/>
  <c r="L65" i="104"/>
  <c r="N65" i="104" s="1"/>
  <c r="B65" i="104"/>
  <c r="X64" i="104"/>
  <c r="Z64" i="104" s="1"/>
  <c r="N64" i="104"/>
  <c r="L64" i="104"/>
  <c r="B64" i="104"/>
  <c r="X63" i="104"/>
  <c r="Z63" i="104" s="1"/>
  <c r="N63" i="104"/>
  <c r="L63" i="104"/>
  <c r="B63" i="104"/>
  <c r="T62" i="104"/>
  <c r="P62" i="104"/>
  <c r="X62" i="104" s="1"/>
  <c r="Z62" i="104" s="1"/>
  <c r="L62" i="104"/>
  <c r="H62" i="104"/>
  <c r="N62" i="104" s="1"/>
  <c r="D62" i="104"/>
  <c r="B62" i="104"/>
  <c r="X61" i="104"/>
  <c r="Z61" i="104" s="1"/>
  <c r="N61" i="104"/>
  <c r="L61" i="104"/>
  <c r="B61" i="104"/>
  <c r="Z60" i="104"/>
  <c r="X60" i="104"/>
  <c r="N60" i="104"/>
  <c r="L60" i="104"/>
  <c r="B60" i="104"/>
  <c r="Z59" i="104"/>
  <c r="X59" i="104"/>
  <c r="N59" i="104"/>
  <c r="L59" i="104"/>
  <c r="F59" i="104"/>
  <c r="B59" i="104"/>
  <c r="X58" i="104"/>
  <c r="T58" i="104"/>
  <c r="Z58" i="104" s="1"/>
  <c r="P58" i="104"/>
  <c r="N58" i="104"/>
  <c r="H58" i="104"/>
  <c r="D58" i="104"/>
  <c r="L58" i="104" s="1"/>
  <c r="B58" i="104"/>
  <c r="Z57" i="104"/>
  <c r="X57" i="104"/>
  <c r="L57" i="104"/>
  <c r="N57" i="104" s="1"/>
  <c r="B57" i="104"/>
  <c r="Z56" i="104"/>
  <c r="T56" i="104"/>
  <c r="P56" i="104"/>
  <c r="X56" i="104" s="1"/>
  <c r="H56" i="104"/>
  <c r="D56" i="104"/>
  <c r="L56" i="104" s="1"/>
  <c r="N56" i="104" s="1"/>
  <c r="B56" i="104"/>
  <c r="X55" i="104"/>
  <c r="Z55" i="104" s="1"/>
  <c r="N55" i="104"/>
  <c r="L55" i="104"/>
  <c r="B55" i="104"/>
  <c r="T54" i="104"/>
  <c r="P54" i="104"/>
  <c r="X54" i="104" s="1"/>
  <c r="Z54" i="104" s="1"/>
  <c r="L54" i="104"/>
  <c r="H54" i="104"/>
  <c r="N54" i="104" s="1"/>
  <c r="F54" i="104"/>
  <c r="D54" i="104"/>
  <c r="B54" i="104"/>
  <c r="X53" i="104"/>
  <c r="Z53" i="104" s="1"/>
  <c r="N53" i="104"/>
  <c r="L53" i="104"/>
  <c r="B53" i="104"/>
  <c r="T52" i="104"/>
  <c r="P52" i="104"/>
  <c r="X52" i="104" s="1"/>
  <c r="Z52" i="104" s="1"/>
  <c r="L52" i="104"/>
  <c r="H52" i="104"/>
  <c r="N52" i="104" s="1"/>
  <c r="D52" i="104"/>
  <c r="B52" i="104"/>
  <c r="X51" i="104"/>
  <c r="Z51" i="104" s="1"/>
  <c r="L51" i="104"/>
  <c r="N51" i="104" s="1"/>
  <c r="B51" i="104"/>
  <c r="T50" i="104"/>
  <c r="P50" i="104"/>
  <c r="X50" i="104" s="1"/>
  <c r="Z50" i="104" s="1"/>
  <c r="H50" i="104"/>
  <c r="D50" i="104"/>
  <c r="B50" i="104"/>
  <c r="X49" i="104"/>
  <c r="Z49" i="104" s="1"/>
  <c r="L49" i="104"/>
  <c r="N49" i="104" s="1"/>
  <c r="B49" i="104"/>
  <c r="X48" i="104"/>
  <c r="T48" i="104"/>
  <c r="Z48" i="104" s="1"/>
  <c r="P48" i="104"/>
  <c r="N48" i="104"/>
  <c r="H48" i="104"/>
  <c r="D48" i="104"/>
  <c r="L48" i="104" s="1"/>
  <c r="B48" i="104"/>
  <c r="X47" i="104"/>
  <c r="Z47" i="104" s="1"/>
  <c r="L47" i="104"/>
  <c r="N47" i="104" s="1"/>
  <c r="B47" i="104"/>
  <c r="X46" i="104"/>
  <c r="T46" i="104"/>
  <c r="P46" i="104"/>
  <c r="H46" i="104"/>
  <c r="D46" i="104"/>
  <c r="L46" i="104" s="1"/>
  <c r="N46" i="104" s="1"/>
  <c r="B46" i="104"/>
  <c r="Z45" i="104"/>
  <c r="X45" i="104"/>
  <c r="N45" i="104"/>
  <c r="L45" i="104"/>
  <c r="B45" i="104"/>
  <c r="T44" i="104"/>
  <c r="P44" i="104"/>
  <c r="N44" i="104"/>
  <c r="H44" i="104"/>
  <c r="F44" i="104"/>
  <c r="D44" i="104"/>
  <c r="L44" i="104" s="1"/>
  <c r="B44" i="104"/>
  <c r="X43" i="104"/>
  <c r="Z43" i="104" s="1"/>
  <c r="L43" i="104"/>
  <c r="N43" i="104" s="1"/>
  <c r="B43" i="104"/>
  <c r="T42" i="104"/>
  <c r="P42" i="104"/>
  <c r="X42" i="104" s="1"/>
  <c r="Z42" i="104" s="1"/>
  <c r="L42" i="104"/>
  <c r="J42" i="104"/>
  <c r="H42" i="104"/>
  <c r="N42" i="104" s="1"/>
  <c r="D42" i="104"/>
  <c r="B42" i="104"/>
  <c r="X41" i="104"/>
  <c r="Z41" i="104" s="1"/>
  <c r="N41" i="104"/>
  <c r="L41" i="104"/>
  <c r="B41" i="104"/>
  <c r="Z40" i="104"/>
  <c r="X40" i="104"/>
  <c r="N40" i="104"/>
  <c r="L40" i="104"/>
  <c r="B40" i="104"/>
  <c r="Z39" i="104"/>
  <c r="X39" i="104"/>
  <c r="N39" i="104"/>
  <c r="L39" i="104"/>
  <c r="B39" i="104"/>
  <c r="X38" i="104"/>
  <c r="Z38" i="104" s="1"/>
  <c r="N38" i="104"/>
  <c r="L38" i="104"/>
  <c r="B38" i="104"/>
  <c r="X37" i="104"/>
  <c r="Z37" i="104" s="1"/>
  <c r="N37" i="104"/>
  <c r="L37" i="104"/>
  <c r="B37" i="104"/>
  <c r="Z36" i="104"/>
  <c r="X36" i="104"/>
  <c r="N36" i="104"/>
  <c r="L36" i="104"/>
  <c r="B36" i="104"/>
  <c r="T35" i="104"/>
  <c r="P35" i="104"/>
  <c r="X35" i="104" s="1"/>
  <c r="L35" i="104"/>
  <c r="N35" i="104" s="1"/>
  <c r="H35" i="104"/>
  <c r="D35" i="104"/>
  <c r="B35" i="104"/>
  <c r="Z34" i="104"/>
  <c r="X34" i="104"/>
  <c r="N34" i="104"/>
  <c r="L34" i="104"/>
  <c r="B34" i="104"/>
  <c r="Z33" i="104"/>
  <c r="X33" i="104"/>
  <c r="L33" i="104"/>
  <c r="N33" i="104" s="1"/>
  <c r="F33" i="104"/>
  <c r="B33" i="104"/>
  <c r="Z32" i="104"/>
  <c r="X32" i="104"/>
  <c r="L32" i="104"/>
  <c r="N32" i="104" s="1"/>
  <c r="B32" i="104"/>
  <c r="X31" i="104"/>
  <c r="Z31" i="104" s="1"/>
  <c r="L31" i="104"/>
  <c r="N31" i="104" s="1"/>
  <c r="J31" i="104"/>
  <c r="B31" i="104"/>
  <c r="Z30" i="104"/>
  <c r="X30" i="104"/>
  <c r="N30" i="104"/>
  <c r="L30" i="104"/>
  <c r="B30" i="104"/>
  <c r="Z29" i="104"/>
  <c r="X29" i="104"/>
  <c r="L29" i="104"/>
  <c r="N29" i="104" s="1"/>
  <c r="F29" i="104"/>
  <c r="B29" i="104"/>
  <c r="Z28" i="104"/>
  <c r="X28" i="104"/>
  <c r="L28" i="104"/>
  <c r="N28" i="104" s="1"/>
  <c r="B28" i="104"/>
  <c r="X27" i="104"/>
  <c r="Z27" i="104" s="1"/>
  <c r="L27" i="104"/>
  <c r="N27" i="104" s="1"/>
  <c r="J27" i="104"/>
  <c r="B27" i="104"/>
  <c r="Z26" i="104"/>
  <c r="X26" i="104"/>
  <c r="N26" i="104"/>
  <c r="L26" i="104"/>
  <c r="B26" i="104"/>
  <c r="T25" i="104"/>
  <c r="P25" i="104"/>
  <c r="X25" i="104" s="1"/>
  <c r="Z25" i="104" s="1"/>
  <c r="L25" i="104"/>
  <c r="H25" i="104"/>
  <c r="D25" i="104"/>
  <c r="B25" i="104"/>
  <c r="X24" i="104"/>
  <c r="T24" i="104"/>
  <c r="Z24" i="104" s="1"/>
  <c r="P24" i="104"/>
  <c r="H24" i="104"/>
  <c r="D24" i="104"/>
  <c r="L24" i="104" s="1"/>
  <c r="N24" i="104" s="1"/>
  <c r="X20" i="104"/>
  <c r="Z20" i="104" s="1"/>
  <c r="N20" i="104"/>
  <c r="L20" i="104"/>
  <c r="B20" i="104"/>
  <c r="X19" i="104"/>
  <c r="Z19" i="104" s="1"/>
  <c r="L19" i="104"/>
  <c r="N19" i="104" s="1"/>
  <c r="B19" i="104"/>
  <c r="T18" i="104"/>
  <c r="P18" i="104"/>
  <c r="X18" i="104" s="1"/>
  <c r="Z18" i="104" s="1"/>
  <c r="L18" i="104"/>
  <c r="H18" i="104"/>
  <c r="N18" i="104" s="1"/>
  <c r="F18" i="104"/>
  <c r="D18" i="104"/>
  <c r="T16" i="104"/>
  <c r="X16" i="104" s="1"/>
  <c r="P16" i="104"/>
  <c r="N16" i="104"/>
  <c r="L16" i="104"/>
  <c r="H16" i="104"/>
  <c r="D16" i="104"/>
  <c r="B16" i="104"/>
  <c r="T15" i="104"/>
  <c r="P15" i="104"/>
  <c r="X15" i="104" s="1"/>
  <c r="Z15" i="104" s="1"/>
  <c r="L15" i="104"/>
  <c r="N15" i="104" s="1"/>
  <c r="H15" i="104"/>
  <c r="D15" i="104"/>
  <c r="B15" i="104"/>
  <c r="T14" i="104"/>
  <c r="P14" i="104"/>
  <c r="H14" i="104"/>
  <c r="D14" i="104"/>
  <c r="B14" i="104"/>
  <c r="T13" i="104"/>
  <c r="P13" i="104"/>
  <c r="L13" i="104"/>
  <c r="N13" i="104" s="1"/>
  <c r="H13" i="104"/>
  <c r="H12" i="104" s="1"/>
  <c r="J82" i="104" s="1"/>
  <c r="D13" i="104"/>
  <c r="D12" i="104" s="1"/>
  <c r="B13" i="104"/>
  <c r="D6" i="104"/>
  <c r="D4" i="104"/>
  <c r="F57" i="103"/>
  <c r="F54" i="103"/>
  <c r="Z52" i="103"/>
  <c r="X52" i="103"/>
  <c r="N52" i="103"/>
  <c r="L52" i="103"/>
  <c r="F52" i="103"/>
  <c r="X48" i="103"/>
  <c r="T48" i="103"/>
  <c r="Z48" i="103" s="1"/>
  <c r="P48" i="103"/>
  <c r="N48" i="103"/>
  <c r="J48" i="103"/>
  <c r="H48" i="103"/>
  <c r="D48" i="103"/>
  <c r="L48" i="103" s="1"/>
  <c r="X46" i="103"/>
  <c r="Z46" i="103" s="1"/>
  <c r="N46" i="103"/>
  <c r="L46" i="103"/>
  <c r="B46" i="103"/>
  <c r="T45" i="103"/>
  <c r="P45" i="103"/>
  <c r="X45" i="103" s="1"/>
  <c r="Z45" i="103" s="1"/>
  <c r="L45" i="103"/>
  <c r="H45" i="103"/>
  <c r="D45" i="103"/>
  <c r="B45" i="103"/>
  <c r="X44" i="103"/>
  <c r="Z44" i="103" s="1"/>
  <c r="N44" i="103"/>
  <c r="L44" i="103"/>
  <c r="B44" i="103"/>
  <c r="X43" i="103"/>
  <c r="Z43" i="103" s="1"/>
  <c r="T43" i="103"/>
  <c r="P43" i="103"/>
  <c r="H43" i="103"/>
  <c r="N43" i="103" s="1"/>
  <c r="D43" i="103"/>
  <c r="B43" i="103"/>
  <c r="Z42" i="103"/>
  <c r="X42" i="103"/>
  <c r="L42" i="103"/>
  <c r="N42" i="103" s="1"/>
  <c r="B42" i="103"/>
  <c r="T41" i="103"/>
  <c r="P41" i="103"/>
  <c r="H41" i="103"/>
  <c r="D41" i="103"/>
  <c r="B41" i="103"/>
  <c r="Z40" i="103"/>
  <c r="X40" i="103"/>
  <c r="N40" i="103"/>
  <c r="L40" i="103"/>
  <c r="B40" i="103"/>
  <c r="X39" i="103"/>
  <c r="Z39" i="103" s="1"/>
  <c r="L39" i="103"/>
  <c r="N39" i="103" s="1"/>
  <c r="B39" i="103"/>
  <c r="X38" i="103"/>
  <c r="T38" i="103"/>
  <c r="Z38" i="103" s="1"/>
  <c r="P38" i="103"/>
  <c r="J38" i="103"/>
  <c r="H38" i="103"/>
  <c r="D38" i="103"/>
  <c r="L38" i="103" s="1"/>
  <c r="N38" i="103" s="1"/>
  <c r="B38" i="103"/>
  <c r="Z37" i="103"/>
  <c r="X37" i="103"/>
  <c r="N37" i="103"/>
  <c r="L37" i="103"/>
  <c r="F37" i="103"/>
  <c r="B37" i="103"/>
  <c r="X36" i="103"/>
  <c r="T36" i="103"/>
  <c r="Z36" i="103" s="1"/>
  <c r="P36" i="103"/>
  <c r="H36" i="103"/>
  <c r="N36" i="103" s="1"/>
  <c r="F36" i="103"/>
  <c r="D36" i="103"/>
  <c r="B36" i="103"/>
  <c r="Z35" i="103"/>
  <c r="X35" i="103"/>
  <c r="N35" i="103"/>
  <c r="L35" i="103"/>
  <c r="B35" i="103"/>
  <c r="T34" i="103"/>
  <c r="P34" i="103"/>
  <c r="X34" i="103" s="1"/>
  <c r="Z34" i="103" s="1"/>
  <c r="N34" i="103"/>
  <c r="L34" i="103"/>
  <c r="H34" i="103"/>
  <c r="F34" i="103"/>
  <c r="D34" i="103"/>
  <c r="B34" i="103"/>
  <c r="X33" i="103"/>
  <c r="Z33" i="103" s="1"/>
  <c r="N33" i="103"/>
  <c r="L33" i="103"/>
  <c r="J33" i="103"/>
  <c r="F33" i="103"/>
  <c r="B33" i="103"/>
  <c r="T32" i="103"/>
  <c r="P32" i="103"/>
  <c r="X32" i="103" s="1"/>
  <c r="Z32" i="103" s="1"/>
  <c r="H32" i="103"/>
  <c r="N32" i="103" s="1"/>
  <c r="F32" i="103"/>
  <c r="D32" i="103"/>
  <c r="L32" i="103" s="1"/>
  <c r="B32" i="103"/>
  <c r="Z31" i="103"/>
  <c r="X31" i="103"/>
  <c r="N31" i="103"/>
  <c r="L31" i="103"/>
  <c r="B31" i="103"/>
  <c r="Z30" i="103"/>
  <c r="X30" i="103"/>
  <c r="T30" i="103"/>
  <c r="P30" i="103"/>
  <c r="H30" i="103"/>
  <c r="N30" i="103" s="1"/>
  <c r="F30" i="103"/>
  <c r="D30" i="103"/>
  <c r="B30" i="103"/>
  <c r="Z29" i="103"/>
  <c r="X29" i="103"/>
  <c r="N29" i="103"/>
  <c r="L29" i="103"/>
  <c r="B29" i="103"/>
  <c r="T28" i="103"/>
  <c r="P28" i="103"/>
  <c r="X28" i="103" s="1"/>
  <c r="L28" i="103"/>
  <c r="N28" i="103" s="1"/>
  <c r="H28" i="103"/>
  <c r="F28" i="103"/>
  <c r="D28" i="103"/>
  <c r="B28" i="103"/>
  <c r="Z27" i="103"/>
  <c r="X27" i="103"/>
  <c r="N27" i="103"/>
  <c r="L27" i="103"/>
  <c r="J27" i="103"/>
  <c r="F27" i="103"/>
  <c r="B27" i="103"/>
  <c r="X26" i="103"/>
  <c r="Z26" i="103" s="1"/>
  <c r="L26" i="103"/>
  <c r="N26" i="103" s="1"/>
  <c r="J26" i="103"/>
  <c r="F26" i="103"/>
  <c r="B26" i="103"/>
  <c r="Z25" i="103"/>
  <c r="X25" i="103"/>
  <c r="L25" i="103"/>
  <c r="N25" i="103" s="1"/>
  <c r="B25" i="103"/>
  <c r="X24" i="103"/>
  <c r="Z24" i="103" s="1"/>
  <c r="N24" i="103"/>
  <c r="L24" i="103"/>
  <c r="F24" i="103"/>
  <c r="B24" i="103"/>
  <c r="Z23" i="103"/>
  <c r="X23" i="103"/>
  <c r="N23" i="103"/>
  <c r="L23" i="103"/>
  <c r="J23" i="103"/>
  <c r="F23" i="103"/>
  <c r="B23" i="103"/>
  <c r="X22" i="103"/>
  <c r="Z22" i="103" s="1"/>
  <c r="L22" i="103"/>
  <c r="N22" i="103" s="1"/>
  <c r="J22" i="103"/>
  <c r="F22" i="103"/>
  <c r="B22" i="103"/>
  <c r="Z21" i="103"/>
  <c r="X21" i="103"/>
  <c r="L21" i="103"/>
  <c r="N21" i="103" s="1"/>
  <c r="B21" i="103"/>
  <c r="Z20" i="103"/>
  <c r="X20" i="103"/>
  <c r="N20" i="103"/>
  <c r="L20" i="103"/>
  <c r="F20" i="103"/>
  <c r="B20" i="103"/>
  <c r="T19" i="103"/>
  <c r="P19" i="103"/>
  <c r="H19" i="103"/>
  <c r="F19" i="103"/>
  <c r="D19" i="103"/>
  <c r="L19" i="103" s="1"/>
  <c r="N19" i="103" s="1"/>
  <c r="B19" i="103"/>
  <c r="T18" i="103"/>
  <c r="P18" i="103"/>
  <c r="X18" i="103" s="1"/>
  <c r="H18" i="103"/>
  <c r="F18" i="103"/>
  <c r="D18" i="103"/>
  <c r="L18" i="103" s="1"/>
  <c r="F16" i="103"/>
  <c r="V14" i="103"/>
  <c r="T14" i="103"/>
  <c r="Z14" i="103" s="1"/>
  <c r="P14" i="103"/>
  <c r="H14" i="103"/>
  <c r="N14" i="103" s="1"/>
  <c r="F14" i="103"/>
  <c r="D14" i="103"/>
  <c r="L14" i="103" s="1"/>
  <c r="T12" i="103"/>
  <c r="P12" i="103"/>
  <c r="N12" i="103"/>
  <c r="L12" i="103"/>
  <c r="H12" i="103"/>
  <c r="J50" i="103" s="1"/>
  <c r="D12" i="103"/>
  <c r="F31" i="103" s="1"/>
  <c r="D6" i="103"/>
  <c r="D4" i="103"/>
  <c r="X86" i="102"/>
  <c r="Z86" i="102" s="1"/>
  <c r="L86" i="102"/>
  <c r="N86" i="102" s="1"/>
  <c r="T82" i="102"/>
  <c r="P82" i="102"/>
  <c r="X82" i="102" s="1"/>
  <c r="H82" i="102"/>
  <c r="D82" i="102"/>
  <c r="D81" i="102" s="1"/>
  <c r="B82" i="102"/>
  <c r="X79" i="102"/>
  <c r="Z79" i="102" s="1"/>
  <c r="N79" i="102"/>
  <c r="L79" i="102"/>
  <c r="B79" i="102"/>
  <c r="X78" i="102"/>
  <c r="Z78" i="102" s="1"/>
  <c r="T78" i="102"/>
  <c r="P78" i="102"/>
  <c r="N78" i="102"/>
  <c r="H78" i="102"/>
  <c r="D78" i="102"/>
  <c r="L78" i="102" s="1"/>
  <c r="B78" i="102"/>
  <c r="Z77" i="102"/>
  <c r="X77" i="102"/>
  <c r="N77" i="102"/>
  <c r="L77" i="102"/>
  <c r="B77" i="102"/>
  <c r="T76" i="102"/>
  <c r="P76" i="102"/>
  <c r="L76" i="102"/>
  <c r="H76" i="102"/>
  <c r="N76" i="102" s="1"/>
  <c r="D76" i="102"/>
  <c r="B76" i="102"/>
  <c r="Z75" i="102"/>
  <c r="X75" i="102"/>
  <c r="L75" i="102"/>
  <c r="N75" i="102" s="1"/>
  <c r="B75" i="102"/>
  <c r="T74" i="102"/>
  <c r="P74" i="102"/>
  <c r="X74" i="102" s="1"/>
  <c r="H74" i="102"/>
  <c r="D74" i="102"/>
  <c r="L74" i="102" s="1"/>
  <c r="B74" i="102"/>
  <c r="X73" i="102"/>
  <c r="Z73" i="102" s="1"/>
  <c r="N73" i="102"/>
  <c r="L73" i="102"/>
  <c r="B73" i="102"/>
  <c r="X72" i="102"/>
  <c r="Z72" i="102" s="1"/>
  <c r="N72" i="102"/>
  <c r="L72" i="102"/>
  <c r="B72" i="102"/>
  <c r="X71" i="102"/>
  <c r="Z71" i="102" s="1"/>
  <c r="N71" i="102"/>
  <c r="L71" i="102"/>
  <c r="B71" i="102"/>
  <c r="X70" i="102"/>
  <c r="Z70" i="102" s="1"/>
  <c r="L70" i="102"/>
  <c r="N70" i="102" s="1"/>
  <c r="B70" i="102"/>
  <c r="X69" i="102"/>
  <c r="Z69" i="102" s="1"/>
  <c r="V69" i="102"/>
  <c r="N69" i="102"/>
  <c r="L69" i="102"/>
  <c r="B69" i="102"/>
  <c r="X68" i="102"/>
  <c r="Z68" i="102" s="1"/>
  <c r="N68" i="102"/>
  <c r="L68" i="102"/>
  <c r="B68" i="102"/>
  <c r="Z67" i="102"/>
  <c r="X67" i="102"/>
  <c r="N67" i="102"/>
  <c r="L67" i="102"/>
  <c r="B67" i="102"/>
  <c r="X66" i="102"/>
  <c r="Z66" i="102" s="1"/>
  <c r="T66" i="102"/>
  <c r="P66" i="102"/>
  <c r="H66" i="102"/>
  <c r="D66" i="102"/>
  <c r="L66" i="102" s="1"/>
  <c r="N66" i="102" s="1"/>
  <c r="B66" i="102"/>
  <c r="Z65" i="102"/>
  <c r="X65" i="102"/>
  <c r="N65" i="102"/>
  <c r="L65" i="102"/>
  <c r="B65" i="102"/>
  <c r="Z64" i="102"/>
  <c r="X64" i="102"/>
  <c r="N64" i="102"/>
  <c r="L64" i="102"/>
  <c r="B64" i="102"/>
  <c r="T63" i="102"/>
  <c r="P63" i="102"/>
  <c r="N63" i="102"/>
  <c r="H63" i="102"/>
  <c r="D63" i="102"/>
  <c r="L63" i="102" s="1"/>
  <c r="B63" i="102"/>
  <c r="X62" i="102"/>
  <c r="Z62" i="102" s="1"/>
  <c r="L62" i="102"/>
  <c r="N62" i="102" s="1"/>
  <c r="B62" i="102"/>
  <c r="Z61" i="102"/>
  <c r="T61" i="102"/>
  <c r="P61" i="102"/>
  <c r="X61" i="102" s="1"/>
  <c r="N61" i="102"/>
  <c r="L61" i="102"/>
  <c r="H61" i="102"/>
  <c r="D61" i="102"/>
  <c r="B61" i="102"/>
  <c r="X60" i="102"/>
  <c r="Z60" i="102" s="1"/>
  <c r="L60" i="102"/>
  <c r="N60" i="102" s="1"/>
  <c r="B60" i="102"/>
  <c r="X59" i="102"/>
  <c r="Z59" i="102" s="1"/>
  <c r="N59" i="102"/>
  <c r="L59" i="102"/>
  <c r="B59" i="102"/>
  <c r="Z58" i="102"/>
  <c r="X58" i="102"/>
  <c r="N58" i="102"/>
  <c r="L58" i="102"/>
  <c r="B58" i="102"/>
  <c r="X57" i="102"/>
  <c r="T57" i="102"/>
  <c r="Z57" i="102" s="1"/>
  <c r="P57" i="102"/>
  <c r="H57" i="102"/>
  <c r="D57" i="102"/>
  <c r="B57" i="102"/>
  <c r="X56" i="102"/>
  <c r="Z56" i="102" s="1"/>
  <c r="N56" i="102"/>
  <c r="L56" i="102"/>
  <c r="B56" i="102"/>
  <c r="T55" i="102"/>
  <c r="P55" i="102"/>
  <c r="X55" i="102" s="1"/>
  <c r="H55" i="102"/>
  <c r="D55" i="102"/>
  <c r="L55" i="102" s="1"/>
  <c r="N55" i="102" s="1"/>
  <c r="B55" i="102"/>
  <c r="X54" i="102"/>
  <c r="Z54" i="102" s="1"/>
  <c r="N54" i="102"/>
  <c r="L54" i="102"/>
  <c r="B54" i="102"/>
  <c r="T53" i="102"/>
  <c r="P53" i="102"/>
  <c r="X53" i="102" s="1"/>
  <c r="Z53" i="102" s="1"/>
  <c r="N53" i="102"/>
  <c r="L53" i="102"/>
  <c r="H53" i="102"/>
  <c r="D53" i="102"/>
  <c r="B53" i="102"/>
  <c r="Z52" i="102"/>
  <c r="X52" i="102"/>
  <c r="N52" i="102"/>
  <c r="L52" i="102"/>
  <c r="B52" i="102"/>
  <c r="T51" i="102"/>
  <c r="P51" i="102"/>
  <c r="L51" i="102"/>
  <c r="H51" i="102"/>
  <c r="D51" i="102"/>
  <c r="B51" i="102"/>
  <c r="Z50" i="102"/>
  <c r="X50" i="102"/>
  <c r="V50" i="102"/>
  <c r="N50" i="102"/>
  <c r="L50" i="102"/>
  <c r="B50" i="102"/>
  <c r="Z49" i="102"/>
  <c r="T49" i="102"/>
  <c r="P49" i="102"/>
  <c r="X49" i="102" s="1"/>
  <c r="H49" i="102"/>
  <c r="N49" i="102" s="1"/>
  <c r="D49" i="102"/>
  <c r="B49" i="102"/>
  <c r="Z48" i="102"/>
  <c r="X48" i="102"/>
  <c r="L48" i="102"/>
  <c r="N48" i="102" s="1"/>
  <c r="B48" i="102"/>
  <c r="Z47" i="102"/>
  <c r="X47" i="102"/>
  <c r="T47" i="102"/>
  <c r="P47" i="102"/>
  <c r="L47" i="102"/>
  <c r="N47" i="102" s="1"/>
  <c r="H47" i="102"/>
  <c r="D47" i="102"/>
  <c r="B47" i="102"/>
  <c r="Z46" i="102"/>
  <c r="X46" i="102"/>
  <c r="L46" i="102"/>
  <c r="N46" i="102" s="1"/>
  <c r="B46" i="102"/>
  <c r="X45" i="102"/>
  <c r="T45" i="102"/>
  <c r="P45" i="102"/>
  <c r="H45" i="102"/>
  <c r="D45" i="102"/>
  <c r="B45" i="102"/>
  <c r="Z44" i="102"/>
  <c r="X44" i="102"/>
  <c r="N44" i="102"/>
  <c r="L44" i="102"/>
  <c r="B44" i="102"/>
  <c r="T43" i="102"/>
  <c r="P43" i="102"/>
  <c r="X43" i="102" s="1"/>
  <c r="Z43" i="102" s="1"/>
  <c r="H43" i="102"/>
  <c r="D43" i="102"/>
  <c r="L43" i="102" s="1"/>
  <c r="N43" i="102" s="1"/>
  <c r="B43" i="102"/>
  <c r="X42" i="102"/>
  <c r="Z42" i="102" s="1"/>
  <c r="N42" i="102"/>
  <c r="L42" i="102"/>
  <c r="B42" i="102"/>
  <c r="Z41" i="102"/>
  <c r="X41" i="102"/>
  <c r="N41" i="102"/>
  <c r="L41" i="102"/>
  <c r="B41" i="102"/>
  <c r="Z40" i="102"/>
  <c r="X40" i="102"/>
  <c r="N40" i="102"/>
  <c r="L40" i="102"/>
  <c r="B40" i="102"/>
  <c r="Z39" i="102"/>
  <c r="X39" i="102"/>
  <c r="L39" i="102"/>
  <c r="N39" i="102" s="1"/>
  <c r="B39" i="102"/>
  <c r="Z38" i="102"/>
  <c r="X38" i="102"/>
  <c r="N38" i="102"/>
  <c r="L38" i="102"/>
  <c r="B38" i="102"/>
  <c r="Z37" i="102"/>
  <c r="X37" i="102"/>
  <c r="L37" i="102"/>
  <c r="N37" i="102" s="1"/>
  <c r="B37" i="102"/>
  <c r="T36" i="102"/>
  <c r="P36" i="102"/>
  <c r="H36" i="102"/>
  <c r="D36" i="102"/>
  <c r="L36" i="102" s="1"/>
  <c r="B36" i="102"/>
  <c r="X35" i="102"/>
  <c r="Z35" i="102" s="1"/>
  <c r="N35" i="102"/>
  <c r="L35" i="102"/>
  <c r="B35" i="102"/>
  <c r="Z34" i="102"/>
  <c r="X34" i="102"/>
  <c r="L34" i="102"/>
  <c r="N34" i="102" s="1"/>
  <c r="B34" i="102"/>
  <c r="Z33" i="102"/>
  <c r="X33" i="102"/>
  <c r="N33" i="102"/>
  <c r="L33" i="102"/>
  <c r="B33" i="102"/>
  <c r="Z32" i="102"/>
  <c r="X32" i="102"/>
  <c r="N32" i="102"/>
  <c r="L32" i="102"/>
  <c r="B32" i="102"/>
  <c r="X31" i="102"/>
  <c r="Z31" i="102" s="1"/>
  <c r="N31" i="102"/>
  <c r="L31" i="102"/>
  <c r="B31" i="102"/>
  <c r="Z30" i="102"/>
  <c r="X30" i="102"/>
  <c r="L30" i="102"/>
  <c r="N30" i="102" s="1"/>
  <c r="B30" i="102"/>
  <c r="X29" i="102"/>
  <c r="Z29" i="102" s="1"/>
  <c r="V29" i="102"/>
  <c r="N29" i="102"/>
  <c r="L29" i="102"/>
  <c r="B29" i="102"/>
  <c r="X28" i="102"/>
  <c r="Z28" i="102" s="1"/>
  <c r="N28" i="102"/>
  <c r="L28" i="102"/>
  <c r="B28" i="102"/>
  <c r="X27" i="102"/>
  <c r="Z27" i="102" s="1"/>
  <c r="N27" i="102"/>
  <c r="L27" i="102"/>
  <c r="B27" i="102"/>
  <c r="T26" i="102"/>
  <c r="P26" i="102"/>
  <c r="X26" i="102" s="1"/>
  <c r="Z26" i="102" s="1"/>
  <c r="N26" i="102"/>
  <c r="L26" i="102"/>
  <c r="H26" i="102"/>
  <c r="D26" i="102"/>
  <c r="B26" i="102"/>
  <c r="T25" i="102"/>
  <c r="P25" i="102"/>
  <c r="X25" i="102" s="1"/>
  <c r="Z25" i="102" s="1"/>
  <c r="H25" i="102"/>
  <c r="D25" i="102"/>
  <c r="X21" i="102"/>
  <c r="Z21" i="102" s="1"/>
  <c r="L21" i="102"/>
  <c r="N21" i="102" s="1"/>
  <c r="B21" i="102"/>
  <c r="X20" i="102"/>
  <c r="Z20" i="102" s="1"/>
  <c r="N20" i="102"/>
  <c r="L20" i="102"/>
  <c r="B20" i="102"/>
  <c r="T19" i="102"/>
  <c r="P19" i="102"/>
  <c r="X19" i="102" s="1"/>
  <c r="Z19" i="102" s="1"/>
  <c r="H19" i="102"/>
  <c r="N19" i="102" s="1"/>
  <c r="D19" i="102"/>
  <c r="L19" i="102" s="1"/>
  <c r="T17" i="102"/>
  <c r="P17" i="102"/>
  <c r="H17" i="102"/>
  <c r="N17" i="102" s="1"/>
  <c r="D17" i="102"/>
  <c r="B17" i="102"/>
  <c r="X16" i="102"/>
  <c r="Z16" i="102" s="1"/>
  <c r="T16" i="102"/>
  <c r="P16" i="102"/>
  <c r="H16" i="102"/>
  <c r="N16" i="102" s="1"/>
  <c r="D16" i="102"/>
  <c r="L16" i="102" s="1"/>
  <c r="B16" i="102"/>
  <c r="X15" i="102"/>
  <c r="Z15" i="102" s="1"/>
  <c r="T15" i="102"/>
  <c r="P15" i="102"/>
  <c r="L15" i="102"/>
  <c r="N15" i="102" s="1"/>
  <c r="H15" i="102"/>
  <c r="D15" i="102"/>
  <c r="B15" i="102"/>
  <c r="Z14" i="102"/>
  <c r="X14" i="102"/>
  <c r="T14" i="102"/>
  <c r="P14" i="102"/>
  <c r="H14" i="102"/>
  <c r="D14" i="102"/>
  <c r="B14" i="102"/>
  <c r="Z13" i="102"/>
  <c r="T13" i="102"/>
  <c r="T12" i="102" s="1"/>
  <c r="V56" i="102" s="1"/>
  <c r="P13" i="102"/>
  <c r="X13" i="102" s="1"/>
  <c r="L13" i="102"/>
  <c r="H13" i="102"/>
  <c r="D13" i="102"/>
  <c r="B13" i="102"/>
  <c r="D6" i="102"/>
  <c r="D4" i="102"/>
  <c r="Z65" i="101"/>
  <c r="X65" i="101"/>
  <c r="N65" i="101"/>
  <c r="L65" i="101"/>
  <c r="T61" i="101"/>
  <c r="P61" i="101"/>
  <c r="N61" i="101"/>
  <c r="H61" i="101"/>
  <c r="H60" i="101" s="1"/>
  <c r="D61" i="101"/>
  <c r="L61" i="101" s="1"/>
  <c r="B61" i="101"/>
  <c r="T60" i="101"/>
  <c r="Z60" i="101" s="1"/>
  <c r="P60" i="101"/>
  <c r="N60" i="101"/>
  <c r="Z58" i="101"/>
  <c r="X58" i="101"/>
  <c r="L58" i="101"/>
  <c r="N58" i="101" s="1"/>
  <c r="B58" i="101"/>
  <c r="X57" i="101"/>
  <c r="T57" i="101"/>
  <c r="P57" i="101"/>
  <c r="H57" i="101"/>
  <c r="D57" i="101"/>
  <c r="L57" i="101" s="1"/>
  <c r="N57" i="101" s="1"/>
  <c r="B57" i="101"/>
  <c r="Z56" i="101"/>
  <c r="X56" i="101"/>
  <c r="N56" i="101"/>
  <c r="L56" i="101"/>
  <c r="B56" i="101"/>
  <c r="X55" i="101"/>
  <c r="Z55" i="101" s="1"/>
  <c r="V55" i="101"/>
  <c r="L55" i="101"/>
  <c r="N55" i="101" s="1"/>
  <c r="B55" i="101"/>
  <c r="Z54" i="101"/>
  <c r="X54" i="101"/>
  <c r="N54" i="101"/>
  <c r="L54" i="101"/>
  <c r="B54" i="101"/>
  <c r="X53" i="101"/>
  <c r="Z53" i="101" s="1"/>
  <c r="N53" i="101"/>
  <c r="L53" i="101"/>
  <c r="B53" i="101"/>
  <c r="X52" i="101"/>
  <c r="Z52" i="101" s="1"/>
  <c r="N52" i="101"/>
  <c r="L52" i="101"/>
  <c r="B52" i="101"/>
  <c r="X51" i="101"/>
  <c r="Z51" i="101" s="1"/>
  <c r="V51" i="101"/>
  <c r="N51" i="101"/>
  <c r="L51" i="101"/>
  <c r="B51" i="101"/>
  <c r="T50" i="101"/>
  <c r="P50" i="101"/>
  <c r="X50" i="101" s="1"/>
  <c r="Z50" i="101" s="1"/>
  <c r="H50" i="101"/>
  <c r="D50" i="101"/>
  <c r="L50" i="101" s="1"/>
  <c r="B50" i="101"/>
  <c r="Z49" i="101"/>
  <c r="X49" i="101"/>
  <c r="N49" i="101"/>
  <c r="L49" i="101"/>
  <c r="B49" i="101"/>
  <c r="T48" i="101"/>
  <c r="X48" i="101" s="1"/>
  <c r="Z48" i="101" s="1"/>
  <c r="P48" i="101"/>
  <c r="L48" i="101"/>
  <c r="N48" i="101" s="1"/>
  <c r="H48" i="101"/>
  <c r="D48" i="101"/>
  <c r="B48" i="101"/>
  <c r="X47" i="101"/>
  <c r="Z47" i="101" s="1"/>
  <c r="N47" i="101"/>
  <c r="L47" i="101"/>
  <c r="B47" i="101"/>
  <c r="T46" i="101"/>
  <c r="P46" i="101"/>
  <c r="X46" i="101" s="1"/>
  <c r="Z46" i="101" s="1"/>
  <c r="H46" i="101"/>
  <c r="N46" i="101" s="1"/>
  <c r="D46" i="101"/>
  <c r="B46" i="101"/>
  <c r="X45" i="101"/>
  <c r="Z45" i="101" s="1"/>
  <c r="N45" i="101"/>
  <c r="L45" i="101"/>
  <c r="B45" i="101"/>
  <c r="X44" i="101"/>
  <c r="Z44" i="101" s="1"/>
  <c r="N44" i="101"/>
  <c r="L44" i="101"/>
  <c r="B44" i="101"/>
  <c r="V43" i="101"/>
  <c r="T43" i="101"/>
  <c r="Z43" i="101" s="1"/>
  <c r="P43" i="101"/>
  <c r="X43" i="101" s="1"/>
  <c r="L43" i="101"/>
  <c r="H43" i="101"/>
  <c r="N43" i="101" s="1"/>
  <c r="D43" i="101"/>
  <c r="B43" i="101"/>
  <c r="X42" i="101"/>
  <c r="Z42" i="101" s="1"/>
  <c r="N42" i="101"/>
  <c r="L42" i="101"/>
  <c r="B42" i="101"/>
  <c r="T41" i="101"/>
  <c r="P41" i="101"/>
  <c r="L41" i="101"/>
  <c r="H41" i="101"/>
  <c r="N41" i="101" s="1"/>
  <c r="D41" i="101"/>
  <c r="B41" i="101"/>
  <c r="Z40" i="101"/>
  <c r="X40" i="101"/>
  <c r="N40" i="101"/>
  <c r="L40" i="101"/>
  <c r="B40" i="101"/>
  <c r="Z39" i="101"/>
  <c r="T39" i="101"/>
  <c r="P39" i="101"/>
  <c r="X39" i="101" s="1"/>
  <c r="N39" i="101"/>
  <c r="H39" i="101"/>
  <c r="D39" i="101"/>
  <c r="L39" i="101" s="1"/>
  <c r="B39" i="101"/>
  <c r="Z38" i="101"/>
  <c r="X38" i="101"/>
  <c r="N38" i="101"/>
  <c r="L38" i="101"/>
  <c r="B38" i="101"/>
  <c r="X37" i="101"/>
  <c r="T37" i="101"/>
  <c r="Z37" i="101" s="1"/>
  <c r="P37" i="101"/>
  <c r="H37" i="101"/>
  <c r="N37" i="101" s="1"/>
  <c r="D37" i="101"/>
  <c r="L37" i="101" s="1"/>
  <c r="B37" i="101"/>
  <c r="Z36" i="101"/>
  <c r="X36" i="101"/>
  <c r="N36" i="101"/>
  <c r="L36" i="101"/>
  <c r="B36" i="101"/>
  <c r="X35" i="101"/>
  <c r="T35" i="101"/>
  <c r="Z35" i="101" s="1"/>
  <c r="P35" i="101"/>
  <c r="H35" i="101"/>
  <c r="N35" i="101" s="1"/>
  <c r="D35" i="101"/>
  <c r="L35" i="101" s="1"/>
  <c r="B35" i="101"/>
  <c r="Z34" i="101"/>
  <c r="X34" i="101"/>
  <c r="N34" i="101"/>
  <c r="L34" i="101"/>
  <c r="B34" i="101"/>
  <c r="Z33" i="101"/>
  <c r="T33" i="101"/>
  <c r="P33" i="101"/>
  <c r="X33" i="101" s="1"/>
  <c r="H33" i="101"/>
  <c r="D33" i="101"/>
  <c r="L33" i="101" s="1"/>
  <c r="N33" i="101" s="1"/>
  <c r="B33" i="101"/>
  <c r="Z32" i="101"/>
  <c r="X32" i="101"/>
  <c r="N32" i="101"/>
  <c r="L32" i="101"/>
  <c r="B32" i="101"/>
  <c r="X31" i="101"/>
  <c r="Z31" i="101" s="1"/>
  <c r="V31" i="101"/>
  <c r="N31" i="101"/>
  <c r="L31" i="101"/>
  <c r="B31" i="101"/>
  <c r="Z30" i="101"/>
  <c r="X30" i="101"/>
  <c r="N30" i="101"/>
  <c r="L30" i="101"/>
  <c r="B30" i="101"/>
  <c r="Z29" i="101"/>
  <c r="X29" i="101"/>
  <c r="N29" i="101"/>
  <c r="L29" i="101"/>
  <c r="B29" i="101"/>
  <c r="Z28" i="101"/>
  <c r="X28" i="101"/>
  <c r="N28" i="101"/>
  <c r="L28" i="101"/>
  <c r="B28" i="101"/>
  <c r="V27" i="101"/>
  <c r="T27" i="101"/>
  <c r="Z27" i="101" s="1"/>
  <c r="P27" i="101"/>
  <c r="X27" i="101" s="1"/>
  <c r="L27" i="101"/>
  <c r="H27" i="101"/>
  <c r="N27" i="101" s="1"/>
  <c r="D27" i="101"/>
  <c r="B27" i="101"/>
  <c r="X26" i="101"/>
  <c r="Z26" i="101" s="1"/>
  <c r="N26" i="101"/>
  <c r="L26" i="101"/>
  <c r="B26" i="101"/>
  <c r="Z25" i="101"/>
  <c r="X25" i="101"/>
  <c r="N25" i="101"/>
  <c r="L25" i="101"/>
  <c r="B25" i="101"/>
  <c r="Z24" i="101"/>
  <c r="X24" i="101"/>
  <c r="N24" i="101"/>
  <c r="L24" i="101"/>
  <c r="B24" i="101"/>
  <c r="X23" i="101"/>
  <c r="T23" i="101"/>
  <c r="Z23" i="101" s="1"/>
  <c r="P23" i="101"/>
  <c r="H23" i="101"/>
  <c r="N23" i="101" s="1"/>
  <c r="F23" i="101"/>
  <c r="D23" i="101"/>
  <c r="L23" i="101" s="1"/>
  <c r="B23" i="101"/>
  <c r="T22" i="101"/>
  <c r="P22" i="101"/>
  <c r="X22" i="101" s="1"/>
  <c r="Z22" i="101" s="1"/>
  <c r="H22" i="101"/>
  <c r="D22" i="101"/>
  <c r="Z18" i="101"/>
  <c r="X18" i="101"/>
  <c r="N18" i="101"/>
  <c r="L18" i="101"/>
  <c r="B18" i="101"/>
  <c r="Z17" i="101"/>
  <c r="X17" i="101"/>
  <c r="L17" i="101"/>
  <c r="N17" i="101" s="1"/>
  <c r="B17" i="101"/>
  <c r="T16" i="101"/>
  <c r="P16" i="101"/>
  <c r="H16" i="101"/>
  <c r="D16" i="101"/>
  <c r="L16" i="101" s="1"/>
  <c r="N16" i="101" s="1"/>
  <c r="T14" i="101"/>
  <c r="P14" i="101"/>
  <c r="H14" i="101"/>
  <c r="N14" i="101" s="1"/>
  <c r="D14" i="101"/>
  <c r="B14" i="101"/>
  <c r="Z13" i="101"/>
  <c r="X13" i="101"/>
  <c r="T13" i="101"/>
  <c r="P13" i="101"/>
  <c r="H13" i="101"/>
  <c r="D13" i="101"/>
  <c r="D12" i="101" s="1"/>
  <c r="B13" i="101"/>
  <c r="T12" i="101"/>
  <c r="V52" i="101" s="1"/>
  <c r="D6" i="101"/>
  <c r="D4" i="101"/>
  <c r="R50" i="100"/>
  <c r="R47" i="100"/>
  <c r="Z45" i="100"/>
  <c r="X45" i="100"/>
  <c r="N45" i="100"/>
  <c r="L45" i="100"/>
  <c r="T41" i="100"/>
  <c r="P41" i="100"/>
  <c r="H41" i="100"/>
  <c r="H40" i="100" s="1"/>
  <c r="D41" i="100"/>
  <c r="L41" i="100" s="1"/>
  <c r="N41" i="100" s="1"/>
  <c r="B41" i="100"/>
  <c r="R40" i="100"/>
  <c r="P40" i="100"/>
  <c r="X38" i="100"/>
  <c r="Z38" i="100" s="1"/>
  <c r="L38" i="100"/>
  <c r="N38" i="100" s="1"/>
  <c r="B38" i="100"/>
  <c r="T37" i="100"/>
  <c r="R37" i="100"/>
  <c r="P37" i="100"/>
  <c r="X37" i="100" s="1"/>
  <c r="Z37" i="100" s="1"/>
  <c r="J37" i="100"/>
  <c r="H37" i="100"/>
  <c r="N37" i="100" s="1"/>
  <c r="D37" i="100"/>
  <c r="L37" i="100" s="1"/>
  <c r="B37" i="100"/>
  <c r="Z36" i="100"/>
  <c r="X36" i="100"/>
  <c r="R36" i="100"/>
  <c r="N36" i="100"/>
  <c r="L36" i="100"/>
  <c r="B36" i="100"/>
  <c r="X35" i="100"/>
  <c r="Z35" i="100" s="1"/>
  <c r="T35" i="100"/>
  <c r="P35" i="100"/>
  <c r="L35" i="100"/>
  <c r="N35" i="100" s="1"/>
  <c r="H35" i="100"/>
  <c r="D35" i="100"/>
  <c r="B35" i="100"/>
  <c r="Z34" i="100"/>
  <c r="X34" i="100"/>
  <c r="L34" i="100"/>
  <c r="N34" i="100" s="1"/>
  <c r="J34" i="100"/>
  <c r="B34" i="100"/>
  <c r="T33" i="100"/>
  <c r="R33" i="100"/>
  <c r="P33" i="100"/>
  <c r="X33" i="100" s="1"/>
  <c r="Z33" i="100" s="1"/>
  <c r="J33" i="100"/>
  <c r="H33" i="100"/>
  <c r="D33" i="100"/>
  <c r="L33" i="100" s="1"/>
  <c r="B33" i="100"/>
  <c r="X32" i="100"/>
  <c r="Z32" i="100" s="1"/>
  <c r="R32" i="100"/>
  <c r="N32" i="100"/>
  <c r="L32" i="100"/>
  <c r="B32" i="100"/>
  <c r="T31" i="100"/>
  <c r="R31" i="100"/>
  <c r="P31" i="100"/>
  <c r="X31" i="100" s="1"/>
  <c r="N31" i="100"/>
  <c r="H31" i="100"/>
  <c r="D31" i="100"/>
  <c r="L31" i="100" s="1"/>
  <c r="B31" i="100"/>
  <c r="X30" i="100"/>
  <c r="Z30" i="100" s="1"/>
  <c r="R30" i="100"/>
  <c r="N30" i="100"/>
  <c r="L30" i="100"/>
  <c r="B30" i="100"/>
  <c r="X29" i="100"/>
  <c r="Z29" i="100" s="1"/>
  <c r="T29" i="100"/>
  <c r="R29" i="100"/>
  <c r="P29" i="100"/>
  <c r="N29" i="100"/>
  <c r="L29" i="100"/>
  <c r="J29" i="100"/>
  <c r="H29" i="100"/>
  <c r="D29" i="100"/>
  <c r="B29" i="100"/>
  <c r="Z28" i="100"/>
  <c r="X28" i="100"/>
  <c r="R28" i="100"/>
  <c r="L28" i="100"/>
  <c r="N28" i="100" s="1"/>
  <c r="J28" i="100"/>
  <c r="B28" i="100"/>
  <c r="X27" i="100"/>
  <c r="Z27" i="100" s="1"/>
  <c r="R27" i="100"/>
  <c r="L27" i="100"/>
  <c r="N27" i="100" s="1"/>
  <c r="J27" i="100"/>
  <c r="B27" i="100"/>
  <c r="Z26" i="100"/>
  <c r="X26" i="100"/>
  <c r="L26" i="100"/>
  <c r="N26" i="100" s="1"/>
  <c r="J26" i="100"/>
  <c r="B26" i="100"/>
  <c r="Z25" i="100"/>
  <c r="X25" i="100"/>
  <c r="R25" i="100"/>
  <c r="N25" i="100"/>
  <c r="L25" i="100"/>
  <c r="B25" i="100"/>
  <c r="Z24" i="100"/>
  <c r="X24" i="100"/>
  <c r="R24" i="100"/>
  <c r="L24" i="100"/>
  <c r="N24" i="100" s="1"/>
  <c r="J24" i="100"/>
  <c r="B24" i="100"/>
  <c r="X23" i="100"/>
  <c r="Z23" i="100" s="1"/>
  <c r="R23" i="100"/>
  <c r="L23" i="100"/>
  <c r="N23" i="100" s="1"/>
  <c r="J23" i="100"/>
  <c r="B23" i="100"/>
  <c r="Z22" i="100"/>
  <c r="X22" i="100"/>
  <c r="L22" i="100"/>
  <c r="N22" i="100" s="1"/>
  <c r="J22" i="100"/>
  <c r="B22" i="100"/>
  <c r="Z21" i="100"/>
  <c r="X21" i="100"/>
  <c r="R21" i="100"/>
  <c r="L21" i="100"/>
  <c r="N21" i="100" s="1"/>
  <c r="B21" i="100"/>
  <c r="T20" i="100"/>
  <c r="R20" i="100"/>
  <c r="P20" i="100"/>
  <c r="N20" i="100"/>
  <c r="J20" i="100"/>
  <c r="H20" i="100"/>
  <c r="D20" i="100"/>
  <c r="L20" i="100" s="1"/>
  <c r="B20" i="100"/>
  <c r="T19" i="100"/>
  <c r="R19" i="100"/>
  <c r="P19" i="100"/>
  <c r="X19" i="100" s="1"/>
  <c r="H19" i="100"/>
  <c r="D19" i="100"/>
  <c r="L19" i="100" s="1"/>
  <c r="N19" i="100" s="1"/>
  <c r="R17" i="100"/>
  <c r="P17" i="100"/>
  <c r="P43" i="100" s="1"/>
  <c r="Z15" i="100"/>
  <c r="X15" i="100"/>
  <c r="R15" i="100"/>
  <c r="N15" i="100"/>
  <c r="L15" i="100"/>
  <c r="J15" i="100"/>
  <c r="B15" i="100"/>
  <c r="Z14" i="100"/>
  <c r="T14" i="100"/>
  <c r="R14" i="100"/>
  <c r="P14" i="100"/>
  <c r="X14" i="100" s="1"/>
  <c r="J14" i="100"/>
  <c r="H14" i="100"/>
  <c r="N14" i="100" s="1"/>
  <c r="D14" i="100"/>
  <c r="T12" i="100"/>
  <c r="V19" i="100" s="1"/>
  <c r="P12" i="100"/>
  <c r="R45" i="100" s="1"/>
  <c r="N12" i="100"/>
  <c r="H12" i="100"/>
  <c r="J38" i="100" s="1"/>
  <c r="D12" i="100"/>
  <c r="F19" i="100" s="1"/>
  <c r="D6" i="100"/>
  <c r="D4" i="100"/>
  <c r="Z52" i="99"/>
  <c r="X52" i="99"/>
  <c r="N52" i="99"/>
  <c r="L52" i="99"/>
  <c r="T48" i="99"/>
  <c r="Z48" i="99" s="1"/>
  <c r="R48" i="99"/>
  <c r="P48" i="99"/>
  <c r="N48" i="99"/>
  <c r="L48" i="99"/>
  <c r="H48" i="99"/>
  <c r="D48" i="99"/>
  <c r="Z46" i="99"/>
  <c r="X46" i="99"/>
  <c r="N46" i="99"/>
  <c r="L46" i="99"/>
  <c r="B46" i="99"/>
  <c r="T45" i="99"/>
  <c r="Z45" i="99" s="1"/>
  <c r="P45" i="99"/>
  <c r="X45" i="99" s="1"/>
  <c r="N45" i="99"/>
  <c r="L45" i="99"/>
  <c r="H45" i="99"/>
  <c r="D45" i="99"/>
  <c r="B45" i="99"/>
  <c r="Z44" i="99"/>
  <c r="X44" i="99"/>
  <c r="N44" i="99"/>
  <c r="L44" i="99"/>
  <c r="B44" i="99"/>
  <c r="Z43" i="99"/>
  <c r="X43" i="99"/>
  <c r="N43" i="99"/>
  <c r="L43" i="99"/>
  <c r="B43" i="99"/>
  <c r="Z42" i="99"/>
  <c r="T42" i="99"/>
  <c r="P42" i="99"/>
  <c r="X42" i="99" s="1"/>
  <c r="H42" i="99"/>
  <c r="N42" i="99" s="1"/>
  <c r="D42" i="99"/>
  <c r="L42" i="99" s="1"/>
  <c r="B42" i="99"/>
  <c r="Z41" i="99"/>
  <c r="X41" i="99"/>
  <c r="N41" i="99"/>
  <c r="L41" i="99"/>
  <c r="B41" i="99"/>
  <c r="Z40" i="99"/>
  <c r="X40" i="99"/>
  <c r="V40" i="99"/>
  <c r="T40" i="99"/>
  <c r="P40" i="99"/>
  <c r="H40" i="99"/>
  <c r="N40" i="99" s="1"/>
  <c r="D40" i="99"/>
  <c r="L40" i="99" s="1"/>
  <c r="B40" i="99"/>
  <c r="Z39" i="99"/>
  <c r="X39" i="99"/>
  <c r="N39" i="99"/>
  <c r="L39" i="99"/>
  <c r="B39" i="99"/>
  <c r="T38" i="99"/>
  <c r="Z38" i="99" s="1"/>
  <c r="P38" i="99"/>
  <c r="L38" i="99"/>
  <c r="H38" i="99"/>
  <c r="N38" i="99" s="1"/>
  <c r="D38" i="99"/>
  <c r="B38" i="99"/>
  <c r="Z37" i="99"/>
  <c r="X37" i="99"/>
  <c r="N37" i="99"/>
  <c r="L37" i="99"/>
  <c r="B37" i="99"/>
  <c r="Z36" i="99"/>
  <c r="T36" i="99"/>
  <c r="X36" i="99" s="1"/>
  <c r="P36" i="99"/>
  <c r="N36" i="99"/>
  <c r="H36" i="99"/>
  <c r="D36" i="99"/>
  <c r="L36" i="99" s="1"/>
  <c r="B36" i="99"/>
  <c r="Z35" i="99"/>
  <c r="X35" i="99"/>
  <c r="N35" i="99"/>
  <c r="L35" i="99"/>
  <c r="B35" i="99"/>
  <c r="Z34" i="99"/>
  <c r="X34" i="99"/>
  <c r="N34" i="99"/>
  <c r="L34" i="99"/>
  <c r="J34" i="99"/>
  <c r="B34" i="99"/>
  <c r="Z33" i="99"/>
  <c r="X33" i="99"/>
  <c r="N33" i="99"/>
  <c r="L33" i="99"/>
  <c r="B33" i="99"/>
  <c r="Z32" i="99"/>
  <c r="X32" i="99"/>
  <c r="N32" i="99"/>
  <c r="L32" i="99"/>
  <c r="B32" i="99"/>
  <c r="T31" i="99"/>
  <c r="Z31" i="99" s="1"/>
  <c r="P31" i="99"/>
  <c r="J31" i="99"/>
  <c r="H31" i="99"/>
  <c r="N31" i="99" s="1"/>
  <c r="D31" i="99"/>
  <c r="B31" i="99"/>
  <c r="Z30" i="99"/>
  <c r="X30" i="99"/>
  <c r="N30" i="99"/>
  <c r="L30" i="99"/>
  <c r="B30" i="99"/>
  <c r="Z29" i="99"/>
  <c r="X29" i="99"/>
  <c r="N29" i="99"/>
  <c r="L29" i="99"/>
  <c r="B29" i="99"/>
  <c r="Z28" i="99"/>
  <c r="X28" i="99"/>
  <c r="N28" i="99"/>
  <c r="L28" i="99"/>
  <c r="B28" i="99"/>
  <c r="Z27" i="99"/>
  <c r="X27" i="99"/>
  <c r="N27" i="99"/>
  <c r="L27" i="99"/>
  <c r="J27" i="99"/>
  <c r="B27" i="99"/>
  <c r="Z26" i="99"/>
  <c r="X26" i="99"/>
  <c r="N26" i="99"/>
  <c r="L26" i="99"/>
  <c r="B26" i="99"/>
  <c r="Z25" i="99"/>
  <c r="X25" i="99"/>
  <c r="N25" i="99"/>
  <c r="L25" i="99"/>
  <c r="B25" i="99"/>
  <c r="Z24" i="99"/>
  <c r="X24" i="99"/>
  <c r="N24" i="99"/>
  <c r="L24" i="99"/>
  <c r="B24" i="99"/>
  <c r="Z23" i="99"/>
  <c r="X23" i="99"/>
  <c r="N23" i="99"/>
  <c r="L23" i="99"/>
  <c r="J23" i="99"/>
  <c r="B23" i="99"/>
  <c r="X22" i="99"/>
  <c r="T22" i="99"/>
  <c r="Z22" i="99" s="1"/>
  <c r="P22" i="99"/>
  <c r="H22" i="99"/>
  <c r="N22" i="99" s="1"/>
  <c r="D22" i="99"/>
  <c r="B22" i="99"/>
  <c r="Z21" i="99"/>
  <c r="T21" i="99"/>
  <c r="P21" i="99"/>
  <c r="X21" i="99" s="1"/>
  <c r="N21" i="99"/>
  <c r="J21" i="99"/>
  <c r="H21" i="99"/>
  <c r="L21" i="99" s="1"/>
  <c r="D21" i="99"/>
  <c r="J19" i="99"/>
  <c r="Z17" i="99"/>
  <c r="X17" i="99"/>
  <c r="N17" i="99"/>
  <c r="L17" i="99"/>
  <c r="J17" i="99"/>
  <c r="B17" i="99"/>
  <c r="Z16" i="99"/>
  <c r="T16" i="99"/>
  <c r="P16" i="99"/>
  <c r="X16" i="99" s="1"/>
  <c r="H16" i="99"/>
  <c r="N16" i="99" s="1"/>
  <c r="D16" i="99"/>
  <c r="Z14" i="99"/>
  <c r="T14" i="99"/>
  <c r="P14" i="99"/>
  <c r="X14" i="99" s="1"/>
  <c r="H14" i="99"/>
  <c r="N14" i="99" s="1"/>
  <c r="D14" i="99"/>
  <c r="L14" i="99" s="1"/>
  <c r="B14" i="99"/>
  <c r="T13" i="99"/>
  <c r="T12" i="99" s="1"/>
  <c r="V36" i="99" s="1"/>
  <c r="P13" i="99"/>
  <c r="H13" i="99"/>
  <c r="N13" i="99" s="1"/>
  <c r="D13" i="99"/>
  <c r="D12" i="99" s="1"/>
  <c r="B13" i="99"/>
  <c r="P12" i="99"/>
  <c r="H12" i="99"/>
  <c r="J48" i="99" s="1"/>
  <c r="D6" i="99"/>
  <c r="D4" i="99"/>
  <c r="X88" i="98"/>
  <c r="Z88" i="98" s="1"/>
  <c r="L88" i="98"/>
  <c r="N88" i="98" s="1"/>
  <c r="F88" i="98"/>
  <c r="T84" i="98"/>
  <c r="T83" i="98" s="1"/>
  <c r="P84" i="98"/>
  <c r="X84" i="98" s="1"/>
  <c r="Z84" i="98" s="1"/>
  <c r="H84" i="98"/>
  <c r="D84" i="98"/>
  <c r="B84" i="98"/>
  <c r="P83" i="98"/>
  <c r="X81" i="98"/>
  <c r="Z81" i="98" s="1"/>
  <c r="N81" i="98"/>
  <c r="L81" i="98"/>
  <c r="B81" i="98"/>
  <c r="X80" i="98"/>
  <c r="Z80" i="98" s="1"/>
  <c r="T80" i="98"/>
  <c r="P80" i="98"/>
  <c r="H80" i="98"/>
  <c r="N80" i="98" s="1"/>
  <c r="D80" i="98"/>
  <c r="L80" i="98" s="1"/>
  <c r="B80" i="98"/>
  <c r="Z79" i="98"/>
  <c r="X79" i="98"/>
  <c r="N79" i="98"/>
  <c r="L79" i="98"/>
  <c r="B79" i="98"/>
  <c r="T78" i="98"/>
  <c r="P78" i="98"/>
  <c r="L78" i="98"/>
  <c r="H78" i="98"/>
  <c r="N78" i="98" s="1"/>
  <c r="D78" i="98"/>
  <c r="B78" i="98"/>
  <c r="Z77" i="98"/>
  <c r="X77" i="98"/>
  <c r="N77" i="98"/>
  <c r="L77" i="98"/>
  <c r="B77" i="98"/>
  <c r="X76" i="98"/>
  <c r="Z76" i="98" s="1"/>
  <c r="N76" i="98"/>
  <c r="L76" i="98"/>
  <c r="B76" i="98"/>
  <c r="Z75" i="98"/>
  <c r="X75" i="98"/>
  <c r="N75" i="98"/>
  <c r="L75" i="98"/>
  <c r="B75" i="98"/>
  <c r="Z74" i="98"/>
  <c r="X74" i="98"/>
  <c r="L74" i="98"/>
  <c r="N74" i="98" s="1"/>
  <c r="B74" i="98"/>
  <c r="Z73" i="98"/>
  <c r="X73" i="98"/>
  <c r="N73" i="98"/>
  <c r="L73" i="98"/>
  <c r="B73" i="98"/>
  <c r="X72" i="98"/>
  <c r="Z72" i="98" s="1"/>
  <c r="L72" i="98"/>
  <c r="N72" i="98" s="1"/>
  <c r="B72" i="98"/>
  <c r="Z71" i="98"/>
  <c r="X71" i="98"/>
  <c r="L71" i="98"/>
  <c r="N71" i="98" s="1"/>
  <c r="B71" i="98"/>
  <c r="T70" i="98"/>
  <c r="P70" i="98"/>
  <c r="X70" i="98" s="1"/>
  <c r="Z70" i="98" s="1"/>
  <c r="H70" i="98"/>
  <c r="D70" i="98"/>
  <c r="B70" i="98"/>
  <c r="X69" i="98"/>
  <c r="Z69" i="98" s="1"/>
  <c r="L69" i="98"/>
  <c r="N69" i="98" s="1"/>
  <c r="B69" i="98"/>
  <c r="Z68" i="98"/>
  <c r="X68" i="98"/>
  <c r="N68" i="98"/>
  <c r="L68" i="98"/>
  <c r="B68" i="98"/>
  <c r="T67" i="98"/>
  <c r="P67" i="98"/>
  <c r="X67" i="98" s="1"/>
  <c r="Z67" i="98" s="1"/>
  <c r="H67" i="98"/>
  <c r="D67" i="98"/>
  <c r="L67" i="98" s="1"/>
  <c r="B67" i="98"/>
  <c r="X66" i="98"/>
  <c r="Z66" i="98" s="1"/>
  <c r="N66" i="98"/>
  <c r="L66" i="98"/>
  <c r="B66" i="98"/>
  <c r="X65" i="98"/>
  <c r="Z65" i="98" s="1"/>
  <c r="N65" i="98"/>
  <c r="L65" i="98"/>
  <c r="B65" i="98"/>
  <c r="X64" i="98"/>
  <c r="Z64" i="98" s="1"/>
  <c r="L64" i="98"/>
  <c r="N64" i="98" s="1"/>
  <c r="F64" i="98"/>
  <c r="B64" i="98"/>
  <c r="Z63" i="98"/>
  <c r="X63" i="98"/>
  <c r="T63" i="98"/>
  <c r="P63" i="98"/>
  <c r="H63" i="98"/>
  <c r="F63" i="98"/>
  <c r="D63" i="98"/>
  <c r="B63" i="98"/>
  <c r="Z62" i="98"/>
  <c r="X62" i="98"/>
  <c r="L62" i="98"/>
  <c r="N62" i="98" s="1"/>
  <c r="B62" i="98"/>
  <c r="Z61" i="98"/>
  <c r="X61" i="98"/>
  <c r="N61" i="98"/>
  <c r="L61" i="98"/>
  <c r="B61" i="98"/>
  <c r="Z60" i="98"/>
  <c r="X60" i="98"/>
  <c r="N60" i="98"/>
  <c r="L60" i="98"/>
  <c r="B60" i="98"/>
  <c r="T59" i="98"/>
  <c r="P59" i="98"/>
  <c r="X59" i="98" s="1"/>
  <c r="Z59" i="98" s="1"/>
  <c r="N59" i="98"/>
  <c r="H59" i="98"/>
  <c r="D59" i="98"/>
  <c r="L59" i="98" s="1"/>
  <c r="B59" i="98"/>
  <c r="X58" i="98"/>
  <c r="Z58" i="98" s="1"/>
  <c r="L58" i="98"/>
  <c r="N58" i="98" s="1"/>
  <c r="F58" i="98"/>
  <c r="B58" i="98"/>
  <c r="X57" i="98"/>
  <c r="Z57" i="98" s="1"/>
  <c r="L57" i="98"/>
  <c r="N57" i="98" s="1"/>
  <c r="B57" i="98"/>
  <c r="X56" i="98"/>
  <c r="Z56" i="98" s="1"/>
  <c r="T56" i="98"/>
  <c r="P56" i="98"/>
  <c r="H56" i="98"/>
  <c r="D56" i="98"/>
  <c r="L56" i="98" s="1"/>
  <c r="B56" i="98"/>
  <c r="Z55" i="98"/>
  <c r="X55" i="98"/>
  <c r="N55" i="98"/>
  <c r="L55" i="98"/>
  <c r="B55" i="98"/>
  <c r="X54" i="98"/>
  <c r="T54" i="98"/>
  <c r="Z54" i="98" s="1"/>
  <c r="P54" i="98"/>
  <c r="N54" i="98"/>
  <c r="L54" i="98"/>
  <c r="H54" i="98"/>
  <c r="D54" i="98"/>
  <c r="B54" i="98"/>
  <c r="Z53" i="98"/>
  <c r="X53" i="98"/>
  <c r="L53" i="98"/>
  <c r="N53" i="98" s="1"/>
  <c r="B53" i="98"/>
  <c r="T52" i="98"/>
  <c r="P52" i="98"/>
  <c r="X52" i="98" s="1"/>
  <c r="H52" i="98"/>
  <c r="D52" i="98"/>
  <c r="L52" i="98" s="1"/>
  <c r="N52" i="98" s="1"/>
  <c r="B52" i="98"/>
  <c r="X51" i="98"/>
  <c r="Z51" i="98" s="1"/>
  <c r="N51" i="98"/>
  <c r="L51" i="98"/>
  <c r="B51" i="98"/>
  <c r="T50" i="98"/>
  <c r="P50" i="98"/>
  <c r="X50" i="98" s="1"/>
  <c r="N50" i="98"/>
  <c r="L50" i="98"/>
  <c r="H50" i="98"/>
  <c r="D50" i="98"/>
  <c r="B50" i="98"/>
  <c r="Z49" i="98"/>
  <c r="X49" i="98"/>
  <c r="N49" i="98"/>
  <c r="L49" i="98"/>
  <c r="B49" i="98"/>
  <c r="X48" i="98"/>
  <c r="T48" i="98"/>
  <c r="Z48" i="98" s="1"/>
  <c r="P48" i="98"/>
  <c r="L48" i="98"/>
  <c r="H48" i="98"/>
  <c r="N48" i="98" s="1"/>
  <c r="D48" i="98"/>
  <c r="B48" i="98"/>
  <c r="Z47" i="98"/>
  <c r="X47" i="98"/>
  <c r="L47" i="98"/>
  <c r="N47" i="98" s="1"/>
  <c r="B47" i="98"/>
  <c r="Z46" i="98"/>
  <c r="X46" i="98"/>
  <c r="L46" i="98"/>
  <c r="N46" i="98" s="1"/>
  <c r="B46" i="98"/>
  <c r="T45" i="98"/>
  <c r="P45" i="98"/>
  <c r="X45" i="98" s="1"/>
  <c r="Z45" i="98" s="1"/>
  <c r="H45" i="98"/>
  <c r="D45" i="98"/>
  <c r="L45" i="98" s="1"/>
  <c r="N45" i="98" s="1"/>
  <c r="B45" i="98"/>
  <c r="X44" i="98"/>
  <c r="Z44" i="98" s="1"/>
  <c r="L44" i="98"/>
  <c r="N44" i="98" s="1"/>
  <c r="B44" i="98"/>
  <c r="X43" i="98"/>
  <c r="Z43" i="98" s="1"/>
  <c r="T43" i="98"/>
  <c r="P43" i="98"/>
  <c r="H43" i="98"/>
  <c r="N43" i="98" s="1"/>
  <c r="D43" i="98"/>
  <c r="L43" i="98" s="1"/>
  <c r="B43" i="98"/>
  <c r="X42" i="98"/>
  <c r="Z42" i="98" s="1"/>
  <c r="N42" i="98"/>
  <c r="L42" i="98"/>
  <c r="B42" i="98"/>
  <c r="T41" i="98"/>
  <c r="P41" i="98"/>
  <c r="N41" i="98"/>
  <c r="L41" i="98"/>
  <c r="H41" i="98"/>
  <c r="D41" i="98"/>
  <c r="B41" i="98"/>
  <c r="Z40" i="98"/>
  <c r="X40" i="98"/>
  <c r="L40" i="98"/>
  <c r="N40" i="98" s="1"/>
  <c r="B40" i="98"/>
  <c r="T39" i="98"/>
  <c r="P39" i="98"/>
  <c r="X39" i="98" s="1"/>
  <c r="Z39" i="98" s="1"/>
  <c r="N39" i="98"/>
  <c r="H39" i="98"/>
  <c r="D39" i="98"/>
  <c r="L39" i="98" s="1"/>
  <c r="B39" i="98"/>
  <c r="X38" i="98"/>
  <c r="Z38" i="98" s="1"/>
  <c r="L38" i="98"/>
  <c r="N38" i="98" s="1"/>
  <c r="F38" i="98"/>
  <c r="B38" i="98"/>
  <c r="X37" i="98"/>
  <c r="Z37" i="98" s="1"/>
  <c r="L37" i="98"/>
  <c r="N37" i="98" s="1"/>
  <c r="F37" i="98"/>
  <c r="B37" i="98"/>
  <c r="Z36" i="98"/>
  <c r="X36" i="98"/>
  <c r="N36" i="98"/>
  <c r="L36" i="98"/>
  <c r="B36" i="98"/>
  <c r="X35" i="98"/>
  <c r="Z35" i="98" s="1"/>
  <c r="N35" i="98"/>
  <c r="L35" i="98"/>
  <c r="B35" i="98"/>
  <c r="X34" i="98"/>
  <c r="Z34" i="98" s="1"/>
  <c r="L34" i="98"/>
  <c r="N34" i="98" s="1"/>
  <c r="F34" i="98"/>
  <c r="B34" i="98"/>
  <c r="X33" i="98"/>
  <c r="Z33" i="98" s="1"/>
  <c r="L33" i="98"/>
  <c r="N33" i="98" s="1"/>
  <c r="F33" i="98"/>
  <c r="B33" i="98"/>
  <c r="X32" i="98"/>
  <c r="Z32" i="98" s="1"/>
  <c r="T32" i="98"/>
  <c r="P32" i="98"/>
  <c r="H32" i="98"/>
  <c r="N32" i="98" s="1"/>
  <c r="F32" i="98"/>
  <c r="D32" i="98"/>
  <c r="L32" i="98" s="1"/>
  <c r="B32" i="98"/>
  <c r="X31" i="98"/>
  <c r="Z31" i="98" s="1"/>
  <c r="N31" i="98"/>
  <c r="L31" i="98"/>
  <c r="B31" i="98"/>
  <c r="Z30" i="98"/>
  <c r="X30" i="98"/>
  <c r="N30" i="98"/>
  <c r="L30" i="98"/>
  <c r="F30" i="98"/>
  <c r="B30" i="98"/>
  <c r="X29" i="98"/>
  <c r="Z29" i="98" s="1"/>
  <c r="N29" i="98"/>
  <c r="L29" i="98"/>
  <c r="F29" i="98"/>
  <c r="B29" i="98"/>
  <c r="X28" i="98"/>
  <c r="Z28" i="98" s="1"/>
  <c r="N28" i="98"/>
  <c r="L28" i="98"/>
  <c r="F28" i="98"/>
  <c r="B28" i="98"/>
  <c r="X27" i="98"/>
  <c r="Z27" i="98" s="1"/>
  <c r="N27" i="98"/>
  <c r="L27" i="98"/>
  <c r="B27" i="98"/>
  <c r="Z26" i="98"/>
  <c r="X26" i="98"/>
  <c r="N26" i="98"/>
  <c r="L26" i="98"/>
  <c r="F26" i="98"/>
  <c r="B26" i="98"/>
  <c r="X25" i="98"/>
  <c r="Z25" i="98" s="1"/>
  <c r="N25" i="98"/>
  <c r="L25" i="98"/>
  <c r="F25" i="98"/>
  <c r="B25" i="98"/>
  <c r="X24" i="98"/>
  <c r="Z24" i="98" s="1"/>
  <c r="N24" i="98"/>
  <c r="L24" i="98"/>
  <c r="F24" i="98"/>
  <c r="B24" i="98"/>
  <c r="Z23" i="98"/>
  <c r="X23" i="98"/>
  <c r="T23" i="98"/>
  <c r="P23" i="98"/>
  <c r="H23" i="98"/>
  <c r="F23" i="98"/>
  <c r="D23" i="98"/>
  <c r="B23" i="98"/>
  <c r="T22" i="98"/>
  <c r="P22" i="98"/>
  <c r="H22" i="98"/>
  <c r="D22" i="98"/>
  <c r="L22" i="98" s="1"/>
  <c r="D20" i="98"/>
  <c r="Z18" i="98"/>
  <c r="X18" i="98"/>
  <c r="L18" i="98"/>
  <c r="N18" i="98" s="1"/>
  <c r="B18" i="98"/>
  <c r="Z17" i="98"/>
  <c r="X17" i="98"/>
  <c r="L17" i="98"/>
  <c r="N17" i="98" s="1"/>
  <c r="B17" i="98"/>
  <c r="T16" i="98"/>
  <c r="P16" i="98"/>
  <c r="H16" i="98"/>
  <c r="D16" i="98"/>
  <c r="T14" i="98"/>
  <c r="P14" i="98"/>
  <c r="L14" i="98"/>
  <c r="H14" i="98"/>
  <c r="D14" i="98"/>
  <c r="B14" i="98"/>
  <c r="T13" i="98"/>
  <c r="P13" i="98"/>
  <c r="X13" i="98" s="1"/>
  <c r="Z13" i="98" s="1"/>
  <c r="H13" i="98"/>
  <c r="D13" i="98"/>
  <c r="B13" i="98"/>
  <c r="D12" i="98"/>
  <c r="F65" i="98" s="1"/>
  <c r="D6" i="98"/>
  <c r="D4" i="98"/>
  <c r="X92" i="96"/>
  <c r="Z92" i="96" s="1"/>
  <c r="N92" i="96"/>
  <c r="L92" i="96"/>
  <c r="T88" i="96"/>
  <c r="P88" i="96"/>
  <c r="H88" i="96"/>
  <c r="H87" i="96" s="1"/>
  <c r="D88" i="96"/>
  <c r="L88" i="96" s="1"/>
  <c r="B88" i="96"/>
  <c r="N87" i="96"/>
  <c r="L87" i="96"/>
  <c r="D87" i="96"/>
  <c r="X85" i="96"/>
  <c r="Z85" i="96" s="1"/>
  <c r="N85" i="96"/>
  <c r="L85" i="96"/>
  <c r="B85" i="96"/>
  <c r="X84" i="96"/>
  <c r="T84" i="96"/>
  <c r="P84" i="96"/>
  <c r="L84" i="96"/>
  <c r="H84" i="96"/>
  <c r="D84" i="96"/>
  <c r="B84" i="96"/>
  <c r="X83" i="96"/>
  <c r="Z83" i="96" s="1"/>
  <c r="R83" i="96"/>
  <c r="N83" i="96"/>
  <c r="L83" i="96"/>
  <c r="B83" i="96"/>
  <c r="Z82" i="96"/>
  <c r="X82" i="96"/>
  <c r="T82" i="96"/>
  <c r="P82" i="96"/>
  <c r="N82" i="96"/>
  <c r="L82" i="96"/>
  <c r="H82" i="96"/>
  <c r="D82" i="96"/>
  <c r="B82" i="96"/>
  <c r="Z81" i="96"/>
  <c r="X81" i="96"/>
  <c r="L81" i="96"/>
  <c r="N81" i="96" s="1"/>
  <c r="B81" i="96"/>
  <c r="T80" i="96"/>
  <c r="P80" i="96"/>
  <c r="X80" i="96" s="1"/>
  <c r="Z80" i="96" s="1"/>
  <c r="H80" i="96"/>
  <c r="N80" i="96" s="1"/>
  <c r="D80" i="96"/>
  <c r="L80" i="96" s="1"/>
  <c r="B80" i="96"/>
  <c r="X79" i="96"/>
  <c r="Z79" i="96" s="1"/>
  <c r="N79" i="96"/>
  <c r="L79" i="96"/>
  <c r="B79" i="96"/>
  <c r="X78" i="96"/>
  <c r="Z78" i="96" s="1"/>
  <c r="N78" i="96"/>
  <c r="L78" i="96"/>
  <c r="B78" i="96"/>
  <c r="Z77" i="96"/>
  <c r="X77" i="96"/>
  <c r="L77" i="96"/>
  <c r="N77" i="96" s="1"/>
  <c r="B77" i="96"/>
  <c r="X76" i="96"/>
  <c r="Z76" i="96" s="1"/>
  <c r="N76" i="96"/>
  <c r="L76" i="96"/>
  <c r="B76" i="96"/>
  <c r="X75" i="96"/>
  <c r="Z75" i="96" s="1"/>
  <c r="N75" i="96"/>
  <c r="L75" i="96"/>
  <c r="B75" i="96"/>
  <c r="Z74" i="96"/>
  <c r="X74" i="96"/>
  <c r="L74" i="96"/>
  <c r="N74" i="96" s="1"/>
  <c r="B74" i="96"/>
  <c r="Z73" i="96"/>
  <c r="X73" i="96"/>
  <c r="N73" i="96"/>
  <c r="L73" i="96"/>
  <c r="B73" i="96"/>
  <c r="X72" i="96"/>
  <c r="Z72" i="96" s="1"/>
  <c r="T72" i="96"/>
  <c r="P72" i="96"/>
  <c r="H72" i="96"/>
  <c r="D72" i="96"/>
  <c r="L72" i="96" s="1"/>
  <c r="N72" i="96" s="1"/>
  <c r="B72" i="96"/>
  <c r="Z71" i="96"/>
  <c r="X71" i="96"/>
  <c r="L71" i="96"/>
  <c r="N71" i="96" s="1"/>
  <c r="B71" i="96"/>
  <c r="Z70" i="96"/>
  <c r="X70" i="96"/>
  <c r="R70" i="96"/>
  <c r="N70" i="96"/>
  <c r="L70" i="96"/>
  <c r="B70" i="96"/>
  <c r="X69" i="96"/>
  <c r="T69" i="96"/>
  <c r="Z69" i="96" s="1"/>
  <c r="P69" i="96"/>
  <c r="L69" i="96"/>
  <c r="N69" i="96" s="1"/>
  <c r="H69" i="96"/>
  <c r="D69" i="96"/>
  <c r="B69" i="96"/>
  <c r="Z68" i="96"/>
  <c r="X68" i="96"/>
  <c r="N68" i="96"/>
  <c r="L68" i="96"/>
  <c r="B68" i="96"/>
  <c r="X67" i="96"/>
  <c r="Z67" i="96" s="1"/>
  <c r="L67" i="96"/>
  <c r="N67" i="96" s="1"/>
  <c r="B67" i="96"/>
  <c r="Z66" i="96"/>
  <c r="X66" i="96"/>
  <c r="N66" i="96"/>
  <c r="L66" i="96"/>
  <c r="B66" i="96"/>
  <c r="Z65" i="96"/>
  <c r="X65" i="96"/>
  <c r="R65" i="96"/>
  <c r="N65" i="96"/>
  <c r="L65" i="96"/>
  <c r="B65" i="96"/>
  <c r="Z64" i="96"/>
  <c r="X64" i="96"/>
  <c r="L64" i="96"/>
  <c r="N64" i="96" s="1"/>
  <c r="B64" i="96"/>
  <c r="X63" i="96"/>
  <c r="T63" i="96"/>
  <c r="Z63" i="96" s="1"/>
  <c r="P63" i="96"/>
  <c r="H63" i="96"/>
  <c r="D63" i="96"/>
  <c r="B63" i="96"/>
  <c r="Z62" i="96"/>
  <c r="X62" i="96"/>
  <c r="L62" i="96"/>
  <c r="N62" i="96" s="1"/>
  <c r="B62" i="96"/>
  <c r="X61" i="96"/>
  <c r="Z61" i="96" s="1"/>
  <c r="N61" i="96"/>
  <c r="L61" i="96"/>
  <c r="B61" i="96"/>
  <c r="X60" i="96"/>
  <c r="Z60" i="96" s="1"/>
  <c r="L60" i="96"/>
  <c r="N60" i="96" s="1"/>
  <c r="B60" i="96"/>
  <c r="X59" i="96"/>
  <c r="Z59" i="96" s="1"/>
  <c r="N59" i="96"/>
  <c r="L59" i="96"/>
  <c r="B59" i="96"/>
  <c r="T58" i="96"/>
  <c r="P58" i="96"/>
  <c r="X58" i="96" s="1"/>
  <c r="Z58" i="96" s="1"/>
  <c r="L58" i="96"/>
  <c r="N58" i="96" s="1"/>
  <c r="H58" i="96"/>
  <c r="D58" i="96"/>
  <c r="B58" i="96"/>
  <c r="X57" i="96"/>
  <c r="Z57" i="96" s="1"/>
  <c r="N57" i="96"/>
  <c r="L57" i="96"/>
  <c r="B57" i="96"/>
  <c r="X56" i="96"/>
  <c r="T56" i="96"/>
  <c r="Z56" i="96" s="1"/>
  <c r="P56" i="96"/>
  <c r="H56" i="96"/>
  <c r="D56" i="96"/>
  <c r="B56" i="96"/>
  <c r="X55" i="96"/>
  <c r="Z55" i="96" s="1"/>
  <c r="L55" i="96"/>
  <c r="N55" i="96" s="1"/>
  <c r="B55" i="96"/>
  <c r="Z54" i="96"/>
  <c r="T54" i="96"/>
  <c r="R54" i="96"/>
  <c r="P54" i="96"/>
  <c r="X54" i="96" s="1"/>
  <c r="H54" i="96"/>
  <c r="N54" i="96" s="1"/>
  <c r="D54" i="96"/>
  <c r="L54" i="96" s="1"/>
  <c r="B54" i="96"/>
  <c r="Z53" i="96"/>
  <c r="X53" i="96"/>
  <c r="R53" i="96"/>
  <c r="N53" i="96"/>
  <c r="L53" i="96"/>
  <c r="B53" i="96"/>
  <c r="X52" i="96"/>
  <c r="Z52" i="96" s="1"/>
  <c r="T52" i="96"/>
  <c r="P52" i="96"/>
  <c r="N52" i="96"/>
  <c r="H52" i="96"/>
  <c r="D52" i="96"/>
  <c r="L52" i="96" s="1"/>
  <c r="B52" i="96"/>
  <c r="Z51" i="96"/>
  <c r="X51" i="96"/>
  <c r="L51" i="96"/>
  <c r="N51" i="96" s="1"/>
  <c r="B51" i="96"/>
  <c r="T50" i="96"/>
  <c r="R50" i="96"/>
  <c r="P50" i="96"/>
  <c r="L50" i="96"/>
  <c r="H50" i="96"/>
  <c r="N50" i="96" s="1"/>
  <c r="D50" i="96"/>
  <c r="B50" i="96"/>
  <c r="Z49" i="96"/>
  <c r="X49" i="96"/>
  <c r="R49" i="96"/>
  <c r="N49" i="96"/>
  <c r="L49" i="96"/>
  <c r="B49" i="96"/>
  <c r="T48" i="96"/>
  <c r="P48" i="96"/>
  <c r="X48" i="96" s="1"/>
  <c r="N48" i="96"/>
  <c r="H48" i="96"/>
  <c r="D48" i="96"/>
  <c r="L48" i="96" s="1"/>
  <c r="B48" i="96"/>
  <c r="X47" i="96"/>
  <c r="Z47" i="96" s="1"/>
  <c r="N47" i="96"/>
  <c r="L47" i="96"/>
  <c r="B47" i="96"/>
  <c r="Z46" i="96"/>
  <c r="X46" i="96"/>
  <c r="L46" i="96"/>
  <c r="N46" i="96" s="1"/>
  <c r="F46" i="96"/>
  <c r="B46" i="96"/>
  <c r="T45" i="96"/>
  <c r="P45" i="96"/>
  <c r="X45" i="96" s="1"/>
  <c r="H45" i="96"/>
  <c r="D45" i="96"/>
  <c r="L45" i="96" s="1"/>
  <c r="B45" i="96"/>
  <c r="X44" i="96"/>
  <c r="Z44" i="96" s="1"/>
  <c r="N44" i="96"/>
  <c r="L44" i="96"/>
  <c r="B44" i="96"/>
  <c r="Z43" i="96"/>
  <c r="X43" i="96"/>
  <c r="T43" i="96"/>
  <c r="P43" i="96"/>
  <c r="L43" i="96"/>
  <c r="H43" i="96"/>
  <c r="N43" i="96" s="1"/>
  <c r="D43" i="96"/>
  <c r="B43" i="96"/>
  <c r="Z42" i="96"/>
  <c r="X42" i="96"/>
  <c r="N42" i="96"/>
  <c r="L42" i="96"/>
  <c r="B42" i="96"/>
  <c r="T41" i="96"/>
  <c r="P41" i="96"/>
  <c r="L41" i="96"/>
  <c r="N41" i="96" s="1"/>
  <c r="H41" i="96"/>
  <c r="D41" i="96"/>
  <c r="B41" i="96"/>
  <c r="X40" i="96"/>
  <c r="Z40" i="96" s="1"/>
  <c r="L40" i="96"/>
  <c r="N40" i="96" s="1"/>
  <c r="B40" i="96"/>
  <c r="T39" i="96"/>
  <c r="Z39" i="96" s="1"/>
  <c r="R39" i="96"/>
  <c r="P39" i="96"/>
  <c r="X39" i="96" s="1"/>
  <c r="H39" i="96"/>
  <c r="N39" i="96" s="1"/>
  <c r="D39" i="96"/>
  <c r="L39" i="96" s="1"/>
  <c r="B39" i="96"/>
  <c r="X38" i="96"/>
  <c r="Z38" i="96" s="1"/>
  <c r="R38" i="96"/>
  <c r="N38" i="96"/>
  <c r="L38" i="96"/>
  <c r="B38" i="96"/>
  <c r="X37" i="96"/>
  <c r="Z37" i="96" s="1"/>
  <c r="N37" i="96"/>
  <c r="L37" i="96"/>
  <c r="B37" i="96"/>
  <c r="X36" i="96"/>
  <c r="Z36" i="96" s="1"/>
  <c r="N36" i="96"/>
  <c r="L36" i="96"/>
  <c r="B36" i="96"/>
  <c r="X35" i="96"/>
  <c r="Z35" i="96" s="1"/>
  <c r="L35" i="96"/>
  <c r="N35" i="96" s="1"/>
  <c r="B35" i="96"/>
  <c r="X34" i="96"/>
  <c r="Z34" i="96" s="1"/>
  <c r="R34" i="96"/>
  <c r="N34" i="96"/>
  <c r="L34" i="96"/>
  <c r="B34" i="96"/>
  <c r="X33" i="96"/>
  <c r="Z33" i="96" s="1"/>
  <c r="N33" i="96"/>
  <c r="L33" i="96"/>
  <c r="F33" i="96"/>
  <c r="B33" i="96"/>
  <c r="X32" i="96"/>
  <c r="T32" i="96"/>
  <c r="Z32" i="96" s="1"/>
  <c r="R32" i="96"/>
  <c r="P32" i="96"/>
  <c r="H32" i="96"/>
  <c r="D32" i="96"/>
  <c r="B32" i="96"/>
  <c r="X31" i="96"/>
  <c r="Z31" i="96" s="1"/>
  <c r="R31" i="96"/>
  <c r="L31" i="96"/>
  <c r="N31" i="96" s="1"/>
  <c r="B31" i="96"/>
  <c r="Z30" i="96"/>
  <c r="X30" i="96"/>
  <c r="R30" i="96"/>
  <c r="N30" i="96"/>
  <c r="L30" i="96"/>
  <c r="B30" i="96"/>
  <c r="Z29" i="96"/>
  <c r="X29" i="96"/>
  <c r="R29" i="96"/>
  <c r="N29" i="96"/>
  <c r="L29" i="96"/>
  <c r="B29" i="96"/>
  <c r="Z28" i="96"/>
  <c r="X28" i="96"/>
  <c r="R28" i="96"/>
  <c r="L28" i="96"/>
  <c r="N28" i="96" s="1"/>
  <c r="B28" i="96"/>
  <c r="X27" i="96"/>
  <c r="Z27" i="96" s="1"/>
  <c r="R27" i="96"/>
  <c r="L27" i="96"/>
  <c r="N27" i="96" s="1"/>
  <c r="B27" i="96"/>
  <c r="Z26" i="96"/>
  <c r="X26" i="96"/>
  <c r="R26" i="96"/>
  <c r="N26" i="96"/>
  <c r="L26" i="96"/>
  <c r="B26" i="96"/>
  <c r="Z25" i="96"/>
  <c r="X25" i="96"/>
  <c r="R25" i="96"/>
  <c r="N25" i="96"/>
  <c r="L25" i="96"/>
  <c r="B25" i="96"/>
  <c r="Z24" i="96"/>
  <c r="X24" i="96"/>
  <c r="R24" i="96"/>
  <c r="L24" i="96"/>
  <c r="N24" i="96" s="1"/>
  <c r="B24" i="96"/>
  <c r="X23" i="96"/>
  <c r="T23" i="96"/>
  <c r="Z23" i="96" s="1"/>
  <c r="P23" i="96"/>
  <c r="H23" i="96"/>
  <c r="D23" i="96"/>
  <c r="B23" i="96"/>
  <c r="T22" i="96"/>
  <c r="P22" i="96"/>
  <c r="X22" i="96" s="1"/>
  <c r="Z22" i="96" s="1"/>
  <c r="L22" i="96"/>
  <c r="N22" i="96" s="1"/>
  <c r="H22" i="96"/>
  <c r="D22" i="96"/>
  <c r="P20" i="96"/>
  <c r="Z18" i="96"/>
  <c r="X18" i="96"/>
  <c r="L18" i="96"/>
  <c r="N18" i="96" s="1"/>
  <c r="F18" i="96"/>
  <c r="B18" i="96"/>
  <c r="Z17" i="96"/>
  <c r="X17" i="96"/>
  <c r="R17" i="96"/>
  <c r="L17" i="96"/>
  <c r="N17" i="96" s="1"/>
  <c r="B17" i="96"/>
  <c r="X16" i="96"/>
  <c r="Z16" i="96" s="1"/>
  <c r="T16" i="96"/>
  <c r="P16" i="96"/>
  <c r="H16" i="96"/>
  <c r="D16" i="96"/>
  <c r="L16" i="96" s="1"/>
  <c r="N16" i="96" s="1"/>
  <c r="T14" i="96"/>
  <c r="P14" i="96"/>
  <c r="H14" i="96"/>
  <c r="L14" i="96" s="1"/>
  <c r="D14" i="96"/>
  <c r="B14" i="96"/>
  <c r="T13" i="96"/>
  <c r="P13" i="96"/>
  <c r="N13" i="96"/>
  <c r="L13" i="96"/>
  <c r="H13" i="96"/>
  <c r="D13" i="96"/>
  <c r="B13" i="96"/>
  <c r="P12" i="96"/>
  <c r="R92" i="96" s="1"/>
  <c r="D12" i="96"/>
  <c r="F62" i="96" s="1"/>
  <c r="D6" i="96"/>
  <c r="D4" i="96"/>
  <c r="X79" i="95"/>
  <c r="Z79" i="95" s="1"/>
  <c r="N79" i="95"/>
  <c r="L79" i="95"/>
  <c r="X75" i="95"/>
  <c r="T75" i="95"/>
  <c r="Z75" i="95" s="1"/>
  <c r="P75" i="95"/>
  <c r="N75" i="95"/>
  <c r="H75" i="95"/>
  <c r="D75" i="95"/>
  <c r="L75" i="95" s="1"/>
  <c r="X73" i="95"/>
  <c r="Z73" i="95" s="1"/>
  <c r="N73" i="95"/>
  <c r="L73" i="95"/>
  <c r="B73" i="95"/>
  <c r="T72" i="95"/>
  <c r="P72" i="95"/>
  <c r="X72" i="95" s="1"/>
  <c r="Z72" i="95" s="1"/>
  <c r="H72" i="95"/>
  <c r="N72" i="95" s="1"/>
  <c r="D72" i="95"/>
  <c r="L72" i="95" s="1"/>
  <c r="B72" i="95"/>
  <c r="X71" i="95"/>
  <c r="Z71" i="95" s="1"/>
  <c r="N71" i="95"/>
  <c r="L71" i="95"/>
  <c r="B71" i="95"/>
  <c r="X70" i="95"/>
  <c r="T70" i="95"/>
  <c r="Z70" i="95" s="1"/>
  <c r="P70" i="95"/>
  <c r="H70" i="95"/>
  <c r="D70" i="95"/>
  <c r="L70" i="95" s="1"/>
  <c r="N70" i="95" s="1"/>
  <c r="B70" i="95"/>
  <c r="Z69" i="95"/>
  <c r="X69" i="95"/>
  <c r="N69" i="95"/>
  <c r="L69" i="95"/>
  <c r="B69" i="95"/>
  <c r="X68" i="95"/>
  <c r="Z68" i="95" s="1"/>
  <c r="N68" i="95"/>
  <c r="L68" i="95"/>
  <c r="B68" i="95"/>
  <c r="Z67" i="95"/>
  <c r="X67" i="95"/>
  <c r="N67" i="95"/>
  <c r="L67" i="95"/>
  <c r="B67" i="95"/>
  <c r="Z66" i="95"/>
  <c r="X66" i="95"/>
  <c r="N66" i="95"/>
  <c r="L66" i="95"/>
  <c r="B66" i="95"/>
  <c r="Z65" i="95"/>
  <c r="X65" i="95"/>
  <c r="N65" i="95"/>
  <c r="L65" i="95"/>
  <c r="J65" i="95"/>
  <c r="B65" i="95"/>
  <c r="X64" i="95"/>
  <c r="Z64" i="95" s="1"/>
  <c r="L64" i="95"/>
  <c r="N64" i="95" s="1"/>
  <c r="B64" i="95"/>
  <c r="Z63" i="95"/>
  <c r="X63" i="95"/>
  <c r="N63" i="95"/>
  <c r="L63" i="95"/>
  <c r="B63" i="95"/>
  <c r="Z62" i="95"/>
  <c r="T62" i="95"/>
  <c r="X62" i="95" s="1"/>
  <c r="P62" i="95"/>
  <c r="L62" i="95"/>
  <c r="N62" i="95" s="1"/>
  <c r="H62" i="95"/>
  <c r="D62" i="95"/>
  <c r="B62" i="95"/>
  <c r="X61" i="95"/>
  <c r="Z61" i="95" s="1"/>
  <c r="N61" i="95"/>
  <c r="L61" i="95"/>
  <c r="B61" i="95"/>
  <c r="T60" i="95"/>
  <c r="P60" i="95"/>
  <c r="X60" i="95" s="1"/>
  <c r="Z60" i="95" s="1"/>
  <c r="H60" i="95"/>
  <c r="N60" i="95" s="1"/>
  <c r="D60" i="95"/>
  <c r="L60" i="95" s="1"/>
  <c r="B60" i="95"/>
  <c r="X59" i="95"/>
  <c r="Z59" i="95" s="1"/>
  <c r="N59" i="95"/>
  <c r="L59" i="95"/>
  <c r="B59" i="95"/>
  <c r="X58" i="95"/>
  <c r="T58" i="95"/>
  <c r="Z58" i="95" s="1"/>
  <c r="P58" i="95"/>
  <c r="L58" i="95"/>
  <c r="N58" i="95" s="1"/>
  <c r="H58" i="95"/>
  <c r="F58" i="95"/>
  <c r="D58" i="95"/>
  <c r="B58" i="95"/>
  <c r="Z57" i="95"/>
  <c r="X57" i="95"/>
  <c r="L57" i="95"/>
  <c r="N57" i="95" s="1"/>
  <c r="B57" i="95"/>
  <c r="X56" i="95"/>
  <c r="Z56" i="95" s="1"/>
  <c r="T56" i="95"/>
  <c r="P56" i="95"/>
  <c r="N56" i="95"/>
  <c r="H56" i="95"/>
  <c r="L56" i="95" s="1"/>
  <c r="D56" i="95"/>
  <c r="B56" i="95"/>
  <c r="Z55" i="95"/>
  <c r="X55" i="95"/>
  <c r="L55" i="95"/>
  <c r="N55" i="95" s="1"/>
  <c r="B55" i="95"/>
  <c r="Z54" i="95"/>
  <c r="X54" i="95"/>
  <c r="L54" i="95"/>
  <c r="N54" i="95" s="1"/>
  <c r="B54" i="95"/>
  <c r="X53" i="95"/>
  <c r="Z53" i="95" s="1"/>
  <c r="T53" i="95"/>
  <c r="P53" i="95"/>
  <c r="N53" i="95"/>
  <c r="H53" i="95"/>
  <c r="D53" i="95"/>
  <c r="L53" i="95" s="1"/>
  <c r="B53" i="95"/>
  <c r="Z52" i="95"/>
  <c r="X52" i="95"/>
  <c r="L52" i="95"/>
  <c r="N52" i="95" s="1"/>
  <c r="B52" i="95"/>
  <c r="X51" i="95"/>
  <c r="T51" i="95"/>
  <c r="P51" i="95"/>
  <c r="L51" i="95"/>
  <c r="N51" i="95" s="1"/>
  <c r="H51" i="95"/>
  <c r="D51" i="95"/>
  <c r="B51" i="95"/>
  <c r="Z50" i="95"/>
  <c r="X50" i="95"/>
  <c r="N50" i="95"/>
  <c r="L50" i="95"/>
  <c r="F50" i="95"/>
  <c r="B50" i="95"/>
  <c r="T49" i="95"/>
  <c r="P49" i="95"/>
  <c r="H49" i="95"/>
  <c r="L49" i="95" s="1"/>
  <c r="D49" i="95"/>
  <c r="B49" i="95"/>
  <c r="X48" i="95"/>
  <c r="Z48" i="95" s="1"/>
  <c r="N48" i="95"/>
  <c r="L48" i="95"/>
  <c r="B48" i="95"/>
  <c r="Z47" i="95"/>
  <c r="T47" i="95"/>
  <c r="P47" i="95"/>
  <c r="X47" i="95" s="1"/>
  <c r="N47" i="95"/>
  <c r="J47" i="95"/>
  <c r="H47" i="95"/>
  <c r="D47" i="95"/>
  <c r="L47" i="95" s="1"/>
  <c r="B47" i="95"/>
  <c r="X46" i="95"/>
  <c r="Z46" i="95" s="1"/>
  <c r="N46" i="95"/>
  <c r="L46" i="95"/>
  <c r="J46" i="95"/>
  <c r="B46" i="95"/>
  <c r="X45" i="95"/>
  <c r="T45" i="95"/>
  <c r="Z45" i="95" s="1"/>
  <c r="P45" i="95"/>
  <c r="H45" i="95"/>
  <c r="F45" i="95"/>
  <c r="D45" i="95"/>
  <c r="B45" i="95"/>
  <c r="Z44" i="95"/>
  <c r="X44" i="95"/>
  <c r="L44" i="95"/>
  <c r="N44" i="95" s="1"/>
  <c r="J44" i="95"/>
  <c r="B44" i="95"/>
  <c r="Z43" i="95"/>
  <c r="T43" i="95"/>
  <c r="X43" i="95" s="1"/>
  <c r="P43" i="95"/>
  <c r="H43" i="95"/>
  <c r="D43" i="95"/>
  <c r="B43" i="95"/>
  <c r="Z42" i="95"/>
  <c r="X42" i="95"/>
  <c r="L42" i="95"/>
  <c r="N42" i="95" s="1"/>
  <c r="B42" i="95"/>
  <c r="T41" i="95"/>
  <c r="P41" i="95"/>
  <c r="X41" i="95" s="1"/>
  <c r="N41" i="95"/>
  <c r="H41" i="95"/>
  <c r="D41" i="95"/>
  <c r="L41" i="95" s="1"/>
  <c r="B41" i="95"/>
  <c r="Z40" i="95"/>
  <c r="X40" i="95"/>
  <c r="L40" i="95"/>
  <c r="N40" i="95" s="1"/>
  <c r="F40" i="95"/>
  <c r="B40" i="95"/>
  <c r="X39" i="95"/>
  <c r="T39" i="95"/>
  <c r="P39" i="95"/>
  <c r="L39" i="95"/>
  <c r="J39" i="95"/>
  <c r="H39" i="95"/>
  <c r="N39" i="95" s="1"/>
  <c r="D39" i="95"/>
  <c r="B39" i="95"/>
  <c r="Z38" i="95"/>
  <c r="X38" i="95"/>
  <c r="N38" i="95"/>
  <c r="L38" i="95"/>
  <c r="B38" i="95"/>
  <c r="Z37" i="95"/>
  <c r="X37" i="95"/>
  <c r="L37" i="95"/>
  <c r="N37" i="95" s="1"/>
  <c r="J37" i="95"/>
  <c r="B37" i="95"/>
  <c r="Z36" i="95"/>
  <c r="X36" i="95"/>
  <c r="N36" i="95"/>
  <c r="L36" i="95"/>
  <c r="B36" i="95"/>
  <c r="Z35" i="95"/>
  <c r="X35" i="95"/>
  <c r="N35" i="95"/>
  <c r="L35" i="95"/>
  <c r="B35" i="95"/>
  <c r="Z34" i="95"/>
  <c r="X34" i="95"/>
  <c r="N34" i="95"/>
  <c r="L34" i="95"/>
  <c r="J34" i="95"/>
  <c r="B34" i="95"/>
  <c r="Z33" i="95"/>
  <c r="X33" i="95"/>
  <c r="L33" i="95"/>
  <c r="N33" i="95" s="1"/>
  <c r="J33" i="95"/>
  <c r="B33" i="95"/>
  <c r="T32" i="95"/>
  <c r="P32" i="95"/>
  <c r="N32" i="95"/>
  <c r="J32" i="95"/>
  <c r="H32" i="95"/>
  <c r="L32" i="95" s="1"/>
  <c r="D32" i="95"/>
  <c r="B32" i="95"/>
  <c r="Z31" i="95"/>
  <c r="X31" i="95"/>
  <c r="N31" i="95"/>
  <c r="L31" i="95"/>
  <c r="F31" i="95"/>
  <c r="B31" i="95"/>
  <c r="Z30" i="95"/>
  <c r="X30" i="95"/>
  <c r="L30" i="95"/>
  <c r="N30" i="95" s="1"/>
  <c r="J30" i="95"/>
  <c r="B30" i="95"/>
  <c r="X29" i="95"/>
  <c r="Z29" i="95" s="1"/>
  <c r="L29" i="95"/>
  <c r="N29" i="95" s="1"/>
  <c r="B29" i="95"/>
  <c r="Z28" i="95"/>
  <c r="X28" i="95"/>
  <c r="L28" i="95"/>
  <c r="N28" i="95" s="1"/>
  <c r="B28" i="95"/>
  <c r="Z27" i="95"/>
  <c r="X27" i="95"/>
  <c r="R27" i="95"/>
  <c r="L27" i="95"/>
  <c r="N27" i="95" s="1"/>
  <c r="B27" i="95"/>
  <c r="Z26" i="95"/>
  <c r="X26" i="95"/>
  <c r="L26" i="95"/>
  <c r="N26" i="95" s="1"/>
  <c r="B26" i="95"/>
  <c r="X25" i="95"/>
  <c r="Z25" i="95" s="1"/>
  <c r="L25" i="95"/>
  <c r="N25" i="95" s="1"/>
  <c r="B25" i="95"/>
  <c r="X24" i="95"/>
  <c r="Z24" i="95" s="1"/>
  <c r="N24" i="95"/>
  <c r="L24" i="95"/>
  <c r="B24" i="95"/>
  <c r="T23" i="95"/>
  <c r="P23" i="95"/>
  <c r="H23" i="95"/>
  <c r="D23" i="95"/>
  <c r="L23" i="95" s="1"/>
  <c r="B23" i="95"/>
  <c r="T22" i="95"/>
  <c r="P22" i="95"/>
  <c r="H22" i="95"/>
  <c r="D22" i="95"/>
  <c r="L22" i="95" s="1"/>
  <c r="N22" i="95" s="1"/>
  <c r="X18" i="95"/>
  <c r="Z18" i="95" s="1"/>
  <c r="L18" i="95"/>
  <c r="N18" i="95" s="1"/>
  <c r="J18" i="95"/>
  <c r="B18" i="95"/>
  <c r="Z17" i="95"/>
  <c r="X17" i="95"/>
  <c r="L17" i="95"/>
  <c r="N17" i="95" s="1"/>
  <c r="J17" i="95"/>
  <c r="B17" i="95"/>
  <c r="X16" i="95"/>
  <c r="T16" i="95"/>
  <c r="P16" i="95"/>
  <c r="H16" i="95"/>
  <c r="D16" i="95"/>
  <c r="L16" i="95" s="1"/>
  <c r="T14" i="95"/>
  <c r="P14" i="95"/>
  <c r="N14" i="95"/>
  <c r="L14" i="95"/>
  <c r="H14" i="95"/>
  <c r="D14" i="95"/>
  <c r="B14" i="95"/>
  <c r="X13" i="95"/>
  <c r="Z13" i="95" s="1"/>
  <c r="T13" i="95"/>
  <c r="P13" i="95"/>
  <c r="P12" i="95" s="1"/>
  <c r="R37" i="95" s="1"/>
  <c r="L13" i="95"/>
  <c r="N13" i="95" s="1"/>
  <c r="H13" i="95"/>
  <c r="D13" i="95"/>
  <c r="D12" i="95" s="1"/>
  <c r="B13" i="95"/>
  <c r="H12" i="95"/>
  <c r="J26" i="95" s="1"/>
  <c r="D6" i="95"/>
  <c r="D4" i="95"/>
  <c r="X70" i="94"/>
  <c r="Z70" i="94" s="1"/>
  <c r="N70" i="94"/>
  <c r="L70" i="94"/>
  <c r="T66" i="94"/>
  <c r="P66" i="94"/>
  <c r="P65" i="94" s="1"/>
  <c r="X65" i="94" s="1"/>
  <c r="J66" i="94"/>
  <c r="H66" i="94"/>
  <c r="D66" i="94"/>
  <c r="L66" i="94" s="1"/>
  <c r="B66" i="94"/>
  <c r="T65" i="94"/>
  <c r="J65" i="94"/>
  <c r="H65" i="94"/>
  <c r="D65" i="94"/>
  <c r="L65" i="94" s="1"/>
  <c r="N65" i="94" s="1"/>
  <c r="Z63" i="94"/>
  <c r="X63" i="94"/>
  <c r="N63" i="94"/>
  <c r="L63" i="94"/>
  <c r="B63" i="94"/>
  <c r="X62" i="94"/>
  <c r="T62" i="94"/>
  <c r="Z62" i="94" s="1"/>
  <c r="P62" i="94"/>
  <c r="H62" i="94"/>
  <c r="D62" i="94"/>
  <c r="L62" i="94" s="1"/>
  <c r="N62" i="94" s="1"/>
  <c r="B62" i="94"/>
  <c r="Z61" i="94"/>
  <c r="X61" i="94"/>
  <c r="L61" i="94"/>
  <c r="N61" i="94" s="1"/>
  <c r="B61" i="94"/>
  <c r="X60" i="94"/>
  <c r="Z60" i="94" s="1"/>
  <c r="R60" i="94"/>
  <c r="N60" i="94"/>
  <c r="L60" i="94"/>
  <c r="B60" i="94"/>
  <c r="Z59" i="94"/>
  <c r="X59" i="94"/>
  <c r="N59" i="94"/>
  <c r="L59" i="94"/>
  <c r="J59" i="94"/>
  <c r="B59" i="94"/>
  <c r="X58" i="94"/>
  <c r="Z58" i="94" s="1"/>
  <c r="N58" i="94"/>
  <c r="L58" i="94"/>
  <c r="B58" i="94"/>
  <c r="Z57" i="94"/>
  <c r="X57" i="94"/>
  <c r="L57" i="94"/>
  <c r="N57" i="94" s="1"/>
  <c r="B57" i="94"/>
  <c r="X56" i="94"/>
  <c r="Z56" i="94" s="1"/>
  <c r="R56" i="94"/>
  <c r="N56" i="94"/>
  <c r="L56" i="94"/>
  <c r="B56" i="94"/>
  <c r="Z55" i="94"/>
  <c r="X55" i="94"/>
  <c r="T55" i="94"/>
  <c r="P55" i="94"/>
  <c r="N55" i="94"/>
  <c r="H55" i="94"/>
  <c r="D55" i="94"/>
  <c r="L55" i="94" s="1"/>
  <c r="B55" i="94"/>
  <c r="Z54" i="94"/>
  <c r="X54" i="94"/>
  <c r="L54" i="94"/>
  <c r="N54" i="94" s="1"/>
  <c r="B54" i="94"/>
  <c r="X53" i="94"/>
  <c r="Z53" i="94" s="1"/>
  <c r="N53" i="94"/>
  <c r="L53" i="94"/>
  <c r="J53" i="94"/>
  <c r="B53" i="94"/>
  <c r="T52" i="94"/>
  <c r="P52" i="94"/>
  <c r="X52" i="94" s="1"/>
  <c r="Z52" i="94" s="1"/>
  <c r="H52" i="94"/>
  <c r="D52" i="94"/>
  <c r="L52" i="94" s="1"/>
  <c r="B52" i="94"/>
  <c r="Z51" i="94"/>
  <c r="X51" i="94"/>
  <c r="N51" i="94"/>
  <c r="L51" i="94"/>
  <c r="B51" i="94"/>
  <c r="X50" i="94"/>
  <c r="Z50" i="94" s="1"/>
  <c r="N50" i="94"/>
  <c r="L50" i="94"/>
  <c r="B50" i="94"/>
  <c r="Z49" i="94"/>
  <c r="X49" i="94"/>
  <c r="N49" i="94"/>
  <c r="L49" i="94"/>
  <c r="B49" i="94"/>
  <c r="T48" i="94"/>
  <c r="P48" i="94"/>
  <c r="X48" i="94" s="1"/>
  <c r="Z48" i="94" s="1"/>
  <c r="L48" i="94"/>
  <c r="H48" i="94"/>
  <c r="N48" i="94" s="1"/>
  <c r="D48" i="94"/>
  <c r="B48" i="94"/>
  <c r="Z47" i="94"/>
  <c r="X47" i="94"/>
  <c r="N47" i="94"/>
  <c r="L47" i="94"/>
  <c r="J47" i="94"/>
  <c r="B47" i="94"/>
  <c r="T46" i="94"/>
  <c r="P46" i="94"/>
  <c r="X46" i="94" s="1"/>
  <c r="H46" i="94"/>
  <c r="N46" i="94" s="1"/>
  <c r="D46" i="94"/>
  <c r="B46" i="94"/>
  <c r="X45" i="94"/>
  <c r="Z45" i="94" s="1"/>
  <c r="N45" i="94"/>
  <c r="L45" i="94"/>
  <c r="J45" i="94"/>
  <c r="B45" i="94"/>
  <c r="T44" i="94"/>
  <c r="P44" i="94"/>
  <c r="X44" i="94" s="1"/>
  <c r="Z44" i="94" s="1"/>
  <c r="H44" i="94"/>
  <c r="D44" i="94"/>
  <c r="B44" i="94"/>
  <c r="Z43" i="94"/>
  <c r="X43" i="94"/>
  <c r="N43" i="94"/>
  <c r="L43" i="94"/>
  <c r="B43" i="94"/>
  <c r="X42" i="94"/>
  <c r="T42" i="94"/>
  <c r="P42" i="94"/>
  <c r="H42" i="94"/>
  <c r="D42" i="94"/>
  <c r="L42" i="94" s="1"/>
  <c r="N42" i="94" s="1"/>
  <c r="B42" i="94"/>
  <c r="Z41" i="94"/>
  <c r="X41" i="94"/>
  <c r="L41" i="94"/>
  <c r="N41" i="94" s="1"/>
  <c r="B41" i="94"/>
  <c r="X40" i="94"/>
  <c r="T40" i="94"/>
  <c r="P40" i="94"/>
  <c r="H40" i="94"/>
  <c r="D40" i="94"/>
  <c r="L40" i="94" s="1"/>
  <c r="B40" i="94"/>
  <c r="Z39" i="94"/>
  <c r="X39" i="94"/>
  <c r="N39" i="94"/>
  <c r="L39" i="94"/>
  <c r="B39" i="94"/>
  <c r="T38" i="94"/>
  <c r="P38" i="94"/>
  <c r="H38" i="94"/>
  <c r="D38" i="94"/>
  <c r="L38" i="94" s="1"/>
  <c r="N38" i="94" s="1"/>
  <c r="B38" i="94"/>
  <c r="Z37" i="94"/>
  <c r="X37" i="94"/>
  <c r="N37" i="94"/>
  <c r="L37" i="94"/>
  <c r="B37" i="94"/>
  <c r="X36" i="94"/>
  <c r="Z36" i="94" s="1"/>
  <c r="L36" i="94"/>
  <c r="N36" i="94" s="1"/>
  <c r="B36" i="94"/>
  <c r="Z35" i="94"/>
  <c r="X35" i="94"/>
  <c r="N35" i="94"/>
  <c r="L35" i="94"/>
  <c r="B35" i="94"/>
  <c r="X34" i="94"/>
  <c r="Z34" i="94" s="1"/>
  <c r="L34" i="94"/>
  <c r="N34" i="94" s="1"/>
  <c r="B34" i="94"/>
  <c r="Z33" i="94"/>
  <c r="X33" i="94"/>
  <c r="V33" i="94"/>
  <c r="N33" i="94"/>
  <c r="L33" i="94"/>
  <c r="B33" i="94"/>
  <c r="T32" i="94"/>
  <c r="P32" i="94"/>
  <c r="X32" i="94" s="1"/>
  <c r="Z32" i="94" s="1"/>
  <c r="L32" i="94"/>
  <c r="H32" i="94"/>
  <c r="N32" i="94" s="1"/>
  <c r="D32" i="94"/>
  <c r="B32" i="94"/>
  <c r="Z31" i="94"/>
  <c r="X31" i="94"/>
  <c r="N31" i="94"/>
  <c r="L31" i="94"/>
  <c r="J31" i="94"/>
  <c r="B31" i="94"/>
  <c r="X30" i="94"/>
  <c r="Z30" i="94" s="1"/>
  <c r="N30" i="94"/>
  <c r="L30" i="94"/>
  <c r="B30" i="94"/>
  <c r="Z29" i="94"/>
  <c r="X29" i="94"/>
  <c r="L29" i="94"/>
  <c r="N29" i="94" s="1"/>
  <c r="B29" i="94"/>
  <c r="X28" i="94"/>
  <c r="Z28" i="94" s="1"/>
  <c r="N28" i="94"/>
  <c r="L28" i="94"/>
  <c r="B28" i="94"/>
  <c r="Z27" i="94"/>
  <c r="X27" i="94"/>
  <c r="N27" i="94"/>
  <c r="L27" i="94"/>
  <c r="J27" i="94"/>
  <c r="B27" i="94"/>
  <c r="X26" i="94"/>
  <c r="Z26" i="94" s="1"/>
  <c r="N26" i="94"/>
  <c r="L26" i="94"/>
  <c r="B26" i="94"/>
  <c r="Z25" i="94"/>
  <c r="X25" i="94"/>
  <c r="L25" i="94"/>
  <c r="N25" i="94" s="1"/>
  <c r="B25" i="94"/>
  <c r="X24" i="94"/>
  <c r="Z24" i="94" s="1"/>
  <c r="N24" i="94"/>
  <c r="L24" i="94"/>
  <c r="B24" i="94"/>
  <c r="Z23" i="94"/>
  <c r="X23" i="94"/>
  <c r="T23" i="94"/>
  <c r="R23" i="94"/>
  <c r="P23" i="94"/>
  <c r="H23" i="94"/>
  <c r="D23" i="94"/>
  <c r="L23" i="94" s="1"/>
  <c r="N23" i="94" s="1"/>
  <c r="B23" i="94"/>
  <c r="T22" i="94"/>
  <c r="P22" i="94"/>
  <c r="H22" i="94"/>
  <c r="D22" i="94"/>
  <c r="L22" i="94" s="1"/>
  <c r="N22" i="94" s="1"/>
  <c r="P20" i="94"/>
  <c r="X18" i="94"/>
  <c r="Z18" i="94" s="1"/>
  <c r="R18" i="94"/>
  <c r="L18" i="94"/>
  <c r="N18" i="94" s="1"/>
  <c r="B18" i="94"/>
  <c r="X17" i="94"/>
  <c r="Z17" i="94" s="1"/>
  <c r="V17" i="94"/>
  <c r="N17" i="94"/>
  <c r="L17" i="94"/>
  <c r="J17" i="94"/>
  <c r="B17" i="94"/>
  <c r="T16" i="94"/>
  <c r="P16" i="94"/>
  <c r="X16" i="94" s="1"/>
  <c r="Z16" i="94" s="1"/>
  <c r="H16" i="94"/>
  <c r="D16" i="94"/>
  <c r="T14" i="94"/>
  <c r="P14" i="94"/>
  <c r="X14" i="94" s="1"/>
  <c r="Z14" i="94" s="1"/>
  <c r="N14" i="94"/>
  <c r="L14" i="94"/>
  <c r="H14" i="94"/>
  <c r="D14" i="94"/>
  <c r="B14" i="94"/>
  <c r="T13" i="94"/>
  <c r="T12" i="94" s="1"/>
  <c r="V49" i="94" s="1"/>
  <c r="P13" i="94"/>
  <c r="H13" i="94"/>
  <c r="D13" i="94"/>
  <c r="B13" i="94"/>
  <c r="P12" i="94"/>
  <c r="R28" i="94" s="1"/>
  <c r="H12" i="94"/>
  <c r="J54" i="94" s="1"/>
  <c r="D6" i="94"/>
  <c r="D4" i="94"/>
  <c r="Z79" i="93"/>
  <c r="X79" i="93"/>
  <c r="L79" i="93"/>
  <c r="N79" i="93" s="1"/>
  <c r="Z75" i="93"/>
  <c r="T75" i="93"/>
  <c r="P75" i="93"/>
  <c r="X75" i="93" s="1"/>
  <c r="H75" i="93"/>
  <c r="N75" i="93" s="1"/>
  <c r="D75" i="93"/>
  <c r="L75" i="93" s="1"/>
  <c r="Z73" i="93"/>
  <c r="X73" i="93"/>
  <c r="N73" i="93"/>
  <c r="L73" i="93"/>
  <c r="B73" i="93"/>
  <c r="T72" i="93"/>
  <c r="P72" i="93"/>
  <c r="N72" i="93"/>
  <c r="L72" i="93"/>
  <c r="H72" i="93"/>
  <c r="D72" i="93"/>
  <c r="B72" i="93"/>
  <c r="X71" i="93"/>
  <c r="Z71" i="93" s="1"/>
  <c r="L71" i="93"/>
  <c r="N71" i="93" s="1"/>
  <c r="B71" i="93"/>
  <c r="V70" i="93"/>
  <c r="T70" i="93"/>
  <c r="P70" i="93"/>
  <c r="X70" i="93" s="1"/>
  <c r="Z70" i="93" s="1"/>
  <c r="H70" i="93"/>
  <c r="D70" i="93"/>
  <c r="L70" i="93" s="1"/>
  <c r="B70" i="93"/>
  <c r="X69" i="93"/>
  <c r="Z69" i="93" s="1"/>
  <c r="N69" i="93"/>
  <c r="L69" i="93"/>
  <c r="B69" i="93"/>
  <c r="Z68" i="93"/>
  <c r="X68" i="93"/>
  <c r="N68" i="93"/>
  <c r="L68" i="93"/>
  <c r="B68" i="93"/>
  <c r="X67" i="93"/>
  <c r="Z67" i="93" s="1"/>
  <c r="N67" i="93"/>
  <c r="L67" i="93"/>
  <c r="B67" i="93"/>
  <c r="X66" i="93"/>
  <c r="Z66" i="93" s="1"/>
  <c r="L66" i="93"/>
  <c r="N66" i="93" s="1"/>
  <c r="B66" i="93"/>
  <c r="X65" i="93"/>
  <c r="Z65" i="93" s="1"/>
  <c r="N65" i="93"/>
  <c r="L65" i="93"/>
  <c r="B65" i="93"/>
  <c r="Z64" i="93"/>
  <c r="X64" i="93"/>
  <c r="N64" i="93"/>
  <c r="L64" i="93"/>
  <c r="B64" i="93"/>
  <c r="X63" i="93"/>
  <c r="Z63" i="93" s="1"/>
  <c r="R63" i="93"/>
  <c r="N63" i="93"/>
  <c r="L63" i="93"/>
  <c r="B63" i="93"/>
  <c r="T62" i="93"/>
  <c r="P62" i="93"/>
  <c r="X62" i="93" s="1"/>
  <c r="Z62" i="93" s="1"/>
  <c r="N62" i="93"/>
  <c r="L62" i="93"/>
  <c r="H62" i="93"/>
  <c r="D62" i="93"/>
  <c r="B62" i="93"/>
  <c r="Z61" i="93"/>
  <c r="X61" i="93"/>
  <c r="L61" i="93"/>
  <c r="N61" i="93" s="1"/>
  <c r="B61" i="93"/>
  <c r="Z60" i="93"/>
  <c r="X60" i="93"/>
  <c r="N60" i="93"/>
  <c r="L60" i="93"/>
  <c r="B60" i="93"/>
  <c r="Z59" i="93"/>
  <c r="X59" i="93"/>
  <c r="L59" i="93"/>
  <c r="N59" i="93" s="1"/>
  <c r="B59" i="93"/>
  <c r="X58" i="93"/>
  <c r="T58" i="93"/>
  <c r="Z58" i="93" s="1"/>
  <c r="P58" i="93"/>
  <c r="N58" i="93"/>
  <c r="H58" i="93"/>
  <c r="L58" i="93" s="1"/>
  <c r="D58" i="93"/>
  <c r="B58" i="93"/>
  <c r="X57" i="93"/>
  <c r="Z57" i="93" s="1"/>
  <c r="N57" i="93"/>
  <c r="L57" i="93"/>
  <c r="B57" i="93"/>
  <c r="T56" i="93"/>
  <c r="R56" i="93"/>
  <c r="P56" i="93"/>
  <c r="H56" i="93"/>
  <c r="N56" i="93" s="1"/>
  <c r="D56" i="93"/>
  <c r="L56" i="93" s="1"/>
  <c r="B56" i="93"/>
  <c r="X55" i="93"/>
  <c r="Z55" i="93" s="1"/>
  <c r="N55" i="93"/>
  <c r="L55" i="93"/>
  <c r="B55" i="93"/>
  <c r="Z54" i="93"/>
  <c r="X54" i="93"/>
  <c r="N54" i="93"/>
  <c r="L54" i="93"/>
  <c r="B54" i="93"/>
  <c r="T53" i="93"/>
  <c r="P53" i="93"/>
  <c r="H53" i="93"/>
  <c r="D53" i="93"/>
  <c r="B53" i="93"/>
  <c r="Z52" i="93"/>
  <c r="X52" i="93"/>
  <c r="N52" i="93"/>
  <c r="L52" i="93"/>
  <c r="B52" i="93"/>
  <c r="Z51" i="93"/>
  <c r="T51" i="93"/>
  <c r="P51" i="93"/>
  <c r="X51" i="93" s="1"/>
  <c r="H51" i="93"/>
  <c r="D51" i="93"/>
  <c r="L51" i="93" s="1"/>
  <c r="N51" i="93" s="1"/>
  <c r="B51" i="93"/>
  <c r="Z50" i="93"/>
  <c r="X50" i="93"/>
  <c r="V50" i="93"/>
  <c r="N50" i="93"/>
  <c r="L50" i="93"/>
  <c r="B50" i="93"/>
  <c r="T49" i="93"/>
  <c r="P49" i="93"/>
  <c r="X49" i="93" s="1"/>
  <c r="Z49" i="93" s="1"/>
  <c r="H49" i="93"/>
  <c r="N49" i="93" s="1"/>
  <c r="D49" i="93"/>
  <c r="L49" i="93" s="1"/>
  <c r="B49" i="93"/>
  <c r="Z48" i="93"/>
  <c r="X48" i="93"/>
  <c r="N48" i="93"/>
  <c r="L48" i="93"/>
  <c r="B48" i="93"/>
  <c r="X47" i="93"/>
  <c r="V47" i="93"/>
  <c r="T47" i="93"/>
  <c r="P47" i="93"/>
  <c r="L47" i="93"/>
  <c r="H47" i="93"/>
  <c r="D47" i="93"/>
  <c r="B47" i="93"/>
  <c r="X46" i="93"/>
  <c r="Z46" i="93" s="1"/>
  <c r="N46" i="93"/>
  <c r="L46" i="93"/>
  <c r="B46" i="93"/>
  <c r="T45" i="93"/>
  <c r="P45" i="93"/>
  <c r="X45" i="93" s="1"/>
  <c r="Z45" i="93" s="1"/>
  <c r="H45" i="93"/>
  <c r="D45" i="93"/>
  <c r="B45" i="93"/>
  <c r="Z44" i="93"/>
  <c r="X44" i="93"/>
  <c r="L44" i="93"/>
  <c r="N44" i="93" s="1"/>
  <c r="B44" i="93"/>
  <c r="X43" i="93"/>
  <c r="V43" i="93"/>
  <c r="T43" i="93"/>
  <c r="R43" i="93"/>
  <c r="P43" i="93"/>
  <c r="H43" i="93"/>
  <c r="D43" i="93"/>
  <c r="L43" i="93" s="1"/>
  <c r="N43" i="93" s="1"/>
  <c r="B43" i="93"/>
  <c r="Z42" i="93"/>
  <c r="X42" i="93"/>
  <c r="V42" i="93"/>
  <c r="N42" i="93"/>
  <c r="L42" i="93"/>
  <c r="B42" i="93"/>
  <c r="T41" i="93"/>
  <c r="P41" i="93"/>
  <c r="X41" i="93" s="1"/>
  <c r="L41" i="93"/>
  <c r="H41" i="93"/>
  <c r="D41" i="93"/>
  <c r="B41" i="93"/>
  <c r="Z40" i="93"/>
  <c r="X40" i="93"/>
  <c r="N40" i="93"/>
  <c r="L40" i="93"/>
  <c r="B40" i="93"/>
  <c r="T39" i="93"/>
  <c r="P39" i="93"/>
  <c r="X39" i="93" s="1"/>
  <c r="L39" i="93"/>
  <c r="H39" i="93"/>
  <c r="D39" i="93"/>
  <c r="B39" i="93"/>
  <c r="Z38" i="93"/>
  <c r="X38" i="93"/>
  <c r="N38" i="93"/>
  <c r="L38" i="93"/>
  <c r="B38" i="93"/>
  <c r="X37" i="93"/>
  <c r="Z37" i="93" s="1"/>
  <c r="L37" i="93"/>
  <c r="N37" i="93" s="1"/>
  <c r="B37" i="93"/>
  <c r="Z36" i="93"/>
  <c r="X36" i="93"/>
  <c r="V36" i="93"/>
  <c r="N36" i="93"/>
  <c r="L36" i="93"/>
  <c r="B36" i="93"/>
  <c r="X35" i="93"/>
  <c r="Z35" i="93" s="1"/>
  <c r="R35" i="93"/>
  <c r="L35" i="93"/>
  <c r="N35" i="93" s="1"/>
  <c r="B35" i="93"/>
  <c r="Z34" i="93"/>
  <c r="X34" i="93"/>
  <c r="N34" i="93"/>
  <c r="L34" i="93"/>
  <c r="B34" i="93"/>
  <c r="X33" i="93"/>
  <c r="Z33" i="93" s="1"/>
  <c r="L33" i="93"/>
  <c r="N33" i="93" s="1"/>
  <c r="B33" i="93"/>
  <c r="Z32" i="93"/>
  <c r="V32" i="93"/>
  <c r="T32" i="93"/>
  <c r="P32" i="93"/>
  <c r="X32" i="93" s="1"/>
  <c r="H32" i="93"/>
  <c r="N32" i="93" s="1"/>
  <c r="D32" i="93"/>
  <c r="L32" i="93" s="1"/>
  <c r="B32" i="93"/>
  <c r="X31" i="93"/>
  <c r="Z31" i="93" s="1"/>
  <c r="L31" i="93"/>
  <c r="N31" i="93" s="1"/>
  <c r="B31" i="93"/>
  <c r="Z30" i="93"/>
  <c r="X30" i="93"/>
  <c r="V30" i="93"/>
  <c r="N30" i="93"/>
  <c r="L30" i="93"/>
  <c r="B30" i="93"/>
  <c r="X29" i="93"/>
  <c r="Z29" i="93" s="1"/>
  <c r="L29" i="93"/>
  <c r="N29" i="93" s="1"/>
  <c r="B29" i="93"/>
  <c r="Z28" i="93"/>
  <c r="X28" i="93"/>
  <c r="N28" i="93"/>
  <c r="L28" i="93"/>
  <c r="B28" i="93"/>
  <c r="X27" i="93"/>
  <c r="Z27" i="93" s="1"/>
  <c r="L27" i="93"/>
  <c r="N27" i="93" s="1"/>
  <c r="B27" i="93"/>
  <c r="Z26" i="93"/>
  <c r="X26" i="93"/>
  <c r="V26" i="93"/>
  <c r="N26" i="93"/>
  <c r="L26" i="93"/>
  <c r="B26" i="93"/>
  <c r="X25" i="93"/>
  <c r="Z25" i="93" s="1"/>
  <c r="L25" i="93"/>
  <c r="N25" i="93" s="1"/>
  <c r="B25" i="93"/>
  <c r="Z24" i="93"/>
  <c r="X24" i="93"/>
  <c r="N24" i="93"/>
  <c r="L24" i="93"/>
  <c r="B24" i="93"/>
  <c r="X23" i="93"/>
  <c r="T23" i="93"/>
  <c r="Z23" i="93" s="1"/>
  <c r="P23" i="93"/>
  <c r="H23" i="93"/>
  <c r="N23" i="93" s="1"/>
  <c r="D23" i="93"/>
  <c r="L23" i="93" s="1"/>
  <c r="B23" i="93"/>
  <c r="T22" i="93"/>
  <c r="P22" i="93"/>
  <c r="X22" i="93" s="1"/>
  <c r="Z22" i="93" s="1"/>
  <c r="H22" i="93"/>
  <c r="L22" i="93" s="1"/>
  <c r="N22" i="93" s="1"/>
  <c r="D22" i="93"/>
  <c r="Z18" i="93"/>
  <c r="X18" i="93"/>
  <c r="N18" i="93"/>
  <c r="L18" i="93"/>
  <c r="B18" i="93"/>
  <c r="T17" i="93"/>
  <c r="X17" i="93" s="1"/>
  <c r="P17" i="93"/>
  <c r="H17" i="93"/>
  <c r="D17" i="93"/>
  <c r="L17" i="93" s="1"/>
  <c r="T15" i="93"/>
  <c r="P15" i="93"/>
  <c r="X15" i="93" s="1"/>
  <c r="Z15" i="93" s="1"/>
  <c r="L15" i="93"/>
  <c r="H15" i="93"/>
  <c r="N15" i="93" s="1"/>
  <c r="D15" i="93"/>
  <c r="B15" i="93"/>
  <c r="T14" i="93"/>
  <c r="P14" i="93"/>
  <c r="X14" i="93" s="1"/>
  <c r="H14" i="93"/>
  <c r="D14" i="93"/>
  <c r="B14" i="93"/>
  <c r="T13" i="93"/>
  <c r="P13" i="93"/>
  <c r="P12" i="93" s="1"/>
  <c r="R46" i="93" s="1"/>
  <c r="H13" i="93"/>
  <c r="D13" i="93"/>
  <c r="B13" i="93"/>
  <c r="T12" i="93"/>
  <c r="V44" i="93" s="1"/>
  <c r="D6" i="93"/>
  <c r="D4" i="93"/>
  <c r="V100" i="92"/>
  <c r="V97" i="92"/>
  <c r="Z95" i="92"/>
  <c r="X95" i="92"/>
  <c r="V95" i="92"/>
  <c r="N95" i="92"/>
  <c r="L95" i="92"/>
  <c r="T91" i="92"/>
  <c r="X91" i="92" s="1"/>
  <c r="Z91" i="92" s="1"/>
  <c r="P91" i="92"/>
  <c r="H91" i="92"/>
  <c r="D91" i="92"/>
  <c r="L91" i="92" s="1"/>
  <c r="N91" i="92" s="1"/>
  <c r="B91" i="92"/>
  <c r="T90" i="92"/>
  <c r="P90" i="92"/>
  <c r="L90" i="92"/>
  <c r="H90" i="92"/>
  <c r="N90" i="92" s="1"/>
  <c r="D90" i="92"/>
  <c r="D89" i="92" s="1"/>
  <c r="B90" i="92"/>
  <c r="V89" i="92"/>
  <c r="Z87" i="92"/>
  <c r="X87" i="92"/>
  <c r="V87" i="92"/>
  <c r="N87" i="92"/>
  <c r="L87" i="92"/>
  <c r="B87" i="92"/>
  <c r="T86" i="92"/>
  <c r="P86" i="92"/>
  <c r="X86" i="92" s="1"/>
  <c r="L86" i="92"/>
  <c r="H86" i="92"/>
  <c r="D86" i="92"/>
  <c r="B86" i="92"/>
  <c r="Z85" i="92"/>
  <c r="X85" i="92"/>
  <c r="N85" i="92"/>
  <c r="L85" i="92"/>
  <c r="B85" i="92"/>
  <c r="Z84" i="92"/>
  <c r="X84" i="92"/>
  <c r="N84" i="92"/>
  <c r="L84" i="92"/>
  <c r="B84" i="92"/>
  <c r="Z83" i="92"/>
  <c r="X83" i="92"/>
  <c r="V83" i="92"/>
  <c r="N83" i="92"/>
  <c r="L83" i="92"/>
  <c r="B83" i="92"/>
  <c r="T82" i="92"/>
  <c r="P82" i="92"/>
  <c r="H82" i="92"/>
  <c r="N82" i="92" s="1"/>
  <c r="D82" i="92"/>
  <c r="L82" i="92" s="1"/>
  <c r="B82" i="92"/>
  <c r="Z81" i="92"/>
  <c r="X81" i="92"/>
  <c r="V81" i="92"/>
  <c r="N81" i="92"/>
  <c r="L81" i="92"/>
  <c r="B81" i="92"/>
  <c r="T80" i="92"/>
  <c r="P80" i="92"/>
  <c r="X80" i="92" s="1"/>
  <c r="L80" i="92"/>
  <c r="H80" i="92"/>
  <c r="N80" i="92" s="1"/>
  <c r="D80" i="92"/>
  <c r="B80" i="92"/>
  <c r="Z79" i="92"/>
  <c r="X79" i="92"/>
  <c r="V79" i="92"/>
  <c r="N79" i="92"/>
  <c r="L79" i="92"/>
  <c r="J79" i="92"/>
  <c r="B79" i="92"/>
  <c r="T78" i="92"/>
  <c r="P78" i="92"/>
  <c r="X78" i="92" s="1"/>
  <c r="L78" i="92"/>
  <c r="H78" i="92"/>
  <c r="D78" i="92"/>
  <c r="B78" i="92"/>
  <c r="Z77" i="92"/>
  <c r="X77" i="92"/>
  <c r="N77" i="92"/>
  <c r="L77" i="92"/>
  <c r="J77" i="92"/>
  <c r="B77" i="92"/>
  <c r="X76" i="92"/>
  <c r="Z76" i="92" s="1"/>
  <c r="N76" i="92"/>
  <c r="L76" i="92"/>
  <c r="B76" i="92"/>
  <c r="Z75" i="92"/>
  <c r="X75" i="92"/>
  <c r="V75" i="92"/>
  <c r="N75" i="92"/>
  <c r="L75" i="92"/>
  <c r="B75" i="92"/>
  <c r="X74" i="92"/>
  <c r="Z74" i="92" s="1"/>
  <c r="L74" i="92"/>
  <c r="N74" i="92" s="1"/>
  <c r="B74" i="92"/>
  <c r="Z73" i="92"/>
  <c r="X73" i="92"/>
  <c r="V73" i="92"/>
  <c r="N73" i="92"/>
  <c r="L73" i="92"/>
  <c r="J73" i="92"/>
  <c r="B73" i="92"/>
  <c r="X72" i="92"/>
  <c r="Z72" i="92" s="1"/>
  <c r="L72" i="92"/>
  <c r="N72" i="92" s="1"/>
  <c r="B72" i="92"/>
  <c r="Z71" i="92"/>
  <c r="X71" i="92"/>
  <c r="V71" i="92"/>
  <c r="N71" i="92"/>
  <c r="L71" i="92"/>
  <c r="B71" i="92"/>
  <c r="X70" i="92"/>
  <c r="Z70" i="92" s="1"/>
  <c r="N70" i="92"/>
  <c r="L70" i="92"/>
  <c r="B70" i="92"/>
  <c r="V69" i="92"/>
  <c r="T69" i="92"/>
  <c r="X69" i="92" s="1"/>
  <c r="Z69" i="92" s="1"/>
  <c r="P69" i="92"/>
  <c r="H69" i="92"/>
  <c r="D69" i="92"/>
  <c r="L69" i="92" s="1"/>
  <c r="N69" i="92" s="1"/>
  <c r="B69" i="92"/>
  <c r="X68" i="92"/>
  <c r="Z68" i="92" s="1"/>
  <c r="L68" i="92"/>
  <c r="N68" i="92" s="1"/>
  <c r="F68" i="92"/>
  <c r="B68" i="92"/>
  <c r="Z67" i="92"/>
  <c r="X67" i="92"/>
  <c r="N67" i="92"/>
  <c r="L67" i="92"/>
  <c r="B67" i="92"/>
  <c r="X66" i="92"/>
  <c r="T66" i="92"/>
  <c r="Z66" i="92" s="1"/>
  <c r="P66" i="92"/>
  <c r="H66" i="92"/>
  <c r="L66" i="92" s="1"/>
  <c r="D66" i="92"/>
  <c r="B66" i="92"/>
  <c r="Z65" i="92"/>
  <c r="X65" i="92"/>
  <c r="N65" i="92"/>
  <c r="L65" i="92"/>
  <c r="J65" i="92"/>
  <c r="B65" i="92"/>
  <c r="X64" i="92"/>
  <c r="Z64" i="92" s="1"/>
  <c r="L64" i="92"/>
  <c r="N64" i="92" s="1"/>
  <c r="B64" i="92"/>
  <c r="Z63" i="92"/>
  <c r="X63" i="92"/>
  <c r="V63" i="92"/>
  <c r="N63" i="92"/>
  <c r="L63" i="92"/>
  <c r="B63" i="92"/>
  <c r="X62" i="92"/>
  <c r="Z62" i="92" s="1"/>
  <c r="R62" i="92"/>
  <c r="L62" i="92"/>
  <c r="N62" i="92" s="1"/>
  <c r="B62" i="92"/>
  <c r="Z61" i="92"/>
  <c r="X61" i="92"/>
  <c r="N61" i="92"/>
  <c r="L61" i="92"/>
  <c r="B61" i="92"/>
  <c r="X60" i="92"/>
  <c r="T60" i="92"/>
  <c r="P60" i="92"/>
  <c r="H60" i="92"/>
  <c r="D60" i="92"/>
  <c r="L60" i="92" s="1"/>
  <c r="B60" i="92"/>
  <c r="Z59" i="92"/>
  <c r="X59" i="92"/>
  <c r="V59" i="92"/>
  <c r="N59" i="92"/>
  <c r="L59" i="92"/>
  <c r="B59" i="92"/>
  <c r="X58" i="92"/>
  <c r="Z58" i="92" s="1"/>
  <c r="L58" i="92"/>
  <c r="N58" i="92" s="1"/>
  <c r="B58" i="92"/>
  <c r="Z57" i="92"/>
  <c r="X57" i="92"/>
  <c r="V57" i="92"/>
  <c r="N57" i="92"/>
  <c r="L57" i="92"/>
  <c r="B57" i="92"/>
  <c r="T56" i="92"/>
  <c r="P56" i="92"/>
  <c r="X56" i="92" s="1"/>
  <c r="H56" i="92"/>
  <c r="D56" i="92"/>
  <c r="B56" i="92"/>
  <c r="Z55" i="92"/>
  <c r="X55" i="92"/>
  <c r="V55" i="92"/>
  <c r="N55" i="92"/>
  <c r="L55" i="92"/>
  <c r="B55" i="92"/>
  <c r="T54" i="92"/>
  <c r="Z54" i="92" s="1"/>
  <c r="P54" i="92"/>
  <c r="X54" i="92" s="1"/>
  <c r="H54" i="92"/>
  <c r="N54" i="92" s="1"/>
  <c r="D54" i="92"/>
  <c r="L54" i="92" s="1"/>
  <c r="B54" i="92"/>
  <c r="Z53" i="92"/>
  <c r="X53" i="92"/>
  <c r="N53" i="92"/>
  <c r="L53" i="92"/>
  <c r="B53" i="92"/>
  <c r="T52" i="92"/>
  <c r="P52" i="92"/>
  <c r="H52" i="92"/>
  <c r="L52" i="92" s="1"/>
  <c r="D52" i="92"/>
  <c r="B52" i="92"/>
  <c r="Z51" i="92"/>
  <c r="X51" i="92"/>
  <c r="V51" i="92"/>
  <c r="N51" i="92"/>
  <c r="L51" i="92"/>
  <c r="B51" i="92"/>
  <c r="T50" i="92"/>
  <c r="P50" i="92"/>
  <c r="X50" i="92" s="1"/>
  <c r="H50" i="92"/>
  <c r="N50" i="92" s="1"/>
  <c r="D50" i="92"/>
  <c r="B50" i="92"/>
  <c r="Z49" i="92"/>
  <c r="X49" i="92"/>
  <c r="V49" i="92"/>
  <c r="N49" i="92"/>
  <c r="L49" i="92"/>
  <c r="B49" i="92"/>
  <c r="V48" i="92"/>
  <c r="T48" i="92"/>
  <c r="P48" i="92"/>
  <c r="X48" i="92" s="1"/>
  <c r="H48" i="92"/>
  <c r="N48" i="92" s="1"/>
  <c r="D48" i="92"/>
  <c r="L48" i="92" s="1"/>
  <c r="B48" i="92"/>
  <c r="Z47" i="92"/>
  <c r="X47" i="92"/>
  <c r="V47" i="92"/>
  <c r="N47" i="92"/>
  <c r="L47" i="92"/>
  <c r="B47" i="92"/>
  <c r="X46" i="92"/>
  <c r="V46" i="92"/>
  <c r="T46" i="92"/>
  <c r="P46" i="92"/>
  <c r="L46" i="92"/>
  <c r="H46" i="92"/>
  <c r="D46" i="92"/>
  <c r="B46" i="92"/>
  <c r="Z45" i="92"/>
  <c r="X45" i="92"/>
  <c r="V45" i="92"/>
  <c r="N45" i="92"/>
  <c r="L45" i="92"/>
  <c r="B45" i="92"/>
  <c r="T44" i="92"/>
  <c r="P44" i="92"/>
  <c r="X44" i="92" s="1"/>
  <c r="H44" i="92"/>
  <c r="D44" i="92"/>
  <c r="L44" i="92" s="1"/>
  <c r="B44" i="92"/>
  <c r="Z43" i="92"/>
  <c r="X43" i="92"/>
  <c r="V43" i="92"/>
  <c r="N43" i="92"/>
  <c r="L43" i="92"/>
  <c r="B43" i="92"/>
  <c r="X42" i="92"/>
  <c r="T42" i="92"/>
  <c r="P42" i="92"/>
  <c r="H42" i="92"/>
  <c r="N42" i="92" s="1"/>
  <c r="D42" i="92"/>
  <c r="B42" i="92"/>
  <c r="Z41" i="92"/>
  <c r="X41" i="92"/>
  <c r="L41" i="92"/>
  <c r="N41" i="92" s="1"/>
  <c r="J41" i="92"/>
  <c r="B41" i="92"/>
  <c r="X40" i="92"/>
  <c r="Z40" i="92" s="1"/>
  <c r="N40" i="92"/>
  <c r="L40" i="92"/>
  <c r="B40" i="92"/>
  <c r="X39" i="92"/>
  <c r="Z39" i="92" s="1"/>
  <c r="V39" i="92"/>
  <c r="N39" i="92"/>
  <c r="L39" i="92"/>
  <c r="J39" i="92"/>
  <c r="B39" i="92"/>
  <c r="X38" i="92"/>
  <c r="V38" i="92"/>
  <c r="T38" i="92"/>
  <c r="P38" i="92"/>
  <c r="H38" i="92"/>
  <c r="D38" i="92"/>
  <c r="B38" i="92"/>
  <c r="X37" i="92"/>
  <c r="Z37" i="92" s="1"/>
  <c r="V37" i="92"/>
  <c r="N37" i="92"/>
  <c r="L37" i="92"/>
  <c r="B37" i="92"/>
  <c r="T36" i="92"/>
  <c r="P36" i="92"/>
  <c r="X36" i="92" s="1"/>
  <c r="H36" i="92"/>
  <c r="D36" i="92"/>
  <c r="B36" i="92"/>
  <c r="Z35" i="92"/>
  <c r="X35" i="92"/>
  <c r="V35" i="92"/>
  <c r="L35" i="92"/>
  <c r="N35" i="92" s="1"/>
  <c r="B35" i="92"/>
  <c r="X34" i="92"/>
  <c r="Z34" i="92" s="1"/>
  <c r="V34" i="92"/>
  <c r="N34" i="92"/>
  <c r="L34" i="92"/>
  <c r="J34" i="92"/>
  <c r="B34" i="92"/>
  <c r="Z33" i="92"/>
  <c r="X33" i="92"/>
  <c r="V33" i="92"/>
  <c r="N33" i="92"/>
  <c r="L33" i="92"/>
  <c r="B33" i="92"/>
  <c r="Z32" i="92"/>
  <c r="X32" i="92"/>
  <c r="V32" i="92"/>
  <c r="R32" i="92"/>
  <c r="L32" i="92"/>
  <c r="N32" i="92" s="1"/>
  <c r="B32" i="92"/>
  <c r="Z31" i="92"/>
  <c r="X31" i="92"/>
  <c r="V31" i="92"/>
  <c r="R31" i="92"/>
  <c r="L31" i="92"/>
  <c r="N31" i="92" s="1"/>
  <c r="B31" i="92"/>
  <c r="X30" i="92"/>
  <c r="Z30" i="92" s="1"/>
  <c r="V30" i="92"/>
  <c r="L30" i="92"/>
  <c r="N30" i="92" s="1"/>
  <c r="B30" i="92"/>
  <c r="Z29" i="92"/>
  <c r="V29" i="92"/>
  <c r="T29" i="92"/>
  <c r="R29" i="92"/>
  <c r="P29" i="92"/>
  <c r="X29" i="92" s="1"/>
  <c r="H29" i="92"/>
  <c r="D29" i="92"/>
  <c r="B29" i="92"/>
  <c r="X28" i="92"/>
  <c r="Z28" i="92" s="1"/>
  <c r="R28" i="92"/>
  <c r="N28" i="92"/>
  <c r="L28" i="92"/>
  <c r="B28" i="92"/>
  <c r="X27" i="92"/>
  <c r="Z27" i="92" s="1"/>
  <c r="V27" i="92"/>
  <c r="N27" i="92"/>
  <c r="L27" i="92"/>
  <c r="B27" i="92"/>
  <c r="X26" i="92"/>
  <c r="Z26" i="92" s="1"/>
  <c r="V26" i="92"/>
  <c r="N26" i="92"/>
  <c r="L26" i="92"/>
  <c r="B26" i="92"/>
  <c r="Z25" i="92"/>
  <c r="X25" i="92"/>
  <c r="V25" i="92"/>
  <c r="L25" i="92"/>
  <c r="N25" i="92" s="1"/>
  <c r="F25" i="92"/>
  <c r="B25" i="92"/>
  <c r="X24" i="92"/>
  <c r="Z24" i="92" s="1"/>
  <c r="L24" i="92"/>
  <c r="N24" i="92" s="1"/>
  <c r="B24" i="92"/>
  <c r="Z23" i="92"/>
  <c r="X23" i="92"/>
  <c r="V23" i="92"/>
  <c r="N23" i="92"/>
  <c r="L23" i="92"/>
  <c r="F23" i="92"/>
  <c r="B23" i="92"/>
  <c r="X22" i="92"/>
  <c r="Z22" i="92" s="1"/>
  <c r="V22" i="92"/>
  <c r="L22" i="92"/>
  <c r="N22" i="92" s="1"/>
  <c r="B22" i="92"/>
  <c r="X21" i="92"/>
  <c r="Z21" i="92" s="1"/>
  <c r="V21" i="92"/>
  <c r="N21" i="92"/>
  <c r="L21" i="92"/>
  <c r="F21" i="92"/>
  <c r="B21" i="92"/>
  <c r="X20" i="92"/>
  <c r="Z20" i="92" s="1"/>
  <c r="L20" i="92"/>
  <c r="N20" i="92" s="1"/>
  <c r="B20" i="92"/>
  <c r="X19" i="92"/>
  <c r="Z19" i="92" s="1"/>
  <c r="V19" i="92"/>
  <c r="T19" i="92"/>
  <c r="R19" i="92"/>
  <c r="P19" i="92"/>
  <c r="H19" i="92"/>
  <c r="D19" i="92"/>
  <c r="L19" i="92" s="1"/>
  <c r="N19" i="92" s="1"/>
  <c r="B19" i="92"/>
  <c r="Z18" i="92"/>
  <c r="T18" i="92"/>
  <c r="P18" i="92"/>
  <c r="X18" i="92" s="1"/>
  <c r="H18" i="92"/>
  <c r="D18" i="92"/>
  <c r="L18" i="92" s="1"/>
  <c r="P16" i="92"/>
  <c r="T14" i="92"/>
  <c r="Z14" i="92" s="1"/>
  <c r="P14" i="92"/>
  <c r="X14" i="92" s="1"/>
  <c r="H14" i="92"/>
  <c r="H16" i="92" s="1"/>
  <c r="D14" i="92"/>
  <c r="Z12" i="92"/>
  <c r="T12" i="92"/>
  <c r="V64" i="92" s="1"/>
  <c r="P12" i="92"/>
  <c r="R44" i="92" s="1"/>
  <c r="H12" i="92"/>
  <c r="J67" i="92" s="1"/>
  <c r="D12" i="92"/>
  <c r="F41" i="92" s="1"/>
  <c r="D6" i="92"/>
  <c r="D4" i="92"/>
  <c r="Z75" i="89"/>
  <c r="X75" i="89"/>
  <c r="L75" i="89"/>
  <c r="N75" i="89" s="1"/>
  <c r="T71" i="89"/>
  <c r="Z71" i="89" s="1"/>
  <c r="R71" i="89"/>
  <c r="P71" i="89"/>
  <c r="X71" i="89" s="1"/>
  <c r="N71" i="89"/>
  <c r="H71" i="89"/>
  <c r="D71" i="89"/>
  <c r="L71" i="89" s="1"/>
  <c r="Z69" i="89"/>
  <c r="X69" i="89"/>
  <c r="N69" i="89"/>
  <c r="L69" i="89"/>
  <c r="B69" i="89"/>
  <c r="Z68" i="89"/>
  <c r="T68" i="89"/>
  <c r="P68" i="89"/>
  <c r="X68" i="89" s="1"/>
  <c r="L68" i="89"/>
  <c r="H68" i="89"/>
  <c r="N68" i="89" s="1"/>
  <c r="D68" i="89"/>
  <c r="B68" i="89"/>
  <c r="Z67" i="89"/>
  <c r="X67" i="89"/>
  <c r="N67" i="89"/>
  <c r="L67" i="89"/>
  <c r="B67" i="89"/>
  <c r="X66" i="89"/>
  <c r="T66" i="89"/>
  <c r="Z66" i="89" s="1"/>
  <c r="P66" i="89"/>
  <c r="H66" i="89"/>
  <c r="D66" i="89"/>
  <c r="L66" i="89" s="1"/>
  <c r="B66" i="89"/>
  <c r="X65" i="89"/>
  <c r="Z65" i="89" s="1"/>
  <c r="N65" i="89"/>
  <c r="L65" i="89"/>
  <c r="B65" i="89"/>
  <c r="X64" i="89"/>
  <c r="Z64" i="89" s="1"/>
  <c r="N64" i="89"/>
  <c r="L64" i="89"/>
  <c r="B64" i="89"/>
  <c r="Z63" i="89"/>
  <c r="X63" i="89"/>
  <c r="N63" i="89"/>
  <c r="L63" i="89"/>
  <c r="B63" i="89"/>
  <c r="X62" i="89"/>
  <c r="Z62" i="89" s="1"/>
  <c r="L62" i="89"/>
  <c r="N62" i="89" s="1"/>
  <c r="B62" i="89"/>
  <c r="X61" i="89"/>
  <c r="Z61" i="89" s="1"/>
  <c r="N61" i="89"/>
  <c r="L61" i="89"/>
  <c r="B61" i="89"/>
  <c r="X60" i="89"/>
  <c r="Z60" i="89" s="1"/>
  <c r="N60" i="89"/>
  <c r="L60" i="89"/>
  <c r="B60" i="89"/>
  <c r="Z59" i="89"/>
  <c r="X59" i="89"/>
  <c r="T59" i="89"/>
  <c r="R59" i="89"/>
  <c r="P59" i="89"/>
  <c r="L59" i="89"/>
  <c r="N59" i="89" s="1"/>
  <c r="H59" i="89"/>
  <c r="D59" i="89"/>
  <c r="B59" i="89"/>
  <c r="X58" i="89"/>
  <c r="Z58" i="89" s="1"/>
  <c r="R58" i="89"/>
  <c r="L58" i="89"/>
  <c r="N58" i="89" s="1"/>
  <c r="B58" i="89"/>
  <c r="X57" i="89"/>
  <c r="Z57" i="89" s="1"/>
  <c r="N57" i="89"/>
  <c r="L57" i="89"/>
  <c r="B57" i="89"/>
  <c r="T56" i="89"/>
  <c r="P56" i="89"/>
  <c r="X56" i="89" s="1"/>
  <c r="Z56" i="89" s="1"/>
  <c r="H56" i="89"/>
  <c r="D56" i="89"/>
  <c r="B56" i="89"/>
  <c r="Z55" i="89"/>
  <c r="X55" i="89"/>
  <c r="N55" i="89"/>
  <c r="L55" i="89"/>
  <c r="B55" i="89"/>
  <c r="X54" i="89"/>
  <c r="Z54" i="89" s="1"/>
  <c r="N54" i="89"/>
  <c r="L54" i="89"/>
  <c r="B54" i="89"/>
  <c r="Z53" i="89"/>
  <c r="X53" i="89"/>
  <c r="N53" i="89"/>
  <c r="L53" i="89"/>
  <c r="B53" i="89"/>
  <c r="T52" i="89"/>
  <c r="P52" i="89"/>
  <c r="X52" i="89" s="1"/>
  <c r="L52" i="89"/>
  <c r="H52" i="89"/>
  <c r="N52" i="89" s="1"/>
  <c r="D52" i="89"/>
  <c r="B52" i="89"/>
  <c r="Z51" i="89"/>
  <c r="X51" i="89"/>
  <c r="N51" i="89"/>
  <c r="L51" i="89"/>
  <c r="B51" i="89"/>
  <c r="T50" i="89"/>
  <c r="P50" i="89"/>
  <c r="X50" i="89" s="1"/>
  <c r="L50" i="89"/>
  <c r="H50" i="89"/>
  <c r="N50" i="89" s="1"/>
  <c r="D50" i="89"/>
  <c r="B50" i="89"/>
  <c r="Z49" i="89"/>
  <c r="X49" i="89"/>
  <c r="N49" i="89"/>
  <c r="L49" i="89"/>
  <c r="B49" i="89"/>
  <c r="Z48" i="89"/>
  <c r="T48" i="89"/>
  <c r="P48" i="89"/>
  <c r="X48" i="89" s="1"/>
  <c r="L48" i="89"/>
  <c r="H48" i="89"/>
  <c r="N48" i="89" s="1"/>
  <c r="D48" i="89"/>
  <c r="B48" i="89"/>
  <c r="Z47" i="89"/>
  <c r="X47" i="89"/>
  <c r="N47" i="89"/>
  <c r="L47" i="89"/>
  <c r="J47" i="89"/>
  <c r="B47" i="89"/>
  <c r="X46" i="89"/>
  <c r="T46" i="89"/>
  <c r="Z46" i="89" s="1"/>
  <c r="P46" i="89"/>
  <c r="H46" i="89"/>
  <c r="N46" i="89" s="1"/>
  <c r="D46" i="89"/>
  <c r="L46" i="89" s="1"/>
  <c r="B46" i="89"/>
  <c r="X45" i="89"/>
  <c r="Z45" i="89" s="1"/>
  <c r="N45" i="89"/>
  <c r="L45" i="89"/>
  <c r="B45" i="89"/>
  <c r="X44" i="89"/>
  <c r="T44" i="89"/>
  <c r="P44" i="89"/>
  <c r="H44" i="89"/>
  <c r="D44" i="89"/>
  <c r="L44" i="89" s="1"/>
  <c r="B44" i="89"/>
  <c r="Z43" i="89"/>
  <c r="X43" i="89"/>
  <c r="N43" i="89"/>
  <c r="L43" i="89"/>
  <c r="B43" i="89"/>
  <c r="T42" i="89"/>
  <c r="P42" i="89"/>
  <c r="H42" i="89"/>
  <c r="D42" i="89"/>
  <c r="L42" i="89" s="1"/>
  <c r="N42" i="89" s="1"/>
  <c r="B42" i="89"/>
  <c r="Z41" i="89"/>
  <c r="X41" i="89"/>
  <c r="L41" i="89"/>
  <c r="N41" i="89" s="1"/>
  <c r="B41" i="89"/>
  <c r="T40" i="89"/>
  <c r="P40" i="89"/>
  <c r="X40" i="89" s="1"/>
  <c r="L40" i="89"/>
  <c r="H40" i="89"/>
  <c r="N40" i="89" s="1"/>
  <c r="D40" i="89"/>
  <c r="B40" i="89"/>
  <c r="Z39" i="89"/>
  <c r="X39" i="89"/>
  <c r="N39" i="89"/>
  <c r="L39" i="89"/>
  <c r="B39" i="89"/>
  <c r="T38" i="89"/>
  <c r="P38" i="89"/>
  <c r="X38" i="89" s="1"/>
  <c r="L38" i="89"/>
  <c r="H38" i="89"/>
  <c r="D38" i="89"/>
  <c r="B38" i="89"/>
  <c r="Z37" i="89"/>
  <c r="X37" i="89"/>
  <c r="N37" i="89"/>
  <c r="L37" i="89"/>
  <c r="B37" i="89"/>
  <c r="Z36" i="89"/>
  <c r="X36" i="89"/>
  <c r="L36" i="89"/>
  <c r="N36" i="89" s="1"/>
  <c r="B36" i="89"/>
  <c r="Z35" i="89"/>
  <c r="X35" i="89"/>
  <c r="N35" i="89"/>
  <c r="L35" i="89"/>
  <c r="B35" i="89"/>
  <c r="X34" i="89"/>
  <c r="Z34" i="89" s="1"/>
  <c r="R34" i="89"/>
  <c r="L34" i="89"/>
  <c r="N34" i="89" s="1"/>
  <c r="B34" i="89"/>
  <c r="Z33" i="89"/>
  <c r="X33" i="89"/>
  <c r="N33" i="89"/>
  <c r="L33" i="89"/>
  <c r="J33" i="89"/>
  <c r="B33" i="89"/>
  <c r="T32" i="89"/>
  <c r="P32" i="89"/>
  <c r="X32" i="89" s="1"/>
  <c r="Z32" i="89" s="1"/>
  <c r="L32" i="89"/>
  <c r="H32" i="89"/>
  <c r="D32" i="89"/>
  <c r="B32" i="89"/>
  <c r="Z31" i="89"/>
  <c r="X31" i="89"/>
  <c r="N31" i="89"/>
  <c r="L31" i="89"/>
  <c r="J31" i="89"/>
  <c r="B31" i="89"/>
  <c r="X30" i="89"/>
  <c r="Z30" i="89" s="1"/>
  <c r="L30" i="89"/>
  <c r="N30" i="89" s="1"/>
  <c r="B30" i="89"/>
  <c r="Z29" i="89"/>
  <c r="X29" i="89"/>
  <c r="L29" i="89"/>
  <c r="N29" i="89" s="1"/>
  <c r="B29" i="89"/>
  <c r="X28" i="89"/>
  <c r="Z28" i="89" s="1"/>
  <c r="R28" i="89"/>
  <c r="L28" i="89"/>
  <c r="N28" i="89" s="1"/>
  <c r="B28" i="89"/>
  <c r="Z27" i="89"/>
  <c r="X27" i="89"/>
  <c r="N27" i="89"/>
  <c r="L27" i="89"/>
  <c r="B27" i="89"/>
  <c r="X26" i="89"/>
  <c r="Z26" i="89" s="1"/>
  <c r="L26" i="89"/>
  <c r="N26" i="89" s="1"/>
  <c r="B26" i="89"/>
  <c r="Z25" i="89"/>
  <c r="X25" i="89"/>
  <c r="L25" i="89"/>
  <c r="N25" i="89" s="1"/>
  <c r="B25" i="89"/>
  <c r="X24" i="89"/>
  <c r="Z24" i="89" s="1"/>
  <c r="R24" i="89"/>
  <c r="L24" i="89"/>
  <c r="N24" i="89" s="1"/>
  <c r="B24" i="89"/>
  <c r="T23" i="89"/>
  <c r="P23" i="89"/>
  <c r="X23" i="89" s="1"/>
  <c r="Z23" i="89" s="1"/>
  <c r="N23" i="89"/>
  <c r="H23" i="89"/>
  <c r="D23" i="89"/>
  <c r="L23" i="89" s="1"/>
  <c r="B23" i="89"/>
  <c r="T22" i="89"/>
  <c r="P22" i="89"/>
  <c r="X22" i="89" s="1"/>
  <c r="L22" i="89"/>
  <c r="H22" i="89"/>
  <c r="N22" i="89" s="1"/>
  <c r="D22" i="89"/>
  <c r="P20" i="89"/>
  <c r="X18" i="89"/>
  <c r="Z18" i="89" s="1"/>
  <c r="L18" i="89"/>
  <c r="N18" i="89" s="1"/>
  <c r="F18" i="89"/>
  <c r="B18" i="89"/>
  <c r="X17" i="89"/>
  <c r="Z17" i="89" s="1"/>
  <c r="N17" i="89"/>
  <c r="L17" i="89"/>
  <c r="B17" i="89"/>
  <c r="X16" i="89"/>
  <c r="T16" i="89"/>
  <c r="Z16" i="89" s="1"/>
  <c r="R16" i="89"/>
  <c r="P16" i="89"/>
  <c r="H16" i="89"/>
  <c r="N16" i="89" s="1"/>
  <c r="D16" i="89"/>
  <c r="L16" i="89" s="1"/>
  <c r="X14" i="89"/>
  <c r="T14" i="89"/>
  <c r="P14" i="89"/>
  <c r="N14" i="89"/>
  <c r="L14" i="89"/>
  <c r="H14" i="89"/>
  <c r="D14" i="89"/>
  <c r="B14" i="89"/>
  <c r="T13" i="89"/>
  <c r="P13" i="89"/>
  <c r="H13" i="89"/>
  <c r="H12" i="89" s="1"/>
  <c r="D13" i="89"/>
  <c r="L13" i="89" s="1"/>
  <c r="N13" i="89" s="1"/>
  <c r="B13" i="89"/>
  <c r="P12" i="89"/>
  <c r="R44" i="89" s="1"/>
  <c r="D12" i="89"/>
  <c r="F62" i="89" s="1"/>
  <c r="D6" i="89"/>
  <c r="D4" i="89"/>
  <c r="Z85" i="88"/>
  <c r="X85" i="88"/>
  <c r="L85" i="88"/>
  <c r="N85" i="88" s="1"/>
  <c r="X81" i="88"/>
  <c r="T81" i="88"/>
  <c r="Z81" i="88" s="1"/>
  <c r="P81" i="88"/>
  <c r="H81" i="88"/>
  <c r="N81" i="88" s="1"/>
  <c r="D81" i="88"/>
  <c r="L81" i="88" s="1"/>
  <c r="X79" i="88"/>
  <c r="Z79" i="88" s="1"/>
  <c r="N79" i="88"/>
  <c r="L79" i="88"/>
  <c r="B79" i="88"/>
  <c r="Z78" i="88"/>
  <c r="X78" i="88"/>
  <c r="T78" i="88"/>
  <c r="P78" i="88"/>
  <c r="L78" i="88"/>
  <c r="N78" i="88" s="1"/>
  <c r="H78" i="88"/>
  <c r="D78" i="88"/>
  <c r="B78" i="88"/>
  <c r="X77" i="88"/>
  <c r="Z77" i="88" s="1"/>
  <c r="L77" i="88"/>
  <c r="N77" i="88" s="1"/>
  <c r="B77" i="88"/>
  <c r="T76" i="88"/>
  <c r="Z76" i="88" s="1"/>
  <c r="P76" i="88"/>
  <c r="X76" i="88" s="1"/>
  <c r="N76" i="88"/>
  <c r="H76" i="88"/>
  <c r="D76" i="88"/>
  <c r="L76" i="88" s="1"/>
  <c r="B76" i="88"/>
  <c r="X75" i="88"/>
  <c r="Z75" i="88" s="1"/>
  <c r="R75" i="88"/>
  <c r="L75" i="88"/>
  <c r="N75" i="88" s="1"/>
  <c r="B75" i="88"/>
  <c r="Z74" i="88"/>
  <c r="X74" i="88"/>
  <c r="T74" i="88"/>
  <c r="P74" i="88"/>
  <c r="H74" i="88"/>
  <c r="D74" i="88"/>
  <c r="L74" i="88" s="1"/>
  <c r="N74" i="88" s="1"/>
  <c r="B74" i="88"/>
  <c r="Z73" i="88"/>
  <c r="X73" i="88"/>
  <c r="N73" i="88"/>
  <c r="L73" i="88"/>
  <c r="B73" i="88"/>
  <c r="X72" i="88"/>
  <c r="Z72" i="88" s="1"/>
  <c r="N72" i="88"/>
  <c r="L72" i="88"/>
  <c r="B72" i="88"/>
  <c r="X71" i="88"/>
  <c r="Z71" i="88" s="1"/>
  <c r="N71" i="88"/>
  <c r="L71" i="88"/>
  <c r="B71" i="88"/>
  <c r="Z70" i="88"/>
  <c r="X70" i="88"/>
  <c r="N70" i="88"/>
  <c r="L70" i="88"/>
  <c r="B70" i="88"/>
  <c r="Z69" i="88"/>
  <c r="X69" i="88"/>
  <c r="L69" i="88"/>
  <c r="N69" i="88" s="1"/>
  <c r="B69" i="88"/>
  <c r="X68" i="88"/>
  <c r="Z68" i="88" s="1"/>
  <c r="L68" i="88"/>
  <c r="N68" i="88" s="1"/>
  <c r="B68" i="88"/>
  <c r="X67" i="88"/>
  <c r="Z67" i="88" s="1"/>
  <c r="N67" i="88"/>
  <c r="L67" i="88"/>
  <c r="B67" i="88"/>
  <c r="T66" i="88"/>
  <c r="P66" i="88"/>
  <c r="X66" i="88" s="1"/>
  <c r="Z66" i="88" s="1"/>
  <c r="L66" i="88"/>
  <c r="N66" i="88" s="1"/>
  <c r="H66" i="88"/>
  <c r="D66" i="88"/>
  <c r="B66" i="88"/>
  <c r="X65" i="88"/>
  <c r="Z65" i="88" s="1"/>
  <c r="N65" i="88"/>
  <c r="L65" i="88"/>
  <c r="B65" i="88"/>
  <c r="Z64" i="88"/>
  <c r="X64" i="88"/>
  <c r="N64" i="88"/>
  <c r="L64" i="88"/>
  <c r="B64" i="88"/>
  <c r="T63" i="88"/>
  <c r="P63" i="88"/>
  <c r="X63" i="88" s="1"/>
  <c r="Z63" i="88" s="1"/>
  <c r="H63" i="88"/>
  <c r="N63" i="88" s="1"/>
  <c r="D63" i="88"/>
  <c r="B63" i="88"/>
  <c r="Z62" i="88"/>
  <c r="X62" i="88"/>
  <c r="N62" i="88"/>
  <c r="L62" i="88"/>
  <c r="B62" i="88"/>
  <c r="X61" i="88"/>
  <c r="Z61" i="88" s="1"/>
  <c r="N61" i="88"/>
  <c r="L61" i="88"/>
  <c r="B61" i="88"/>
  <c r="Z60" i="88"/>
  <c r="X60" i="88"/>
  <c r="V60" i="88"/>
  <c r="L60" i="88"/>
  <c r="N60" i="88" s="1"/>
  <c r="B60" i="88"/>
  <c r="T59" i="88"/>
  <c r="P59" i="88"/>
  <c r="X59" i="88" s="1"/>
  <c r="H59" i="88"/>
  <c r="D59" i="88"/>
  <c r="B59" i="88"/>
  <c r="Z58" i="88"/>
  <c r="X58" i="88"/>
  <c r="N58" i="88"/>
  <c r="L58" i="88"/>
  <c r="F58" i="88"/>
  <c r="B58" i="88"/>
  <c r="T57" i="88"/>
  <c r="Z57" i="88" s="1"/>
  <c r="P57" i="88"/>
  <c r="X57" i="88" s="1"/>
  <c r="L57" i="88"/>
  <c r="H57" i="88"/>
  <c r="D57" i="88"/>
  <c r="B57" i="88"/>
  <c r="X56" i="88"/>
  <c r="Z56" i="88" s="1"/>
  <c r="N56" i="88"/>
  <c r="L56" i="88"/>
  <c r="J56" i="88"/>
  <c r="B56" i="88"/>
  <c r="Z55" i="88"/>
  <c r="X55" i="88"/>
  <c r="L55" i="88"/>
  <c r="N55" i="88" s="1"/>
  <c r="B55" i="88"/>
  <c r="T54" i="88"/>
  <c r="P54" i="88"/>
  <c r="H54" i="88"/>
  <c r="D54" i="88"/>
  <c r="L54" i="88" s="1"/>
  <c r="B54" i="88"/>
  <c r="X53" i="88"/>
  <c r="Z53" i="88" s="1"/>
  <c r="N53" i="88"/>
  <c r="L53" i="88"/>
  <c r="B53" i="88"/>
  <c r="T52" i="88"/>
  <c r="P52" i="88"/>
  <c r="X52" i="88" s="1"/>
  <c r="Z52" i="88" s="1"/>
  <c r="N52" i="88"/>
  <c r="L52" i="88"/>
  <c r="H52" i="88"/>
  <c r="D52" i="88"/>
  <c r="B52" i="88"/>
  <c r="X51" i="88"/>
  <c r="Z51" i="88" s="1"/>
  <c r="N51" i="88"/>
  <c r="L51" i="88"/>
  <c r="B51" i="88"/>
  <c r="T50" i="88"/>
  <c r="X50" i="88" s="1"/>
  <c r="Z50" i="88" s="1"/>
  <c r="P50" i="88"/>
  <c r="L50" i="88"/>
  <c r="N50" i="88" s="1"/>
  <c r="H50" i="88"/>
  <c r="D50" i="88"/>
  <c r="B50" i="88"/>
  <c r="X49" i="88"/>
  <c r="Z49" i="88" s="1"/>
  <c r="L49" i="88"/>
  <c r="N49" i="88" s="1"/>
  <c r="B49" i="88"/>
  <c r="T48" i="88"/>
  <c r="Z48" i="88" s="1"/>
  <c r="P48" i="88"/>
  <c r="X48" i="88" s="1"/>
  <c r="N48" i="88"/>
  <c r="H48" i="88"/>
  <c r="D48" i="88"/>
  <c r="L48" i="88" s="1"/>
  <c r="B48" i="88"/>
  <c r="X47" i="88"/>
  <c r="Z47" i="88" s="1"/>
  <c r="L47" i="88"/>
  <c r="N47" i="88" s="1"/>
  <c r="B47" i="88"/>
  <c r="Z46" i="88"/>
  <c r="X46" i="88"/>
  <c r="T46" i="88"/>
  <c r="P46" i="88"/>
  <c r="N46" i="88"/>
  <c r="H46" i="88"/>
  <c r="D46" i="88"/>
  <c r="L46" i="88" s="1"/>
  <c r="B46" i="88"/>
  <c r="Z45" i="88"/>
  <c r="X45" i="88"/>
  <c r="L45" i="88"/>
  <c r="N45" i="88" s="1"/>
  <c r="B45" i="88"/>
  <c r="X44" i="88"/>
  <c r="Z44" i="88" s="1"/>
  <c r="L44" i="88"/>
  <c r="N44" i="88" s="1"/>
  <c r="B44" i="88"/>
  <c r="X43" i="88"/>
  <c r="T43" i="88"/>
  <c r="Z43" i="88" s="1"/>
  <c r="P43" i="88"/>
  <c r="H43" i="88"/>
  <c r="D43" i="88"/>
  <c r="L43" i="88" s="1"/>
  <c r="B43" i="88"/>
  <c r="Z42" i="88"/>
  <c r="X42" i="88"/>
  <c r="R42" i="88"/>
  <c r="N42" i="88"/>
  <c r="L42" i="88"/>
  <c r="B42" i="88"/>
  <c r="X41" i="88"/>
  <c r="T41" i="88"/>
  <c r="P41" i="88"/>
  <c r="H41" i="88"/>
  <c r="D41" i="88"/>
  <c r="L41" i="88" s="1"/>
  <c r="N41" i="88" s="1"/>
  <c r="B41" i="88"/>
  <c r="Z40" i="88"/>
  <c r="X40" i="88"/>
  <c r="L40" i="88"/>
  <c r="N40" i="88" s="1"/>
  <c r="B40" i="88"/>
  <c r="X39" i="88"/>
  <c r="T39" i="88"/>
  <c r="P39" i="88"/>
  <c r="H39" i="88"/>
  <c r="D39" i="88"/>
  <c r="B39" i="88"/>
  <c r="Z38" i="88"/>
  <c r="X38" i="88"/>
  <c r="N38" i="88"/>
  <c r="L38" i="88"/>
  <c r="B38" i="88"/>
  <c r="T37" i="88"/>
  <c r="P37" i="88"/>
  <c r="L37" i="88"/>
  <c r="H37" i="88"/>
  <c r="N37" i="88" s="1"/>
  <c r="D37" i="88"/>
  <c r="B37" i="88"/>
  <c r="X36" i="88"/>
  <c r="Z36" i="88" s="1"/>
  <c r="V36" i="88"/>
  <c r="N36" i="88"/>
  <c r="L36" i="88"/>
  <c r="B36" i="88"/>
  <c r="X35" i="88"/>
  <c r="Z35" i="88" s="1"/>
  <c r="L35" i="88"/>
  <c r="N35" i="88" s="1"/>
  <c r="B35" i="88"/>
  <c r="Z34" i="88"/>
  <c r="X34" i="88"/>
  <c r="N34" i="88"/>
  <c r="L34" i="88"/>
  <c r="B34" i="88"/>
  <c r="X33" i="88"/>
  <c r="Z33" i="88" s="1"/>
  <c r="R33" i="88"/>
  <c r="L33" i="88"/>
  <c r="N33" i="88" s="1"/>
  <c r="J33" i="88"/>
  <c r="B33" i="88"/>
  <c r="T32" i="88"/>
  <c r="P32" i="88"/>
  <c r="H32" i="88"/>
  <c r="D32" i="88"/>
  <c r="B32" i="88"/>
  <c r="X31" i="88"/>
  <c r="Z31" i="88" s="1"/>
  <c r="L31" i="88"/>
  <c r="N31" i="88" s="1"/>
  <c r="B31" i="88"/>
  <c r="X30" i="88"/>
  <c r="Z30" i="88" s="1"/>
  <c r="N30" i="88"/>
  <c r="L30" i="88"/>
  <c r="J30" i="88"/>
  <c r="B30" i="88"/>
  <c r="X29" i="88"/>
  <c r="Z29" i="88" s="1"/>
  <c r="N29" i="88"/>
  <c r="L29" i="88"/>
  <c r="B29" i="88"/>
  <c r="X28" i="88"/>
  <c r="Z28" i="88" s="1"/>
  <c r="N28" i="88"/>
  <c r="L28" i="88"/>
  <c r="B28" i="88"/>
  <c r="X27" i="88"/>
  <c r="Z27" i="88" s="1"/>
  <c r="R27" i="88"/>
  <c r="L27" i="88"/>
  <c r="N27" i="88" s="1"/>
  <c r="B27" i="88"/>
  <c r="Z26" i="88"/>
  <c r="X26" i="88"/>
  <c r="L26" i="88"/>
  <c r="N26" i="88" s="1"/>
  <c r="F26" i="88"/>
  <c r="B26" i="88"/>
  <c r="X25" i="88"/>
  <c r="Z25" i="88" s="1"/>
  <c r="N25" i="88"/>
  <c r="L25" i="88"/>
  <c r="B25" i="88"/>
  <c r="Z24" i="88"/>
  <c r="X24" i="88"/>
  <c r="N24" i="88"/>
  <c r="L24" i="88"/>
  <c r="B24" i="88"/>
  <c r="T23" i="88"/>
  <c r="P23" i="88"/>
  <c r="L23" i="88"/>
  <c r="H23" i="88"/>
  <c r="D23" i="88"/>
  <c r="B23" i="88"/>
  <c r="V22" i="88"/>
  <c r="T22" i="88"/>
  <c r="Z22" i="88" s="1"/>
  <c r="P22" i="88"/>
  <c r="X22" i="88" s="1"/>
  <c r="H22" i="88"/>
  <c r="D22" i="88"/>
  <c r="L22" i="88" s="1"/>
  <c r="N22" i="88" s="1"/>
  <c r="Z18" i="88"/>
  <c r="X18" i="88"/>
  <c r="V18" i="88"/>
  <c r="N18" i="88"/>
  <c r="L18" i="88"/>
  <c r="B18" i="88"/>
  <c r="Z17" i="88"/>
  <c r="X17" i="88"/>
  <c r="L17" i="88"/>
  <c r="N17" i="88" s="1"/>
  <c r="F17" i="88"/>
  <c r="B17" i="88"/>
  <c r="Z16" i="88"/>
  <c r="T16" i="88"/>
  <c r="P16" i="88"/>
  <c r="X16" i="88" s="1"/>
  <c r="H16" i="88"/>
  <c r="N16" i="88" s="1"/>
  <c r="D16" i="88"/>
  <c r="L16" i="88" s="1"/>
  <c r="T14" i="88"/>
  <c r="P14" i="88"/>
  <c r="X14" i="88" s="1"/>
  <c r="Z14" i="88" s="1"/>
  <c r="H14" i="88"/>
  <c r="L14" i="88" s="1"/>
  <c r="N14" i="88" s="1"/>
  <c r="D14" i="88"/>
  <c r="B14" i="88"/>
  <c r="X13" i="88"/>
  <c r="Z13" i="88" s="1"/>
  <c r="T13" i="88"/>
  <c r="P13" i="88"/>
  <c r="P12" i="88" s="1"/>
  <c r="R22" i="88" s="1"/>
  <c r="H13" i="88"/>
  <c r="D13" i="88"/>
  <c r="D12" i="88" s="1"/>
  <c r="F45" i="88" s="1"/>
  <c r="B13" i="88"/>
  <c r="T12" i="88"/>
  <c r="H12" i="88"/>
  <c r="D6" i="88"/>
  <c r="D4" i="88"/>
  <c r="R31" i="87"/>
  <c r="J31" i="87"/>
  <c r="F31" i="87"/>
  <c r="R28" i="87"/>
  <c r="J28" i="87"/>
  <c r="F28" i="87"/>
  <c r="Z26" i="87"/>
  <c r="X26" i="87"/>
  <c r="R26" i="87"/>
  <c r="N26" i="87"/>
  <c r="L26" i="87"/>
  <c r="J26" i="87"/>
  <c r="R24" i="87"/>
  <c r="J24" i="87"/>
  <c r="F24" i="87"/>
  <c r="Z22" i="87"/>
  <c r="T22" i="87"/>
  <c r="R22" i="87"/>
  <c r="P22" i="87"/>
  <c r="X22" i="87" s="1"/>
  <c r="J22" i="87"/>
  <c r="H22" i="87"/>
  <c r="N22" i="87" s="1"/>
  <c r="F22" i="87"/>
  <c r="D22" i="87"/>
  <c r="L22" i="87" s="1"/>
  <c r="Z20" i="87"/>
  <c r="X20" i="87"/>
  <c r="R20" i="87"/>
  <c r="N20" i="87"/>
  <c r="L20" i="87"/>
  <c r="B20" i="87"/>
  <c r="T19" i="87"/>
  <c r="Z19" i="87" s="1"/>
  <c r="P19" i="87"/>
  <c r="H19" i="87"/>
  <c r="D19" i="87"/>
  <c r="L19" i="87" s="1"/>
  <c r="N19" i="87" s="1"/>
  <c r="B19" i="87"/>
  <c r="Z18" i="87"/>
  <c r="T18" i="87"/>
  <c r="R18" i="87"/>
  <c r="P18" i="87"/>
  <c r="X18" i="87" s="1"/>
  <c r="H18" i="87"/>
  <c r="F18" i="87"/>
  <c r="D18" i="87"/>
  <c r="L18" i="87" s="1"/>
  <c r="N18" i="87" s="1"/>
  <c r="R16" i="87"/>
  <c r="F16" i="87"/>
  <c r="Z14" i="87"/>
  <c r="T14" i="87"/>
  <c r="R14" i="87"/>
  <c r="P14" i="87"/>
  <c r="P16" i="87" s="1"/>
  <c r="N14" i="87"/>
  <c r="H14" i="87"/>
  <c r="F14" i="87"/>
  <c r="D14" i="87"/>
  <c r="L14" i="87" s="1"/>
  <c r="T12" i="87"/>
  <c r="P12" i="87"/>
  <c r="R19" i="87" s="1"/>
  <c r="N12" i="87"/>
  <c r="L12" i="87"/>
  <c r="H12" i="87"/>
  <c r="J19" i="87" s="1"/>
  <c r="D12" i="87"/>
  <c r="F20" i="87" s="1"/>
  <c r="D6" i="87"/>
  <c r="D4" i="87"/>
  <c r="Z32" i="86"/>
  <c r="X32" i="86"/>
  <c r="N32" i="86"/>
  <c r="L32" i="86"/>
  <c r="Z28" i="86"/>
  <c r="T28" i="86"/>
  <c r="R28" i="86"/>
  <c r="P28" i="86"/>
  <c r="X28" i="86" s="1"/>
  <c r="N28" i="86"/>
  <c r="J28" i="86"/>
  <c r="H28" i="86"/>
  <c r="D28" i="86"/>
  <c r="L28" i="86" s="1"/>
  <c r="Z26" i="86"/>
  <c r="X26" i="86"/>
  <c r="N26" i="86"/>
  <c r="L26" i="86"/>
  <c r="J26" i="86"/>
  <c r="B26" i="86"/>
  <c r="X25" i="86"/>
  <c r="T25" i="86"/>
  <c r="Z25" i="86" s="1"/>
  <c r="P25" i="86"/>
  <c r="L25" i="86"/>
  <c r="H25" i="86"/>
  <c r="N25" i="86" s="1"/>
  <c r="D25" i="86"/>
  <c r="B25" i="86"/>
  <c r="Z24" i="86"/>
  <c r="X24" i="86"/>
  <c r="N24" i="86"/>
  <c r="L24" i="86"/>
  <c r="B24" i="86"/>
  <c r="X23" i="86"/>
  <c r="T23" i="86"/>
  <c r="Z23" i="86" s="1"/>
  <c r="P23" i="86"/>
  <c r="H23" i="86"/>
  <c r="N23" i="86" s="1"/>
  <c r="D23" i="86"/>
  <c r="B23" i="86"/>
  <c r="Z22" i="86"/>
  <c r="X22" i="86"/>
  <c r="N22" i="86"/>
  <c r="L22" i="86"/>
  <c r="B22" i="86"/>
  <c r="X21" i="86"/>
  <c r="T21" i="86"/>
  <c r="P21" i="86"/>
  <c r="H21" i="86"/>
  <c r="D21" i="86"/>
  <c r="L21" i="86" s="1"/>
  <c r="N21" i="86" s="1"/>
  <c r="B21" i="86"/>
  <c r="T20" i="86"/>
  <c r="P20" i="86"/>
  <c r="X20" i="86" s="1"/>
  <c r="Z20" i="86" s="1"/>
  <c r="H20" i="86"/>
  <c r="D20" i="86"/>
  <c r="L20" i="86" s="1"/>
  <c r="Z16" i="86"/>
  <c r="X16" i="86"/>
  <c r="L16" i="86"/>
  <c r="N16" i="86" s="1"/>
  <c r="B16" i="86"/>
  <c r="X15" i="86"/>
  <c r="T15" i="86"/>
  <c r="P15" i="86"/>
  <c r="L15" i="86"/>
  <c r="H15" i="86"/>
  <c r="N15" i="86" s="1"/>
  <c r="D15" i="86"/>
  <c r="X13" i="86"/>
  <c r="T13" i="86"/>
  <c r="T12" i="86" s="1"/>
  <c r="V16" i="86" s="1"/>
  <c r="P13" i="86"/>
  <c r="P12" i="86" s="1"/>
  <c r="L13" i="86"/>
  <c r="N13" i="86" s="1"/>
  <c r="H13" i="86"/>
  <c r="D13" i="86"/>
  <c r="D12" i="86" s="1"/>
  <c r="F20" i="86" s="1"/>
  <c r="B13" i="86"/>
  <c r="H12" i="86"/>
  <c r="D6" i="86"/>
  <c r="D4" i="86"/>
  <c r="X122" i="85"/>
  <c r="Z122" i="85" s="1"/>
  <c r="L122" i="85"/>
  <c r="N122" i="85" s="1"/>
  <c r="Z118" i="85"/>
  <c r="T118" i="85"/>
  <c r="P118" i="85"/>
  <c r="X118" i="85" s="1"/>
  <c r="H118" i="85"/>
  <c r="N118" i="85" s="1"/>
  <c r="D118" i="85"/>
  <c r="L118" i="85" s="1"/>
  <c r="Z116" i="85"/>
  <c r="X116" i="85"/>
  <c r="L116" i="85"/>
  <c r="N116" i="85" s="1"/>
  <c r="B116" i="85"/>
  <c r="X115" i="85"/>
  <c r="T115" i="85"/>
  <c r="P115" i="85"/>
  <c r="L115" i="85"/>
  <c r="H115" i="85"/>
  <c r="N115" i="85" s="1"/>
  <c r="D115" i="85"/>
  <c r="B115" i="85"/>
  <c r="Z114" i="85"/>
  <c r="X114" i="85"/>
  <c r="N114" i="85"/>
  <c r="L114" i="85"/>
  <c r="B114" i="85"/>
  <c r="T113" i="85"/>
  <c r="P113" i="85"/>
  <c r="X113" i="85" s="1"/>
  <c r="L113" i="85"/>
  <c r="H113" i="85"/>
  <c r="N113" i="85" s="1"/>
  <c r="D113" i="85"/>
  <c r="B113" i="85"/>
  <c r="Z112" i="85"/>
  <c r="X112" i="85"/>
  <c r="N112" i="85"/>
  <c r="L112" i="85"/>
  <c r="B112" i="85"/>
  <c r="T111" i="85"/>
  <c r="P111" i="85"/>
  <c r="X111" i="85" s="1"/>
  <c r="Z111" i="85" s="1"/>
  <c r="H111" i="85"/>
  <c r="D111" i="85"/>
  <c r="B111" i="85"/>
  <c r="Z110" i="85"/>
  <c r="X110" i="85"/>
  <c r="N110" i="85"/>
  <c r="L110" i="85"/>
  <c r="B110" i="85"/>
  <c r="X109" i="85"/>
  <c r="Z109" i="85" s="1"/>
  <c r="N109" i="85"/>
  <c r="L109" i="85"/>
  <c r="B109" i="85"/>
  <c r="Z108" i="85"/>
  <c r="X108" i="85"/>
  <c r="L108" i="85"/>
  <c r="N108" i="85" s="1"/>
  <c r="B108" i="85"/>
  <c r="X107" i="85"/>
  <c r="Z107" i="85" s="1"/>
  <c r="N107" i="85"/>
  <c r="L107" i="85"/>
  <c r="B107" i="85"/>
  <c r="Z106" i="85"/>
  <c r="X106" i="85"/>
  <c r="N106" i="85"/>
  <c r="L106" i="85"/>
  <c r="B106" i="85"/>
  <c r="X105" i="85"/>
  <c r="T105" i="85"/>
  <c r="Z105" i="85" s="1"/>
  <c r="P105" i="85"/>
  <c r="L105" i="85"/>
  <c r="H105" i="85"/>
  <c r="D105" i="85"/>
  <c r="B105" i="85"/>
  <c r="X104" i="85"/>
  <c r="Z104" i="85" s="1"/>
  <c r="N104" i="85"/>
  <c r="L104" i="85"/>
  <c r="B104" i="85"/>
  <c r="X103" i="85"/>
  <c r="T103" i="85"/>
  <c r="P103" i="85"/>
  <c r="H103" i="85"/>
  <c r="D103" i="85"/>
  <c r="B103" i="85"/>
  <c r="Z102" i="85"/>
  <c r="X102" i="85"/>
  <c r="N102" i="85"/>
  <c r="L102" i="85"/>
  <c r="B102" i="85"/>
  <c r="X101" i="85"/>
  <c r="Z101" i="85" s="1"/>
  <c r="L101" i="85"/>
  <c r="N101" i="85" s="1"/>
  <c r="B101" i="85"/>
  <c r="Z100" i="85"/>
  <c r="X100" i="85"/>
  <c r="N100" i="85"/>
  <c r="L100" i="85"/>
  <c r="B100" i="85"/>
  <c r="T99" i="85"/>
  <c r="P99" i="85"/>
  <c r="X99" i="85" s="1"/>
  <c r="Z99" i="85" s="1"/>
  <c r="L99" i="85"/>
  <c r="H99" i="85"/>
  <c r="D99" i="85"/>
  <c r="B99" i="85"/>
  <c r="Z98" i="85"/>
  <c r="X98" i="85"/>
  <c r="N98" i="85"/>
  <c r="L98" i="85"/>
  <c r="B98" i="85"/>
  <c r="X97" i="85"/>
  <c r="Z97" i="85" s="1"/>
  <c r="N97" i="85"/>
  <c r="L97" i="85"/>
  <c r="B97" i="85"/>
  <c r="T96" i="85"/>
  <c r="P96" i="85"/>
  <c r="X96" i="85" s="1"/>
  <c r="Z96" i="85" s="1"/>
  <c r="H96" i="85"/>
  <c r="D96" i="85"/>
  <c r="L96" i="85" s="1"/>
  <c r="N96" i="85" s="1"/>
  <c r="B96" i="85"/>
  <c r="X95" i="85"/>
  <c r="Z95" i="85" s="1"/>
  <c r="N95" i="85"/>
  <c r="L95" i="85"/>
  <c r="B95" i="85"/>
  <c r="Z94" i="85"/>
  <c r="X94" i="85"/>
  <c r="T94" i="85"/>
  <c r="P94" i="85"/>
  <c r="L94" i="85"/>
  <c r="N94" i="85" s="1"/>
  <c r="H94" i="85"/>
  <c r="D94" i="85"/>
  <c r="B94" i="85"/>
  <c r="X93" i="85"/>
  <c r="Z93" i="85" s="1"/>
  <c r="N93" i="85"/>
  <c r="L93" i="85"/>
  <c r="B93" i="85"/>
  <c r="T92" i="85"/>
  <c r="X92" i="85" s="1"/>
  <c r="Z92" i="85" s="1"/>
  <c r="P92" i="85"/>
  <c r="N92" i="85"/>
  <c r="H92" i="85"/>
  <c r="L92" i="85" s="1"/>
  <c r="D92" i="85"/>
  <c r="B92" i="85"/>
  <c r="X91" i="85"/>
  <c r="Z91" i="85" s="1"/>
  <c r="L91" i="85"/>
  <c r="N91" i="85" s="1"/>
  <c r="B91" i="85"/>
  <c r="T90" i="85"/>
  <c r="P90" i="85"/>
  <c r="X90" i="85" s="1"/>
  <c r="H90" i="85"/>
  <c r="D90" i="85"/>
  <c r="L90" i="85" s="1"/>
  <c r="N90" i="85" s="1"/>
  <c r="B90" i="85"/>
  <c r="X89" i="85"/>
  <c r="Z89" i="85" s="1"/>
  <c r="L89" i="85"/>
  <c r="N89" i="85" s="1"/>
  <c r="B89" i="85"/>
  <c r="X88" i="85"/>
  <c r="Z88" i="85" s="1"/>
  <c r="T88" i="85"/>
  <c r="P88" i="85"/>
  <c r="H88" i="85"/>
  <c r="D88" i="85"/>
  <c r="L88" i="85" s="1"/>
  <c r="N88" i="85" s="1"/>
  <c r="B88" i="85"/>
  <c r="Z87" i="85"/>
  <c r="X87" i="85"/>
  <c r="N87" i="85"/>
  <c r="L87" i="85"/>
  <c r="B87" i="85"/>
  <c r="T86" i="85"/>
  <c r="X86" i="85" s="1"/>
  <c r="Z86" i="85" s="1"/>
  <c r="P86" i="85"/>
  <c r="N86" i="85"/>
  <c r="H86" i="85"/>
  <c r="L86" i="85" s="1"/>
  <c r="D86" i="85"/>
  <c r="B86" i="85"/>
  <c r="X85" i="85"/>
  <c r="Z85" i="85" s="1"/>
  <c r="N85" i="85"/>
  <c r="L85" i="85"/>
  <c r="B85" i="85"/>
  <c r="Z84" i="85"/>
  <c r="T84" i="85"/>
  <c r="P84" i="85"/>
  <c r="X84" i="85" s="1"/>
  <c r="N84" i="85"/>
  <c r="H84" i="85"/>
  <c r="D84" i="85"/>
  <c r="L84" i="85" s="1"/>
  <c r="B84" i="85"/>
  <c r="X83" i="85"/>
  <c r="Z83" i="85" s="1"/>
  <c r="N83" i="85"/>
  <c r="L83" i="85"/>
  <c r="B83" i="85"/>
  <c r="Z82" i="85"/>
  <c r="T82" i="85"/>
  <c r="P82" i="85"/>
  <c r="X82" i="85" s="1"/>
  <c r="N82" i="85"/>
  <c r="L82" i="85"/>
  <c r="H82" i="85"/>
  <c r="D82" i="85"/>
  <c r="B82" i="85"/>
  <c r="X81" i="85"/>
  <c r="Z81" i="85" s="1"/>
  <c r="L81" i="85"/>
  <c r="N81" i="85" s="1"/>
  <c r="B81" i="85"/>
  <c r="T80" i="85"/>
  <c r="X80" i="85" s="1"/>
  <c r="Z80" i="85" s="1"/>
  <c r="P80" i="85"/>
  <c r="H80" i="85"/>
  <c r="L80" i="85" s="1"/>
  <c r="N80" i="85" s="1"/>
  <c r="D80" i="85"/>
  <c r="B80" i="85"/>
  <c r="X79" i="85"/>
  <c r="Z79" i="85" s="1"/>
  <c r="L79" i="85"/>
  <c r="N79" i="85" s="1"/>
  <c r="B79" i="85"/>
  <c r="T78" i="85"/>
  <c r="P78" i="85"/>
  <c r="X78" i="85" s="1"/>
  <c r="Z78" i="85" s="1"/>
  <c r="H78" i="85"/>
  <c r="D78" i="85"/>
  <c r="L78" i="85" s="1"/>
  <c r="N78" i="85" s="1"/>
  <c r="B78" i="85"/>
  <c r="X77" i="85"/>
  <c r="Z77" i="85" s="1"/>
  <c r="L77" i="85"/>
  <c r="N77" i="85" s="1"/>
  <c r="B77" i="85"/>
  <c r="X76" i="85"/>
  <c r="Z76" i="85" s="1"/>
  <c r="T76" i="85"/>
  <c r="P76" i="85"/>
  <c r="H76" i="85"/>
  <c r="D76" i="85"/>
  <c r="L76" i="85" s="1"/>
  <c r="N76" i="85" s="1"/>
  <c r="B76" i="85"/>
  <c r="Z75" i="85"/>
  <c r="X75" i="85"/>
  <c r="L75" i="85"/>
  <c r="N75" i="85" s="1"/>
  <c r="B75" i="85"/>
  <c r="T74" i="85"/>
  <c r="X74" i="85" s="1"/>
  <c r="Z74" i="85" s="1"/>
  <c r="P74" i="85"/>
  <c r="H74" i="85"/>
  <c r="L74" i="85" s="1"/>
  <c r="N74" i="85" s="1"/>
  <c r="D74" i="85"/>
  <c r="B74" i="85"/>
  <c r="X73" i="85"/>
  <c r="Z73" i="85" s="1"/>
  <c r="L73" i="85"/>
  <c r="N73" i="85" s="1"/>
  <c r="B73" i="85"/>
  <c r="Z72" i="85"/>
  <c r="X72" i="85"/>
  <c r="N72" i="85"/>
  <c r="L72" i="85"/>
  <c r="B72" i="85"/>
  <c r="X71" i="85"/>
  <c r="Z71" i="85" s="1"/>
  <c r="L71" i="85"/>
  <c r="N71" i="85" s="1"/>
  <c r="B71" i="85"/>
  <c r="Z70" i="85"/>
  <c r="X70" i="85"/>
  <c r="N70" i="85"/>
  <c r="L70" i="85"/>
  <c r="B70" i="85"/>
  <c r="X69" i="85"/>
  <c r="Z69" i="85" s="1"/>
  <c r="T69" i="85"/>
  <c r="P69" i="85"/>
  <c r="L69" i="85"/>
  <c r="H69" i="85"/>
  <c r="D69" i="85"/>
  <c r="B69" i="85"/>
  <c r="X68" i="85"/>
  <c r="Z68" i="85" s="1"/>
  <c r="N68" i="85"/>
  <c r="L68" i="85"/>
  <c r="B68" i="85"/>
  <c r="X67" i="85"/>
  <c r="Z67" i="85" s="1"/>
  <c r="N67" i="85"/>
  <c r="L67" i="85"/>
  <c r="B67" i="85"/>
  <c r="Z66" i="85"/>
  <c r="X66" i="85"/>
  <c r="N66" i="85"/>
  <c r="L66" i="85"/>
  <c r="B66" i="85"/>
  <c r="X65" i="85"/>
  <c r="Z65" i="85" s="1"/>
  <c r="L65" i="85"/>
  <c r="N65" i="85" s="1"/>
  <c r="B65" i="85"/>
  <c r="X64" i="85"/>
  <c r="Z64" i="85" s="1"/>
  <c r="N64" i="85"/>
  <c r="L64" i="85"/>
  <c r="B64" i="85"/>
  <c r="X63" i="85"/>
  <c r="Z63" i="85" s="1"/>
  <c r="N63" i="85"/>
  <c r="L63" i="85"/>
  <c r="B63" i="85"/>
  <c r="Z62" i="85"/>
  <c r="X62" i="85"/>
  <c r="N62" i="85"/>
  <c r="L62" i="85"/>
  <c r="B62" i="85"/>
  <c r="X61" i="85"/>
  <c r="Z61" i="85" s="1"/>
  <c r="L61" i="85"/>
  <c r="N61" i="85" s="1"/>
  <c r="B61" i="85"/>
  <c r="X60" i="85"/>
  <c r="Z60" i="85" s="1"/>
  <c r="T60" i="85"/>
  <c r="P60" i="85"/>
  <c r="N60" i="85"/>
  <c r="H60" i="85"/>
  <c r="D60" i="85"/>
  <c r="L60" i="85" s="1"/>
  <c r="B60" i="85"/>
  <c r="T59" i="85"/>
  <c r="P59" i="85"/>
  <c r="X59" i="85" s="1"/>
  <c r="Z59" i="85" s="1"/>
  <c r="H59" i="85"/>
  <c r="D59" i="85"/>
  <c r="Z55" i="85"/>
  <c r="X55" i="85"/>
  <c r="N55" i="85"/>
  <c r="L55" i="85"/>
  <c r="B55" i="85"/>
  <c r="Z54" i="85"/>
  <c r="X54" i="85"/>
  <c r="N54" i="85"/>
  <c r="L54" i="85"/>
  <c r="B54" i="85"/>
  <c r="X53" i="85"/>
  <c r="Z53" i="85" s="1"/>
  <c r="L53" i="85"/>
  <c r="N53" i="85" s="1"/>
  <c r="B53" i="85"/>
  <c r="Z52" i="85"/>
  <c r="X52" i="85"/>
  <c r="N52" i="85"/>
  <c r="L52" i="85"/>
  <c r="B52" i="85"/>
  <c r="Z51" i="85"/>
  <c r="X51" i="85"/>
  <c r="L51" i="85"/>
  <c r="N51" i="85" s="1"/>
  <c r="B51" i="85"/>
  <c r="Z50" i="85"/>
  <c r="X50" i="85"/>
  <c r="N50" i="85"/>
  <c r="L50" i="85"/>
  <c r="B50" i="85"/>
  <c r="X49" i="85"/>
  <c r="Z49" i="85" s="1"/>
  <c r="N49" i="85"/>
  <c r="L49" i="85"/>
  <c r="B49" i="85"/>
  <c r="Z48" i="85"/>
  <c r="X48" i="85"/>
  <c r="N48" i="85"/>
  <c r="L48" i="85"/>
  <c r="B48" i="85"/>
  <c r="Z47" i="85"/>
  <c r="X47" i="85"/>
  <c r="L47" i="85"/>
  <c r="N47" i="85" s="1"/>
  <c r="B47" i="85"/>
  <c r="Z46" i="85"/>
  <c r="X46" i="85"/>
  <c r="N46" i="85"/>
  <c r="L46" i="85"/>
  <c r="B46" i="85"/>
  <c r="X45" i="85"/>
  <c r="Z45" i="85" s="1"/>
  <c r="L45" i="85"/>
  <c r="N45" i="85" s="1"/>
  <c r="B45" i="85"/>
  <c r="Z44" i="85"/>
  <c r="X44" i="85"/>
  <c r="N44" i="85"/>
  <c r="L44" i="85"/>
  <c r="B44" i="85"/>
  <c r="Z43" i="85"/>
  <c r="X43" i="85"/>
  <c r="L43" i="85"/>
  <c r="N43" i="85" s="1"/>
  <c r="B43" i="85"/>
  <c r="Z42" i="85"/>
  <c r="X42" i="85"/>
  <c r="N42" i="85"/>
  <c r="L42" i="85"/>
  <c r="B42" i="85"/>
  <c r="X41" i="85"/>
  <c r="Z41" i="85" s="1"/>
  <c r="L41" i="85"/>
  <c r="N41" i="85" s="1"/>
  <c r="B41" i="85"/>
  <c r="Z40" i="85"/>
  <c r="X40" i="85"/>
  <c r="N40" i="85"/>
  <c r="L40" i="85"/>
  <c r="B40" i="85"/>
  <c r="Z39" i="85"/>
  <c r="X39" i="85"/>
  <c r="L39" i="85"/>
  <c r="N39" i="85" s="1"/>
  <c r="B39" i="85"/>
  <c r="Z38" i="85"/>
  <c r="X38" i="85"/>
  <c r="N38" i="85"/>
  <c r="L38" i="85"/>
  <c r="B38" i="85"/>
  <c r="T37" i="85"/>
  <c r="P37" i="85"/>
  <c r="H37" i="85"/>
  <c r="D37" i="85"/>
  <c r="L37" i="85" s="1"/>
  <c r="N37" i="85" s="1"/>
  <c r="T35" i="85"/>
  <c r="Z35" i="85" s="1"/>
  <c r="P35" i="85"/>
  <c r="X35" i="85" s="1"/>
  <c r="L35" i="85"/>
  <c r="H35" i="85"/>
  <c r="N35" i="85" s="1"/>
  <c r="D35" i="85"/>
  <c r="B35" i="85"/>
  <c r="T34" i="85"/>
  <c r="P34" i="85"/>
  <c r="X34" i="85" s="1"/>
  <c r="H34" i="85"/>
  <c r="N34" i="85" s="1"/>
  <c r="D34" i="85"/>
  <c r="L34" i="85" s="1"/>
  <c r="B34" i="85"/>
  <c r="T33" i="85"/>
  <c r="P33" i="85"/>
  <c r="X33" i="85" s="1"/>
  <c r="Z33" i="85" s="1"/>
  <c r="N33" i="85"/>
  <c r="L33" i="85"/>
  <c r="H33" i="85"/>
  <c r="D33" i="85"/>
  <c r="B33" i="85"/>
  <c r="Z32" i="85"/>
  <c r="T32" i="85"/>
  <c r="P32" i="85"/>
  <c r="X32" i="85" s="1"/>
  <c r="H32" i="85"/>
  <c r="D32" i="85"/>
  <c r="B32" i="85"/>
  <c r="T31" i="85"/>
  <c r="P31" i="85"/>
  <c r="X31" i="85" s="1"/>
  <c r="L31" i="85"/>
  <c r="H31" i="85"/>
  <c r="N31" i="85" s="1"/>
  <c r="D31" i="85"/>
  <c r="B31" i="85"/>
  <c r="T30" i="85"/>
  <c r="P30" i="85"/>
  <c r="H30" i="85"/>
  <c r="N30" i="85" s="1"/>
  <c r="D30" i="85"/>
  <c r="L30" i="85" s="1"/>
  <c r="B30" i="85"/>
  <c r="T29" i="85"/>
  <c r="P29" i="85"/>
  <c r="X29" i="85" s="1"/>
  <c r="Z29" i="85" s="1"/>
  <c r="N29" i="85"/>
  <c r="L29" i="85"/>
  <c r="H29" i="85"/>
  <c r="D29" i="85"/>
  <c r="B29" i="85"/>
  <c r="T28" i="85"/>
  <c r="P28" i="85"/>
  <c r="X28" i="85" s="1"/>
  <c r="Z28" i="85" s="1"/>
  <c r="H28" i="85"/>
  <c r="N28" i="85" s="1"/>
  <c r="D28" i="85"/>
  <c r="B28" i="85"/>
  <c r="X27" i="85"/>
  <c r="T27" i="85"/>
  <c r="P27" i="85"/>
  <c r="L27" i="85"/>
  <c r="H27" i="85"/>
  <c r="N27" i="85" s="1"/>
  <c r="D27" i="85"/>
  <c r="B27" i="85"/>
  <c r="T26" i="85"/>
  <c r="P26" i="85"/>
  <c r="H26" i="85"/>
  <c r="D26" i="85"/>
  <c r="B26" i="85"/>
  <c r="T25" i="85"/>
  <c r="P25" i="85"/>
  <c r="X25" i="85" s="1"/>
  <c r="Z25" i="85" s="1"/>
  <c r="L25" i="85"/>
  <c r="N25" i="85" s="1"/>
  <c r="H25" i="85"/>
  <c r="D25" i="85"/>
  <c r="B25" i="85"/>
  <c r="Z24" i="85"/>
  <c r="T24" i="85"/>
  <c r="P24" i="85"/>
  <c r="X24" i="85" s="1"/>
  <c r="H24" i="85"/>
  <c r="N24" i="85" s="1"/>
  <c r="D24" i="85"/>
  <c r="B24" i="85"/>
  <c r="X23" i="85"/>
  <c r="T23" i="85"/>
  <c r="P23" i="85"/>
  <c r="L23" i="85"/>
  <c r="H23" i="85"/>
  <c r="N23" i="85" s="1"/>
  <c r="D23" i="85"/>
  <c r="B23" i="85"/>
  <c r="T22" i="85"/>
  <c r="P22" i="85"/>
  <c r="H22" i="85"/>
  <c r="D22" i="85"/>
  <c r="L22" i="85" s="1"/>
  <c r="N22" i="85" s="1"/>
  <c r="B22" i="85"/>
  <c r="T21" i="85"/>
  <c r="P21" i="85"/>
  <c r="X21" i="85" s="1"/>
  <c r="Z21" i="85" s="1"/>
  <c r="N21" i="85"/>
  <c r="H21" i="85"/>
  <c r="D21" i="85"/>
  <c r="L21" i="85" s="1"/>
  <c r="B21" i="85"/>
  <c r="Z20" i="85"/>
  <c r="T20" i="85"/>
  <c r="P20" i="85"/>
  <c r="X20" i="85" s="1"/>
  <c r="H20" i="85"/>
  <c r="D20" i="85"/>
  <c r="B20" i="85"/>
  <c r="X19" i="85"/>
  <c r="T19" i="85"/>
  <c r="Z19" i="85" s="1"/>
  <c r="P19" i="85"/>
  <c r="L19" i="85"/>
  <c r="H19" i="85"/>
  <c r="N19" i="85" s="1"/>
  <c r="D19" i="85"/>
  <c r="B19" i="85"/>
  <c r="T18" i="85"/>
  <c r="P18" i="85"/>
  <c r="H18" i="85"/>
  <c r="D18" i="85"/>
  <c r="B18" i="85"/>
  <c r="T17" i="85"/>
  <c r="P17" i="85"/>
  <c r="X17" i="85" s="1"/>
  <c r="Z17" i="85" s="1"/>
  <c r="H17" i="85"/>
  <c r="D17" i="85"/>
  <c r="L17" i="85" s="1"/>
  <c r="N17" i="85" s="1"/>
  <c r="B17" i="85"/>
  <c r="T16" i="85"/>
  <c r="P16" i="85"/>
  <c r="X16" i="85" s="1"/>
  <c r="Z16" i="85" s="1"/>
  <c r="H16" i="85"/>
  <c r="D16" i="85"/>
  <c r="B16" i="85"/>
  <c r="X15" i="85"/>
  <c r="T15" i="85"/>
  <c r="P15" i="85"/>
  <c r="L15" i="85"/>
  <c r="H15" i="85"/>
  <c r="N15" i="85" s="1"/>
  <c r="D15" i="85"/>
  <c r="B15" i="85"/>
  <c r="T14" i="85"/>
  <c r="P14" i="85"/>
  <c r="H14" i="85"/>
  <c r="D14" i="85"/>
  <c r="B14" i="85"/>
  <c r="Z13" i="85"/>
  <c r="T13" i="85"/>
  <c r="P13" i="85"/>
  <c r="X13" i="85" s="1"/>
  <c r="H13" i="85"/>
  <c r="D13" i="85"/>
  <c r="B13" i="85"/>
  <c r="D6" i="85"/>
  <c r="D4" i="85"/>
  <c r="Z88" i="84"/>
  <c r="X88" i="84"/>
  <c r="N88" i="84"/>
  <c r="L88" i="84"/>
  <c r="Z84" i="84"/>
  <c r="T84" i="84"/>
  <c r="R84" i="84"/>
  <c r="P84" i="84"/>
  <c r="X84" i="84" s="1"/>
  <c r="N84" i="84"/>
  <c r="H84" i="84"/>
  <c r="D84" i="84"/>
  <c r="L84" i="84" s="1"/>
  <c r="Z82" i="84"/>
  <c r="X82" i="84"/>
  <c r="N82" i="84"/>
  <c r="L82" i="84"/>
  <c r="B82" i="84"/>
  <c r="T81" i="84"/>
  <c r="P81" i="84"/>
  <c r="X81" i="84" s="1"/>
  <c r="Z81" i="84" s="1"/>
  <c r="L81" i="84"/>
  <c r="H81" i="84"/>
  <c r="D81" i="84"/>
  <c r="B81" i="84"/>
  <c r="X80" i="84"/>
  <c r="Z80" i="84" s="1"/>
  <c r="N80" i="84"/>
  <c r="L80" i="84"/>
  <c r="B80" i="84"/>
  <c r="X79" i="84"/>
  <c r="Z79" i="84" s="1"/>
  <c r="T79" i="84"/>
  <c r="P79" i="84"/>
  <c r="H79" i="84"/>
  <c r="N79" i="84" s="1"/>
  <c r="D79" i="84"/>
  <c r="L79" i="84" s="1"/>
  <c r="B79" i="84"/>
  <c r="Z78" i="84"/>
  <c r="X78" i="84"/>
  <c r="N78" i="84"/>
  <c r="L78" i="84"/>
  <c r="B78" i="84"/>
  <c r="X77" i="84"/>
  <c r="T77" i="84"/>
  <c r="Z77" i="84" s="1"/>
  <c r="P77" i="84"/>
  <c r="H77" i="84"/>
  <c r="D77" i="84"/>
  <c r="L77" i="84" s="1"/>
  <c r="B77" i="84"/>
  <c r="Z76" i="84"/>
  <c r="X76" i="84"/>
  <c r="N76" i="84"/>
  <c r="L76" i="84"/>
  <c r="B76" i="84"/>
  <c r="X75" i="84"/>
  <c r="Z75" i="84" s="1"/>
  <c r="R75" i="84"/>
  <c r="L75" i="84"/>
  <c r="N75" i="84" s="1"/>
  <c r="B75" i="84"/>
  <c r="Z74" i="84"/>
  <c r="X74" i="84"/>
  <c r="V74" i="84"/>
  <c r="N74" i="84"/>
  <c r="L74" i="84"/>
  <c r="B74" i="84"/>
  <c r="Z73" i="84"/>
  <c r="X73" i="84"/>
  <c r="N73" i="84"/>
  <c r="L73" i="84"/>
  <c r="F73" i="84"/>
  <c r="B73" i="84"/>
  <c r="Z72" i="84"/>
  <c r="X72" i="84"/>
  <c r="L72" i="84"/>
  <c r="N72" i="84" s="1"/>
  <c r="B72" i="84"/>
  <c r="X71" i="84"/>
  <c r="Z71" i="84" s="1"/>
  <c r="N71" i="84"/>
  <c r="L71" i="84"/>
  <c r="B71" i="84"/>
  <c r="V70" i="84"/>
  <c r="T70" i="84"/>
  <c r="P70" i="84"/>
  <c r="X70" i="84" s="1"/>
  <c r="Z70" i="84" s="1"/>
  <c r="N70" i="84"/>
  <c r="H70" i="84"/>
  <c r="D70" i="84"/>
  <c r="L70" i="84" s="1"/>
  <c r="B70" i="84"/>
  <c r="X69" i="84"/>
  <c r="Z69" i="84" s="1"/>
  <c r="L69" i="84"/>
  <c r="N69" i="84" s="1"/>
  <c r="F69" i="84"/>
  <c r="B69" i="84"/>
  <c r="X68" i="84"/>
  <c r="Z68" i="84" s="1"/>
  <c r="N68" i="84"/>
  <c r="L68" i="84"/>
  <c r="B68" i="84"/>
  <c r="X67" i="84"/>
  <c r="T67" i="84"/>
  <c r="Z67" i="84" s="1"/>
  <c r="P67" i="84"/>
  <c r="H67" i="84"/>
  <c r="D67" i="84"/>
  <c r="L67" i="84" s="1"/>
  <c r="B67" i="84"/>
  <c r="Z66" i="84"/>
  <c r="X66" i="84"/>
  <c r="N66" i="84"/>
  <c r="L66" i="84"/>
  <c r="B66" i="84"/>
  <c r="X65" i="84"/>
  <c r="Z65" i="84" s="1"/>
  <c r="N65" i="84"/>
  <c r="L65" i="84"/>
  <c r="B65" i="84"/>
  <c r="Z64" i="84"/>
  <c r="X64" i="84"/>
  <c r="N64" i="84"/>
  <c r="L64" i="84"/>
  <c r="F64" i="84"/>
  <c r="B64" i="84"/>
  <c r="X63" i="84"/>
  <c r="Z63" i="84" s="1"/>
  <c r="L63" i="84"/>
  <c r="N63" i="84" s="1"/>
  <c r="F63" i="84"/>
  <c r="B63" i="84"/>
  <c r="Z62" i="84"/>
  <c r="X62" i="84"/>
  <c r="T62" i="84"/>
  <c r="P62" i="84"/>
  <c r="N62" i="84"/>
  <c r="H62" i="84"/>
  <c r="F62" i="84"/>
  <c r="D62" i="84"/>
  <c r="L62" i="84" s="1"/>
  <c r="B62" i="84"/>
  <c r="Z61" i="84"/>
  <c r="X61" i="84"/>
  <c r="L61" i="84"/>
  <c r="N61" i="84" s="1"/>
  <c r="F61" i="84"/>
  <c r="B61" i="84"/>
  <c r="Z60" i="84"/>
  <c r="X60" i="84"/>
  <c r="N60" i="84"/>
  <c r="L60" i="84"/>
  <c r="B60" i="84"/>
  <c r="Z59" i="84"/>
  <c r="X59" i="84"/>
  <c r="R59" i="84"/>
  <c r="N59" i="84"/>
  <c r="L59" i="84"/>
  <c r="B59" i="84"/>
  <c r="V58" i="84"/>
  <c r="T58" i="84"/>
  <c r="P58" i="84"/>
  <c r="X58" i="84" s="1"/>
  <c r="Z58" i="84" s="1"/>
  <c r="H58" i="84"/>
  <c r="D58" i="84"/>
  <c r="L58" i="84" s="1"/>
  <c r="N58" i="84" s="1"/>
  <c r="B58" i="84"/>
  <c r="X57" i="84"/>
  <c r="Z57" i="84" s="1"/>
  <c r="L57" i="84"/>
  <c r="N57" i="84" s="1"/>
  <c r="F57" i="84"/>
  <c r="B57" i="84"/>
  <c r="X56" i="84"/>
  <c r="T56" i="84"/>
  <c r="Z56" i="84" s="1"/>
  <c r="P56" i="84"/>
  <c r="N56" i="84"/>
  <c r="H56" i="84"/>
  <c r="F56" i="84"/>
  <c r="D56" i="84"/>
  <c r="L56" i="84" s="1"/>
  <c r="B56" i="84"/>
  <c r="X55" i="84"/>
  <c r="Z55" i="84" s="1"/>
  <c r="R55" i="84"/>
  <c r="L55" i="84"/>
  <c r="N55" i="84" s="1"/>
  <c r="F55" i="84"/>
  <c r="B55" i="84"/>
  <c r="Z54" i="84"/>
  <c r="X54" i="84"/>
  <c r="T54" i="84"/>
  <c r="P54" i="84"/>
  <c r="H54" i="84"/>
  <c r="F54" i="84"/>
  <c r="D54" i="84"/>
  <c r="L54" i="84" s="1"/>
  <c r="N54" i="84" s="1"/>
  <c r="B54" i="84"/>
  <c r="Z53" i="84"/>
  <c r="X53" i="84"/>
  <c r="L53" i="84"/>
  <c r="N53" i="84" s="1"/>
  <c r="F53" i="84"/>
  <c r="B53" i="84"/>
  <c r="V52" i="84"/>
  <c r="T52" i="84"/>
  <c r="P52" i="84"/>
  <c r="X52" i="84" s="1"/>
  <c r="Z52" i="84" s="1"/>
  <c r="H52" i="84"/>
  <c r="F52" i="84"/>
  <c r="D52" i="84"/>
  <c r="L52" i="84" s="1"/>
  <c r="N52" i="84" s="1"/>
  <c r="B52" i="84"/>
  <c r="X51" i="84"/>
  <c r="Z51" i="84" s="1"/>
  <c r="L51" i="84"/>
  <c r="N51" i="84" s="1"/>
  <c r="F51" i="84"/>
  <c r="B51" i="84"/>
  <c r="T50" i="84"/>
  <c r="R50" i="84"/>
  <c r="P50" i="84"/>
  <c r="X50" i="84" s="1"/>
  <c r="Z50" i="84" s="1"/>
  <c r="L50" i="84"/>
  <c r="H50" i="84"/>
  <c r="N50" i="84" s="1"/>
  <c r="F50" i="84"/>
  <c r="D50" i="84"/>
  <c r="B50" i="84"/>
  <c r="X49" i="84"/>
  <c r="Z49" i="84" s="1"/>
  <c r="R49" i="84"/>
  <c r="N49" i="84"/>
  <c r="L49" i="84"/>
  <c r="B49" i="84"/>
  <c r="Z48" i="84"/>
  <c r="V48" i="84"/>
  <c r="T48" i="84"/>
  <c r="P48" i="84"/>
  <c r="X48" i="84" s="1"/>
  <c r="N48" i="84"/>
  <c r="L48" i="84"/>
  <c r="H48" i="84"/>
  <c r="D48" i="84"/>
  <c r="B48" i="84"/>
  <c r="X47" i="84"/>
  <c r="Z47" i="84" s="1"/>
  <c r="R47" i="84"/>
  <c r="L47" i="84"/>
  <c r="N47" i="84" s="1"/>
  <c r="B47" i="84"/>
  <c r="Z46" i="84"/>
  <c r="X46" i="84"/>
  <c r="N46" i="84"/>
  <c r="L46" i="84"/>
  <c r="B46" i="84"/>
  <c r="T45" i="84"/>
  <c r="P45" i="84"/>
  <c r="X45" i="84" s="1"/>
  <c r="Z45" i="84" s="1"/>
  <c r="H45" i="84"/>
  <c r="D45" i="84"/>
  <c r="B45" i="84"/>
  <c r="X44" i="84"/>
  <c r="Z44" i="84" s="1"/>
  <c r="N44" i="84"/>
  <c r="L44" i="84"/>
  <c r="B44" i="84"/>
  <c r="X43" i="84"/>
  <c r="Z43" i="84" s="1"/>
  <c r="T43" i="84"/>
  <c r="P43" i="84"/>
  <c r="H43" i="84"/>
  <c r="D43" i="84"/>
  <c r="L43" i="84" s="1"/>
  <c r="B43" i="84"/>
  <c r="Z42" i="84"/>
  <c r="X42" i="84"/>
  <c r="N42" i="84"/>
  <c r="L42" i="84"/>
  <c r="B42" i="84"/>
  <c r="X41" i="84"/>
  <c r="T41" i="84"/>
  <c r="P41" i="84"/>
  <c r="H41" i="84"/>
  <c r="D41" i="84"/>
  <c r="L41" i="84" s="1"/>
  <c r="B41" i="84"/>
  <c r="Z40" i="84"/>
  <c r="X40" i="84"/>
  <c r="L40" i="84"/>
  <c r="N40" i="84" s="1"/>
  <c r="B40" i="84"/>
  <c r="T39" i="84"/>
  <c r="P39" i="84"/>
  <c r="H39" i="84"/>
  <c r="D39" i="84"/>
  <c r="L39" i="84" s="1"/>
  <c r="N39" i="84" s="1"/>
  <c r="B39" i="84"/>
  <c r="Z38" i="84"/>
  <c r="X38" i="84"/>
  <c r="N38" i="84"/>
  <c r="L38" i="84"/>
  <c r="B38" i="84"/>
  <c r="X37" i="84"/>
  <c r="Z37" i="84" s="1"/>
  <c r="R37" i="84"/>
  <c r="L37" i="84"/>
  <c r="N37" i="84" s="1"/>
  <c r="F37" i="84"/>
  <c r="B37" i="84"/>
  <c r="X36" i="84"/>
  <c r="Z36" i="84" s="1"/>
  <c r="N36" i="84"/>
  <c r="L36" i="84"/>
  <c r="B36" i="84"/>
  <c r="X35" i="84"/>
  <c r="Z35" i="84" s="1"/>
  <c r="L35" i="84"/>
  <c r="N35" i="84" s="1"/>
  <c r="F35" i="84"/>
  <c r="B35" i="84"/>
  <c r="Z34" i="84"/>
  <c r="X34" i="84"/>
  <c r="V34" i="84"/>
  <c r="N34" i="84"/>
  <c r="L34" i="84"/>
  <c r="B34" i="84"/>
  <c r="X33" i="84"/>
  <c r="Z33" i="84" s="1"/>
  <c r="R33" i="84"/>
  <c r="L33" i="84"/>
  <c r="N33" i="84" s="1"/>
  <c r="F33" i="84"/>
  <c r="B33" i="84"/>
  <c r="X32" i="84"/>
  <c r="T32" i="84"/>
  <c r="Z32" i="84" s="1"/>
  <c r="R32" i="84"/>
  <c r="P32" i="84"/>
  <c r="N32" i="84"/>
  <c r="H32" i="84"/>
  <c r="D32" i="84"/>
  <c r="L32" i="84" s="1"/>
  <c r="B32" i="84"/>
  <c r="X31" i="84"/>
  <c r="Z31" i="84" s="1"/>
  <c r="R31" i="84"/>
  <c r="L31" i="84"/>
  <c r="N31" i="84" s="1"/>
  <c r="F31" i="84"/>
  <c r="B31" i="84"/>
  <c r="X30" i="84"/>
  <c r="Z30" i="84" s="1"/>
  <c r="N30" i="84"/>
  <c r="L30" i="84"/>
  <c r="B30" i="84"/>
  <c r="X29" i="84"/>
  <c r="Z29" i="84" s="1"/>
  <c r="R29" i="84"/>
  <c r="N29" i="84"/>
  <c r="L29" i="84"/>
  <c r="F29" i="84"/>
  <c r="B29" i="84"/>
  <c r="Z28" i="84"/>
  <c r="X28" i="84"/>
  <c r="N28" i="84"/>
  <c r="L28" i="84"/>
  <c r="F28" i="84"/>
  <c r="B28" i="84"/>
  <c r="X27" i="84"/>
  <c r="Z27" i="84" s="1"/>
  <c r="R27" i="84"/>
  <c r="L27" i="84"/>
  <c r="N27" i="84" s="1"/>
  <c r="F27" i="84"/>
  <c r="B27" i="84"/>
  <c r="Z26" i="84"/>
  <c r="X26" i="84"/>
  <c r="N26" i="84"/>
  <c r="L26" i="84"/>
  <c r="B26" i="84"/>
  <c r="X25" i="84"/>
  <c r="Z25" i="84" s="1"/>
  <c r="R25" i="84"/>
  <c r="N25" i="84"/>
  <c r="L25" i="84"/>
  <c r="F25" i="84"/>
  <c r="B25" i="84"/>
  <c r="Z24" i="84"/>
  <c r="X24" i="84"/>
  <c r="N24" i="84"/>
  <c r="L24" i="84"/>
  <c r="F24" i="84"/>
  <c r="B24" i="84"/>
  <c r="T23" i="84"/>
  <c r="P23" i="84"/>
  <c r="H23" i="84"/>
  <c r="F23" i="84"/>
  <c r="D23" i="84"/>
  <c r="B23" i="84"/>
  <c r="T22" i="84"/>
  <c r="R22" i="84"/>
  <c r="P22" i="84"/>
  <c r="X22" i="84" s="1"/>
  <c r="Z22" i="84" s="1"/>
  <c r="H22" i="84"/>
  <c r="D22" i="84"/>
  <c r="L22" i="84" s="1"/>
  <c r="N22" i="84" s="1"/>
  <c r="D20" i="84"/>
  <c r="Z18" i="84"/>
  <c r="X18" i="84"/>
  <c r="V18" i="84"/>
  <c r="N18" i="84"/>
  <c r="L18" i="84"/>
  <c r="B18" i="84"/>
  <c r="Z17" i="84"/>
  <c r="X17" i="84"/>
  <c r="L17" i="84"/>
  <c r="N17" i="84" s="1"/>
  <c r="F17" i="84"/>
  <c r="B17" i="84"/>
  <c r="T16" i="84"/>
  <c r="Z16" i="84" s="1"/>
  <c r="P16" i="84"/>
  <c r="X16" i="84" s="1"/>
  <c r="H16" i="84"/>
  <c r="F16" i="84"/>
  <c r="D16" i="84"/>
  <c r="L16" i="84" s="1"/>
  <c r="N16" i="84" s="1"/>
  <c r="T14" i="84"/>
  <c r="P14" i="84"/>
  <c r="H14" i="84"/>
  <c r="D14" i="84"/>
  <c r="B14" i="84"/>
  <c r="X13" i="84"/>
  <c r="T13" i="84"/>
  <c r="Z13" i="84" s="1"/>
  <c r="P13" i="84"/>
  <c r="P12" i="84" s="1"/>
  <c r="H13" i="84"/>
  <c r="D13" i="84"/>
  <c r="B13" i="84"/>
  <c r="T12" i="84"/>
  <c r="V46" i="84" s="1"/>
  <c r="D12" i="84"/>
  <c r="F82" i="84" s="1"/>
  <c r="D6" i="84"/>
  <c r="D4" i="84"/>
  <c r="X31" i="83"/>
  <c r="Z31" i="83" s="1"/>
  <c r="N31" i="83"/>
  <c r="L31" i="83"/>
  <c r="T27" i="83"/>
  <c r="Z27" i="83" s="1"/>
  <c r="P27" i="83"/>
  <c r="X27" i="83" s="1"/>
  <c r="N27" i="83"/>
  <c r="J27" i="83"/>
  <c r="H27" i="83"/>
  <c r="D27" i="83"/>
  <c r="L27" i="83" s="1"/>
  <c r="Z25" i="83"/>
  <c r="X25" i="83"/>
  <c r="N25" i="83"/>
  <c r="L25" i="83"/>
  <c r="B25" i="83"/>
  <c r="T24" i="83"/>
  <c r="P24" i="83"/>
  <c r="N24" i="83"/>
  <c r="H24" i="83"/>
  <c r="D24" i="83"/>
  <c r="L24" i="83" s="1"/>
  <c r="B24" i="83"/>
  <c r="T23" i="83"/>
  <c r="P23" i="83"/>
  <c r="X23" i="83" s="1"/>
  <c r="Z23" i="83" s="1"/>
  <c r="N23" i="83"/>
  <c r="L23" i="83"/>
  <c r="H23" i="83"/>
  <c r="D23" i="83"/>
  <c r="Z19" i="83"/>
  <c r="X19" i="83"/>
  <c r="N19" i="83"/>
  <c r="L19" i="83"/>
  <c r="B19" i="83"/>
  <c r="X18" i="83"/>
  <c r="Z18" i="83" s="1"/>
  <c r="R18" i="83"/>
  <c r="L18" i="83"/>
  <c r="N18" i="83" s="1"/>
  <c r="B18" i="83"/>
  <c r="X17" i="83"/>
  <c r="Z17" i="83" s="1"/>
  <c r="T17" i="83"/>
  <c r="P17" i="83"/>
  <c r="H17" i="83"/>
  <c r="D17" i="83"/>
  <c r="L17" i="83" s="1"/>
  <c r="N17" i="83" s="1"/>
  <c r="T15" i="83"/>
  <c r="P15" i="83"/>
  <c r="H15" i="83"/>
  <c r="H12" i="83" s="1"/>
  <c r="J31" i="83" s="1"/>
  <c r="D15" i="83"/>
  <c r="L15" i="83" s="1"/>
  <c r="B15" i="83"/>
  <c r="T14" i="83"/>
  <c r="P14" i="83"/>
  <c r="H14" i="83"/>
  <c r="D14" i="83"/>
  <c r="L14" i="83" s="1"/>
  <c r="N14" i="83" s="1"/>
  <c r="B14" i="83"/>
  <c r="T13" i="83"/>
  <c r="P13" i="83"/>
  <c r="L13" i="83"/>
  <c r="N13" i="83" s="1"/>
  <c r="H13" i="83"/>
  <c r="D13" i="83"/>
  <c r="B13" i="83"/>
  <c r="P12" i="83"/>
  <c r="D6" i="83"/>
  <c r="D4" i="83"/>
  <c r="X80" i="81"/>
  <c r="Z80" i="81" s="1"/>
  <c r="N80" i="81"/>
  <c r="L80" i="81"/>
  <c r="T76" i="81"/>
  <c r="Z76" i="81" s="1"/>
  <c r="P76" i="81"/>
  <c r="X76" i="81" s="1"/>
  <c r="H76" i="81"/>
  <c r="N76" i="81" s="1"/>
  <c r="D76" i="81"/>
  <c r="L76" i="81" s="1"/>
  <c r="X74" i="81"/>
  <c r="Z74" i="81" s="1"/>
  <c r="L74" i="81"/>
  <c r="N74" i="81" s="1"/>
  <c r="B74" i="81"/>
  <c r="X73" i="81"/>
  <c r="Z73" i="81" s="1"/>
  <c r="T73" i="81"/>
  <c r="P73" i="81"/>
  <c r="H73" i="81"/>
  <c r="D73" i="81"/>
  <c r="L73" i="81" s="1"/>
  <c r="N73" i="81" s="1"/>
  <c r="B73" i="81"/>
  <c r="X72" i="81"/>
  <c r="Z72" i="81" s="1"/>
  <c r="L72" i="81"/>
  <c r="N72" i="81" s="1"/>
  <c r="B72" i="81"/>
  <c r="Z71" i="81"/>
  <c r="X71" i="81"/>
  <c r="T71" i="81"/>
  <c r="P71" i="81"/>
  <c r="N71" i="81"/>
  <c r="L71" i="81"/>
  <c r="H71" i="81"/>
  <c r="D71" i="81"/>
  <c r="B71" i="81"/>
  <c r="Z70" i="81"/>
  <c r="X70" i="81"/>
  <c r="N70" i="81"/>
  <c r="L70" i="81"/>
  <c r="B70" i="81"/>
  <c r="Z69" i="81"/>
  <c r="X69" i="81"/>
  <c r="L69" i="81"/>
  <c r="N69" i="81" s="1"/>
  <c r="B69" i="81"/>
  <c r="X68" i="81"/>
  <c r="Z68" i="81" s="1"/>
  <c r="N68" i="81"/>
  <c r="L68" i="81"/>
  <c r="B68" i="81"/>
  <c r="Z67" i="81"/>
  <c r="X67" i="81"/>
  <c r="N67" i="81"/>
  <c r="L67" i="81"/>
  <c r="B67" i="81"/>
  <c r="Z66" i="81"/>
  <c r="X66" i="81"/>
  <c r="L66" i="81"/>
  <c r="N66" i="81" s="1"/>
  <c r="B66" i="81"/>
  <c r="Z65" i="81"/>
  <c r="X65" i="81"/>
  <c r="L65" i="81"/>
  <c r="N65" i="81" s="1"/>
  <c r="B65" i="81"/>
  <c r="Z64" i="81"/>
  <c r="X64" i="81"/>
  <c r="N64" i="81"/>
  <c r="L64" i="81"/>
  <c r="B64" i="81"/>
  <c r="T63" i="81"/>
  <c r="P63" i="81"/>
  <c r="X63" i="81" s="1"/>
  <c r="Z63" i="81" s="1"/>
  <c r="H63" i="81"/>
  <c r="D63" i="81"/>
  <c r="L63" i="81" s="1"/>
  <c r="N63" i="81" s="1"/>
  <c r="B63" i="81"/>
  <c r="X62" i="81"/>
  <c r="Z62" i="81" s="1"/>
  <c r="N62" i="81"/>
  <c r="L62" i="81"/>
  <c r="B62" i="81"/>
  <c r="X61" i="81"/>
  <c r="Z61" i="81" s="1"/>
  <c r="T61" i="81"/>
  <c r="P61" i="81"/>
  <c r="N61" i="81"/>
  <c r="H61" i="81"/>
  <c r="D61" i="81"/>
  <c r="L61" i="81" s="1"/>
  <c r="B61" i="81"/>
  <c r="X60" i="81"/>
  <c r="Z60" i="81" s="1"/>
  <c r="L60" i="81"/>
  <c r="N60" i="81" s="1"/>
  <c r="B60" i="81"/>
  <c r="X59" i="81"/>
  <c r="Z59" i="81" s="1"/>
  <c r="N59" i="81"/>
  <c r="L59" i="81"/>
  <c r="B59" i="81"/>
  <c r="X58" i="81"/>
  <c r="Z58" i="81" s="1"/>
  <c r="N58" i="81"/>
  <c r="L58" i="81"/>
  <c r="B58" i="81"/>
  <c r="Z57" i="81"/>
  <c r="T57" i="81"/>
  <c r="X57" i="81" s="1"/>
  <c r="P57" i="81"/>
  <c r="N57" i="81"/>
  <c r="L57" i="81"/>
  <c r="H57" i="81"/>
  <c r="D57" i="81"/>
  <c r="B57" i="81"/>
  <c r="X56" i="81"/>
  <c r="Z56" i="81" s="1"/>
  <c r="L56" i="81"/>
  <c r="N56" i="81" s="1"/>
  <c r="B56" i="81"/>
  <c r="Z55" i="81"/>
  <c r="X55" i="81"/>
  <c r="N55" i="81"/>
  <c r="L55" i="81"/>
  <c r="B55" i="81"/>
  <c r="T54" i="81"/>
  <c r="P54" i="81"/>
  <c r="H54" i="81"/>
  <c r="D54" i="81"/>
  <c r="B54" i="81"/>
  <c r="X53" i="81"/>
  <c r="Z53" i="81" s="1"/>
  <c r="N53" i="81"/>
  <c r="L53" i="81"/>
  <c r="B53" i="81"/>
  <c r="X52" i="81"/>
  <c r="T52" i="81"/>
  <c r="Z52" i="81" s="1"/>
  <c r="P52" i="81"/>
  <c r="H52" i="81"/>
  <c r="D52" i="81"/>
  <c r="L52" i="81" s="1"/>
  <c r="B52" i="81"/>
  <c r="Z51" i="81"/>
  <c r="X51" i="81"/>
  <c r="N51" i="81"/>
  <c r="L51" i="81"/>
  <c r="B51" i="81"/>
  <c r="T50" i="81"/>
  <c r="P50" i="81"/>
  <c r="H50" i="81"/>
  <c r="D50" i="81"/>
  <c r="B50" i="81"/>
  <c r="X49" i="81"/>
  <c r="Z49" i="81" s="1"/>
  <c r="L49" i="81"/>
  <c r="N49" i="81" s="1"/>
  <c r="B49" i="81"/>
  <c r="T48" i="81"/>
  <c r="P48" i="81"/>
  <c r="X48" i="81" s="1"/>
  <c r="Z48" i="81" s="1"/>
  <c r="H48" i="81"/>
  <c r="D48" i="81"/>
  <c r="L48" i="81" s="1"/>
  <c r="N48" i="81" s="1"/>
  <c r="B48" i="81"/>
  <c r="X47" i="81"/>
  <c r="Z47" i="81" s="1"/>
  <c r="N47" i="81"/>
  <c r="L47" i="81"/>
  <c r="B47" i="81"/>
  <c r="Z46" i="81"/>
  <c r="X46" i="81"/>
  <c r="T46" i="81"/>
  <c r="P46" i="81"/>
  <c r="H46" i="81"/>
  <c r="N46" i="81" s="1"/>
  <c r="D46" i="81"/>
  <c r="B46" i="81"/>
  <c r="X45" i="81"/>
  <c r="Z45" i="81" s="1"/>
  <c r="L45" i="81"/>
  <c r="N45" i="81" s="1"/>
  <c r="B45" i="81"/>
  <c r="T44" i="81"/>
  <c r="P44" i="81"/>
  <c r="H44" i="81"/>
  <c r="D44" i="81"/>
  <c r="L44" i="81" s="1"/>
  <c r="B44" i="81"/>
  <c r="X43" i="81"/>
  <c r="Z43" i="81" s="1"/>
  <c r="L43" i="81"/>
  <c r="N43" i="81" s="1"/>
  <c r="B43" i="81"/>
  <c r="T42" i="81"/>
  <c r="P42" i="81"/>
  <c r="X42" i="81" s="1"/>
  <c r="Z42" i="81" s="1"/>
  <c r="H42" i="81"/>
  <c r="D42" i="81"/>
  <c r="L42" i="81" s="1"/>
  <c r="N42" i="81" s="1"/>
  <c r="B42" i="81"/>
  <c r="X41" i="81"/>
  <c r="Z41" i="81" s="1"/>
  <c r="N41" i="81"/>
  <c r="L41" i="81"/>
  <c r="B41" i="81"/>
  <c r="T40" i="81"/>
  <c r="P40" i="81"/>
  <c r="N40" i="81"/>
  <c r="L40" i="81"/>
  <c r="H40" i="81"/>
  <c r="D40" i="81"/>
  <c r="B40" i="81"/>
  <c r="X39" i="81"/>
  <c r="Z39" i="81" s="1"/>
  <c r="N39" i="81"/>
  <c r="L39" i="81"/>
  <c r="B39" i="81"/>
  <c r="T38" i="81"/>
  <c r="Z38" i="81" s="1"/>
  <c r="P38" i="81"/>
  <c r="X38" i="81" s="1"/>
  <c r="H38" i="81"/>
  <c r="D38" i="81"/>
  <c r="B38" i="81"/>
  <c r="Z37" i="81"/>
  <c r="X37" i="81"/>
  <c r="L37" i="81"/>
  <c r="N37" i="81" s="1"/>
  <c r="B37" i="81"/>
  <c r="Z36" i="81"/>
  <c r="X36" i="81"/>
  <c r="L36" i="81"/>
  <c r="N36" i="81" s="1"/>
  <c r="B36" i="81"/>
  <c r="X35" i="81"/>
  <c r="Z35" i="81" s="1"/>
  <c r="N35" i="81"/>
  <c r="L35" i="81"/>
  <c r="B35" i="81"/>
  <c r="Z34" i="81"/>
  <c r="X34" i="81"/>
  <c r="N34" i="81"/>
  <c r="L34" i="81"/>
  <c r="B34" i="81"/>
  <c r="Z33" i="81"/>
  <c r="X33" i="81"/>
  <c r="L33" i="81"/>
  <c r="N33" i="81" s="1"/>
  <c r="B33" i="81"/>
  <c r="Z32" i="81"/>
  <c r="T32" i="81"/>
  <c r="P32" i="81"/>
  <c r="X32" i="81" s="1"/>
  <c r="H32" i="81"/>
  <c r="D32" i="81"/>
  <c r="L32" i="81" s="1"/>
  <c r="N32" i="81" s="1"/>
  <c r="B32" i="81"/>
  <c r="X31" i="81"/>
  <c r="Z31" i="81" s="1"/>
  <c r="L31" i="81"/>
  <c r="N31" i="81" s="1"/>
  <c r="B31" i="81"/>
  <c r="Z30" i="81"/>
  <c r="X30" i="81"/>
  <c r="L30" i="81"/>
  <c r="N30" i="81" s="1"/>
  <c r="B30" i="81"/>
  <c r="X29" i="81"/>
  <c r="Z29" i="81" s="1"/>
  <c r="L29" i="81"/>
  <c r="N29" i="81" s="1"/>
  <c r="B29" i="81"/>
  <c r="X28" i="81"/>
  <c r="Z28" i="81" s="1"/>
  <c r="N28" i="81"/>
  <c r="L28" i="81"/>
  <c r="B28" i="81"/>
  <c r="X27" i="81"/>
  <c r="Z27" i="81" s="1"/>
  <c r="L27" i="81"/>
  <c r="N27" i="81" s="1"/>
  <c r="B27" i="81"/>
  <c r="X26" i="81"/>
  <c r="Z26" i="81" s="1"/>
  <c r="L26" i="81"/>
  <c r="N26" i="81" s="1"/>
  <c r="B26" i="81"/>
  <c r="X25" i="81"/>
  <c r="Z25" i="81" s="1"/>
  <c r="L25" i="81"/>
  <c r="N25" i="81" s="1"/>
  <c r="B25" i="81"/>
  <c r="X24" i="81"/>
  <c r="Z24" i="81" s="1"/>
  <c r="N24" i="81"/>
  <c r="L24" i="81"/>
  <c r="B24" i="81"/>
  <c r="T23" i="81"/>
  <c r="P23" i="81"/>
  <c r="X23" i="81" s="1"/>
  <c r="H23" i="81"/>
  <c r="D23" i="81"/>
  <c r="L23" i="81" s="1"/>
  <c r="B23" i="81"/>
  <c r="T22" i="81"/>
  <c r="Z22" i="81" s="1"/>
  <c r="P22" i="81"/>
  <c r="X22" i="81" s="1"/>
  <c r="H22" i="81"/>
  <c r="D22" i="81"/>
  <c r="X18" i="81"/>
  <c r="Z18" i="81" s="1"/>
  <c r="L18" i="81"/>
  <c r="N18" i="81" s="1"/>
  <c r="B18" i="81"/>
  <c r="Z17" i="81"/>
  <c r="X17" i="81"/>
  <c r="N17" i="81"/>
  <c r="L17" i="81"/>
  <c r="B17" i="81"/>
  <c r="T16" i="81"/>
  <c r="P16" i="81"/>
  <c r="H16" i="81"/>
  <c r="N16" i="81" s="1"/>
  <c r="D16" i="81"/>
  <c r="L16" i="81" s="1"/>
  <c r="T14" i="81"/>
  <c r="P14" i="81"/>
  <c r="X14" i="81" s="1"/>
  <c r="N14" i="81"/>
  <c r="L14" i="81"/>
  <c r="H14" i="81"/>
  <c r="D14" i="81"/>
  <c r="B14" i="81"/>
  <c r="T13" i="81"/>
  <c r="P13" i="81"/>
  <c r="H13" i="81"/>
  <c r="D13" i="81"/>
  <c r="B13" i="81"/>
  <c r="D6" i="81"/>
  <c r="D4" i="81"/>
  <c r="Z74" i="80"/>
  <c r="X74" i="80"/>
  <c r="L74" i="80"/>
  <c r="N74" i="80" s="1"/>
  <c r="T70" i="80"/>
  <c r="Z70" i="80" s="1"/>
  <c r="P70" i="80"/>
  <c r="H70" i="80"/>
  <c r="N70" i="80" s="1"/>
  <c r="D70" i="80"/>
  <c r="L70" i="80" s="1"/>
  <c r="Z68" i="80"/>
  <c r="X68" i="80"/>
  <c r="V68" i="80"/>
  <c r="N68" i="80"/>
  <c r="L68" i="80"/>
  <c r="B68" i="80"/>
  <c r="T67" i="80"/>
  <c r="Z67" i="80" s="1"/>
  <c r="P67" i="80"/>
  <c r="X67" i="80" s="1"/>
  <c r="N67" i="80"/>
  <c r="L67" i="80"/>
  <c r="H67" i="80"/>
  <c r="D67" i="80"/>
  <c r="B67" i="80"/>
  <c r="X66" i="80"/>
  <c r="Z66" i="80" s="1"/>
  <c r="N66" i="80"/>
  <c r="L66" i="80"/>
  <c r="B66" i="80"/>
  <c r="T65" i="80"/>
  <c r="Z65" i="80" s="1"/>
  <c r="P65" i="80"/>
  <c r="X65" i="80" s="1"/>
  <c r="H65" i="80"/>
  <c r="N65" i="80" s="1"/>
  <c r="D65" i="80"/>
  <c r="B65" i="80"/>
  <c r="X64" i="80"/>
  <c r="Z64" i="80" s="1"/>
  <c r="N64" i="80"/>
  <c r="L64" i="80"/>
  <c r="B64" i="80"/>
  <c r="T63" i="80"/>
  <c r="P63" i="80"/>
  <c r="X63" i="80" s="1"/>
  <c r="H63" i="80"/>
  <c r="D63" i="80"/>
  <c r="B63" i="80"/>
  <c r="Z62" i="80"/>
  <c r="X62" i="80"/>
  <c r="N62" i="80"/>
  <c r="L62" i="80"/>
  <c r="B62" i="80"/>
  <c r="Z61" i="80"/>
  <c r="X61" i="80"/>
  <c r="L61" i="80"/>
  <c r="N61" i="80" s="1"/>
  <c r="B61" i="80"/>
  <c r="Z60" i="80"/>
  <c r="X60" i="80"/>
  <c r="V60" i="80"/>
  <c r="R60" i="80"/>
  <c r="N60" i="80"/>
  <c r="L60" i="80"/>
  <c r="B60" i="80"/>
  <c r="X59" i="80"/>
  <c r="Z59" i="80" s="1"/>
  <c r="L59" i="80"/>
  <c r="N59" i="80" s="1"/>
  <c r="B59" i="80"/>
  <c r="Z58" i="80"/>
  <c r="X58" i="80"/>
  <c r="N58" i="80"/>
  <c r="L58" i="80"/>
  <c r="B58" i="80"/>
  <c r="Z57" i="80"/>
  <c r="X57" i="80"/>
  <c r="T57" i="80"/>
  <c r="P57" i="80"/>
  <c r="H57" i="80"/>
  <c r="D57" i="80"/>
  <c r="L57" i="80" s="1"/>
  <c r="B57" i="80"/>
  <c r="Z56" i="80"/>
  <c r="X56" i="80"/>
  <c r="N56" i="80"/>
  <c r="L56" i="80"/>
  <c r="B56" i="80"/>
  <c r="X55" i="80"/>
  <c r="Z55" i="80" s="1"/>
  <c r="N55" i="80"/>
  <c r="L55" i="80"/>
  <c r="B55" i="80"/>
  <c r="X54" i="80"/>
  <c r="Z54" i="80" s="1"/>
  <c r="N54" i="80"/>
  <c r="L54" i="80"/>
  <c r="B54" i="80"/>
  <c r="T53" i="80"/>
  <c r="P53" i="80"/>
  <c r="X53" i="80" s="1"/>
  <c r="H53" i="80"/>
  <c r="D53" i="80"/>
  <c r="B53" i="80"/>
  <c r="X52" i="80"/>
  <c r="Z52" i="80" s="1"/>
  <c r="N52" i="80"/>
  <c r="L52" i="80"/>
  <c r="B52" i="80"/>
  <c r="X51" i="80"/>
  <c r="T51" i="80"/>
  <c r="Z51" i="80" s="1"/>
  <c r="P51" i="80"/>
  <c r="H51" i="80"/>
  <c r="N51" i="80" s="1"/>
  <c r="D51" i="80"/>
  <c r="B51" i="80"/>
  <c r="Z50" i="80"/>
  <c r="X50" i="80"/>
  <c r="L50" i="80"/>
  <c r="N50" i="80" s="1"/>
  <c r="B50" i="80"/>
  <c r="X49" i="80"/>
  <c r="Z49" i="80" s="1"/>
  <c r="N49" i="80"/>
  <c r="L49" i="80"/>
  <c r="B49" i="80"/>
  <c r="Z48" i="80"/>
  <c r="X48" i="80"/>
  <c r="R48" i="80"/>
  <c r="N48" i="80"/>
  <c r="L48" i="80"/>
  <c r="B48" i="80"/>
  <c r="T47" i="80"/>
  <c r="P47" i="80"/>
  <c r="X47" i="80" s="1"/>
  <c r="N47" i="80"/>
  <c r="L47" i="80"/>
  <c r="H47" i="80"/>
  <c r="D47" i="80"/>
  <c r="B47" i="80"/>
  <c r="X46" i="80"/>
  <c r="Z46" i="80" s="1"/>
  <c r="N46" i="80"/>
  <c r="L46" i="80"/>
  <c r="B46" i="80"/>
  <c r="T45" i="80"/>
  <c r="P45" i="80"/>
  <c r="X45" i="80" s="1"/>
  <c r="Z45" i="80" s="1"/>
  <c r="H45" i="80"/>
  <c r="D45" i="80"/>
  <c r="B45" i="80"/>
  <c r="Z44" i="80"/>
  <c r="X44" i="80"/>
  <c r="N44" i="80"/>
  <c r="L44" i="80"/>
  <c r="B44" i="80"/>
  <c r="X43" i="80"/>
  <c r="T43" i="80"/>
  <c r="Z43" i="80" s="1"/>
  <c r="P43" i="80"/>
  <c r="H43" i="80"/>
  <c r="D43" i="80"/>
  <c r="L43" i="80" s="1"/>
  <c r="B43" i="80"/>
  <c r="Z42" i="80"/>
  <c r="X42" i="80"/>
  <c r="L42" i="80"/>
  <c r="N42" i="80" s="1"/>
  <c r="B42" i="80"/>
  <c r="Z41" i="80"/>
  <c r="X41" i="80"/>
  <c r="T41" i="80"/>
  <c r="P41" i="80"/>
  <c r="H41" i="80"/>
  <c r="D41" i="80"/>
  <c r="L41" i="80" s="1"/>
  <c r="B41" i="80"/>
  <c r="Z40" i="80"/>
  <c r="X40" i="80"/>
  <c r="N40" i="80"/>
  <c r="L40" i="80"/>
  <c r="B40" i="80"/>
  <c r="X39" i="80"/>
  <c r="T39" i="80"/>
  <c r="P39" i="80"/>
  <c r="H39" i="80"/>
  <c r="D39" i="80"/>
  <c r="L39" i="80" s="1"/>
  <c r="N39" i="80" s="1"/>
  <c r="B39" i="80"/>
  <c r="Z38" i="80"/>
  <c r="X38" i="80"/>
  <c r="V38" i="80"/>
  <c r="N38" i="80"/>
  <c r="L38" i="80"/>
  <c r="B38" i="80"/>
  <c r="T37" i="80"/>
  <c r="P37" i="80"/>
  <c r="X37" i="80" s="1"/>
  <c r="H37" i="80"/>
  <c r="D37" i="80"/>
  <c r="L37" i="80" s="1"/>
  <c r="B37" i="80"/>
  <c r="Z36" i="80"/>
  <c r="X36" i="80"/>
  <c r="V36" i="80"/>
  <c r="R36" i="80"/>
  <c r="N36" i="80"/>
  <c r="L36" i="80"/>
  <c r="B36" i="80"/>
  <c r="X35" i="80"/>
  <c r="Z35" i="80" s="1"/>
  <c r="L35" i="80"/>
  <c r="N35" i="80" s="1"/>
  <c r="B35" i="80"/>
  <c r="Z34" i="80"/>
  <c r="X34" i="80"/>
  <c r="N34" i="80"/>
  <c r="L34" i="80"/>
  <c r="B34" i="80"/>
  <c r="Z33" i="80"/>
  <c r="X33" i="80"/>
  <c r="N33" i="80"/>
  <c r="L33" i="80"/>
  <c r="B33" i="80"/>
  <c r="Z32" i="80"/>
  <c r="X32" i="80"/>
  <c r="N32" i="80"/>
  <c r="L32" i="80"/>
  <c r="B32" i="80"/>
  <c r="T31" i="80"/>
  <c r="Z31" i="80" s="1"/>
  <c r="P31" i="80"/>
  <c r="X31" i="80" s="1"/>
  <c r="L31" i="80"/>
  <c r="N31" i="80" s="1"/>
  <c r="H31" i="80"/>
  <c r="D31" i="80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B28" i="80"/>
  <c r="X27" i="80"/>
  <c r="Z27" i="80" s="1"/>
  <c r="R27" i="80"/>
  <c r="L27" i="80"/>
  <c r="N27" i="80" s="1"/>
  <c r="B27" i="80"/>
  <c r="Z26" i="80"/>
  <c r="X26" i="80"/>
  <c r="N26" i="80"/>
  <c r="L26" i="80"/>
  <c r="B26" i="80"/>
  <c r="X25" i="80"/>
  <c r="Z25" i="80" s="1"/>
  <c r="N25" i="80"/>
  <c r="L25" i="80"/>
  <c r="B25" i="80"/>
  <c r="Z24" i="80"/>
  <c r="X24" i="80"/>
  <c r="L24" i="80"/>
  <c r="N24" i="80" s="1"/>
  <c r="B24" i="80"/>
  <c r="T23" i="80"/>
  <c r="P23" i="80"/>
  <c r="H23" i="80"/>
  <c r="N23" i="80" s="1"/>
  <c r="D23" i="80"/>
  <c r="L23" i="80" s="1"/>
  <c r="B23" i="80"/>
  <c r="Z22" i="80"/>
  <c r="X22" i="80"/>
  <c r="T22" i="80"/>
  <c r="P22" i="80"/>
  <c r="H22" i="80"/>
  <c r="D22" i="80"/>
  <c r="L22" i="80" s="1"/>
  <c r="Z18" i="80"/>
  <c r="X18" i="80"/>
  <c r="V18" i="80"/>
  <c r="L18" i="80"/>
  <c r="N18" i="80" s="1"/>
  <c r="B18" i="80"/>
  <c r="Z17" i="80"/>
  <c r="X17" i="80"/>
  <c r="L17" i="80"/>
  <c r="N17" i="80" s="1"/>
  <c r="B17" i="80"/>
  <c r="T16" i="80"/>
  <c r="Z16" i="80" s="1"/>
  <c r="P16" i="80"/>
  <c r="X16" i="80" s="1"/>
  <c r="L16" i="80"/>
  <c r="N16" i="80" s="1"/>
  <c r="H16" i="80"/>
  <c r="D16" i="80"/>
  <c r="T14" i="80"/>
  <c r="P14" i="80"/>
  <c r="P12" i="80" s="1"/>
  <c r="R68" i="80" s="1"/>
  <c r="H14" i="80"/>
  <c r="D14" i="80"/>
  <c r="B14" i="80"/>
  <c r="T13" i="80"/>
  <c r="Z13" i="80" s="1"/>
  <c r="P13" i="80"/>
  <c r="X13" i="80" s="1"/>
  <c r="H13" i="80"/>
  <c r="D13" i="80"/>
  <c r="B13" i="80"/>
  <c r="T12" i="80"/>
  <c r="D6" i="80"/>
  <c r="D4" i="80"/>
  <c r="X67" i="79"/>
  <c r="Z67" i="79" s="1"/>
  <c r="N67" i="79"/>
  <c r="L67" i="79"/>
  <c r="T63" i="79"/>
  <c r="Z63" i="79" s="1"/>
  <c r="P63" i="79"/>
  <c r="X63" i="79" s="1"/>
  <c r="N63" i="79"/>
  <c r="L63" i="79"/>
  <c r="H63" i="79"/>
  <c r="D63" i="79"/>
  <c r="B63" i="79"/>
  <c r="T62" i="79"/>
  <c r="P62" i="79"/>
  <c r="X62" i="79" s="1"/>
  <c r="N62" i="79"/>
  <c r="L62" i="79"/>
  <c r="H62" i="79"/>
  <c r="D62" i="79"/>
  <c r="B62" i="79"/>
  <c r="T61" i="79"/>
  <c r="Z61" i="79" s="1"/>
  <c r="P61" i="79"/>
  <c r="X61" i="79" s="1"/>
  <c r="N61" i="79"/>
  <c r="L61" i="79"/>
  <c r="H61" i="79"/>
  <c r="D61" i="79"/>
  <c r="B61" i="79"/>
  <c r="T60" i="79"/>
  <c r="P60" i="79"/>
  <c r="L60" i="79"/>
  <c r="N60" i="79" s="1"/>
  <c r="H60" i="79"/>
  <c r="D60" i="79"/>
  <c r="B60" i="79"/>
  <c r="T59" i="79"/>
  <c r="P59" i="79"/>
  <c r="N59" i="79"/>
  <c r="H59" i="79"/>
  <c r="D59" i="79"/>
  <c r="L59" i="79" s="1"/>
  <c r="B59" i="79"/>
  <c r="H58" i="79"/>
  <c r="X56" i="79"/>
  <c r="Z56" i="79" s="1"/>
  <c r="L56" i="79"/>
  <c r="N56" i="79" s="1"/>
  <c r="B56" i="79"/>
  <c r="T55" i="79"/>
  <c r="Z55" i="79" s="1"/>
  <c r="P55" i="79"/>
  <c r="X55" i="79" s="1"/>
  <c r="H55" i="79"/>
  <c r="D55" i="79"/>
  <c r="L55" i="79" s="1"/>
  <c r="N55" i="79" s="1"/>
  <c r="B55" i="79"/>
  <c r="Z54" i="79"/>
  <c r="X54" i="79"/>
  <c r="N54" i="79"/>
  <c r="L54" i="79"/>
  <c r="B54" i="79"/>
  <c r="Z53" i="79"/>
  <c r="X53" i="79"/>
  <c r="N53" i="79"/>
  <c r="L53" i="79"/>
  <c r="B53" i="79"/>
  <c r="T52" i="79"/>
  <c r="Z52" i="79" s="1"/>
  <c r="P52" i="79"/>
  <c r="X52" i="79" s="1"/>
  <c r="H52" i="79"/>
  <c r="D52" i="79"/>
  <c r="B52" i="79"/>
  <c r="Z51" i="79"/>
  <c r="X51" i="79"/>
  <c r="L51" i="79"/>
  <c r="N51" i="79" s="1"/>
  <c r="B51" i="79"/>
  <c r="Z50" i="79"/>
  <c r="X50" i="79"/>
  <c r="T50" i="79"/>
  <c r="P50" i="79"/>
  <c r="H50" i="79"/>
  <c r="D50" i="79"/>
  <c r="L50" i="79" s="1"/>
  <c r="B50" i="79"/>
  <c r="Z49" i="79"/>
  <c r="X49" i="79"/>
  <c r="N49" i="79"/>
  <c r="L49" i="79"/>
  <c r="B49" i="79"/>
  <c r="T48" i="79"/>
  <c r="P48" i="79"/>
  <c r="H48" i="79"/>
  <c r="N48" i="79" s="1"/>
  <c r="D48" i="79"/>
  <c r="L48" i="79" s="1"/>
  <c r="B48" i="79"/>
  <c r="Z47" i="79"/>
  <c r="X47" i="79"/>
  <c r="N47" i="79"/>
  <c r="L47" i="79"/>
  <c r="B47" i="79"/>
  <c r="Z46" i="79"/>
  <c r="X46" i="79"/>
  <c r="N46" i="79"/>
  <c r="L46" i="79"/>
  <c r="B46" i="79"/>
  <c r="T45" i="79"/>
  <c r="Z45" i="79" s="1"/>
  <c r="P45" i="79"/>
  <c r="X45" i="79" s="1"/>
  <c r="L45" i="79"/>
  <c r="N45" i="79" s="1"/>
  <c r="H45" i="79"/>
  <c r="D45" i="79"/>
  <c r="B45" i="79"/>
  <c r="X44" i="79"/>
  <c r="Z44" i="79" s="1"/>
  <c r="L44" i="79"/>
  <c r="N44" i="79" s="1"/>
  <c r="J44" i="79"/>
  <c r="B44" i="79"/>
  <c r="T43" i="79"/>
  <c r="Z43" i="79" s="1"/>
  <c r="P43" i="79"/>
  <c r="X43" i="79" s="1"/>
  <c r="J43" i="79"/>
  <c r="H43" i="79"/>
  <c r="D43" i="79"/>
  <c r="B43" i="79"/>
  <c r="X42" i="79"/>
  <c r="Z42" i="79" s="1"/>
  <c r="N42" i="79"/>
  <c r="L42" i="79"/>
  <c r="B42" i="79"/>
  <c r="Z41" i="79"/>
  <c r="X41" i="79"/>
  <c r="T41" i="79"/>
  <c r="P41" i="79"/>
  <c r="H41" i="79"/>
  <c r="D41" i="79"/>
  <c r="L41" i="79" s="1"/>
  <c r="B41" i="79"/>
  <c r="Z40" i="79"/>
  <c r="X40" i="79"/>
  <c r="N40" i="79"/>
  <c r="L40" i="79"/>
  <c r="B40" i="79"/>
  <c r="Z39" i="79"/>
  <c r="X39" i="79"/>
  <c r="N39" i="79"/>
  <c r="L39" i="79"/>
  <c r="B39" i="79"/>
  <c r="Z38" i="79"/>
  <c r="X38" i="79"/>
  <c r="L38" i="79"/>
  <c r="N38" i="79" s="1"/>
  <c r="B38" i="79"/>
  <c r="T37" i="79"/>
  <c r="P37" i="79"/>
  <c r="X37" i="79" s="1"/>
  <c r="L37" i="79"/>
  <c r="N37" i="79" s="1"/>
  <c r="H37" i="79"/>
  <c r="D37" i="79"/>
  <c r="B37" i="79"/>
  <c r="X36" i="79"/>
  <c r="Z36" i="79" s="1"/>
  <c r="L36" i="79"/>
  <c r="N36" i="79" s="1"/>
  <c r="J36" i="79"/>
  <c r="B36" i="79"/>
  <c r="X35" i="79"/>
  <c r="Z35" i="79" s="1"/>
  <c r="L35" i="79"/>
  <c r="N35" i="79" s="1"/>
  <c r="B35" i="79"/>
  <c r="X34" i="79"/>
  <c r="Z34" i="79" s="1"/>
  <c r="N34" i="79"/>
  <c r="L34" i="79"/>
  <c r="B34" i="79"/>
  <c r="X33" i="79"/>
  <c r="Z33" i="79" s="1"/>
  <c r="N33" i="79"/>
  <c r="L33" i="79"/>
  <c r="B33" i="79"/>
  <c r="X32" i="79"/>
  <c r="Z32" i="79" s="1"/>
  <c r="L32" i="79"/>
  <c r="N32" i="79" s="1"/>
  <c r="J32" i="79"/>
  <c r="B32" i="79"/>
  <c r="X31" i="79"/>
  <c r="Z31" i="79" s="1"/>
  <c r="L31" i="79"/>
  <c r="N31" i="79" s="1"/>
  <c r="B31" i="79"/>
  <c r="Z30" i="79"/>
  <c r="X30" i="79"/>
  <c r="L30" i="79"/>
  <c r="N30" i="79" s="1"/>
  <c r="B30" i="79"/>
  <c r="Z29" i="79"/>
  <c r="X29" i="79"/>
  <c r="N29" i="79"/>
  <c r="L29" i="79"/>
  <c r="B29" i="79"/>
  <c r="T28" i="79"/>
  <c r="Z28" i="79" s="1"/>
  <c r="P28" i="79"/>
  <c r="X28" i="79" s="1"/>
  <c r="L28" i="79"/>
  <c r="N28" i="79" s="1"/>
  <c r="H28" i="79"/>
  <c r="D28" i="79"/>
  <c r="B28" i="79"/>
  <c r="T27" i="79"/>
  <c r="P27" i="79"/>
  <c r="X27" i="79" s="1"/>
  <c r="N27" i="79"/>
  <c r="H27" i="79"/>
  <c r="D27" i="79"/>
  <c r="L27" i="79" s="1"/>
  <c r="X23" i="79"/>
  <c r="Z23" i="79" s="1"/>
  <c r="N23" i="79"/>
  <c r="L23" i="79"/>
  <c r="J23" i="79"/>
  <c r="B23" i="79"/>
  <c r="Z22" i="79"/>
  <c r="X22" i="79"/>
  <c r="N22" i="79"/>
  <c r="L22" i="79"/>
  <c r="B22" i="79"/>
  <c r="Z21" i="79"/>
  <c r="X21" i="79"/>
  <c r="L21" i="79"/>
  <c r="N21" i="79" s="1"/>
  <c r="B21" i="79"/>
  <c r="X20" i="79"/>
  <c r="Z20" i="79" s="1"/>
  <c r="N20" i="79"/>
  <c r="L20" i="79"/>
  <c r="B20" i="79"/>
  <c r="X19" i="79"/>
  <c r="Z19" i="79" s="1"/>
  <c r="L19" i="79"/>
  <c r="N19" i="79" s="1"/>
  <c r="J19" i="79"/>
  <c r="B19" i="79"/>
  <c r="Z18" i="79"/>
  <c r="X18" i="79"/>
  <c r="T18" i="79"/>
  <c r="P18" i="79"/>
  <c r="H18" i="79"/>
  <c r="D18" i="79"/>
  <c r="T16" i="79"/>
  <c r="P16" i="79"/>
  <c r="H16" i="79"/>
  <c r="N16" i="79" s="1"/>
  <c r="D16" i="79"/>
  <c r="L16" i="79" s="1"/>
  <c r="B16" i="79"/>
  <c r="T15" i="79"/>
  <c r="P15" i="79"/>
  <c r="X15" i="79" s="1"/>
  <c r="Z15" i="79" s="1"/>
  <c r="N15" i="79"/>
  <c r="L15" i="79"/>
  <c r="H15" i="79"/>
  <c r="D15" i="79"/>
  <c r="B15" i="79"/>
  <c r="X14" i="79"/>
  <c r="T14" i="79"/>
  <c r="P14" i="79"/>
  <c r="H14" i="79"/>
  <c r="D14" i="79"/>
  <c r="L14" i="79" s="1"/>
  <c r="B14" i="79"/>
  <c r="T13" i="79"/>
  <c r="P13" i="79"/>
  <c r="P12" i="79" s="1"/>
  <c r="R20" i="79" s="1"/>
  <c r="L13" i="79"/>
  <c r="N13" i="79" s="1"/>
  <c r="H13" i="79"/>
  <c r="H12" i="79" s="1"/>
  <c r="J63" i="79" s="1"/>
  <c r="D13" i="79"/>
  <c r="B13" i="79"/>
  <c r="D6" i="79"/>
  <c r="D4" i="79"/>
  <c r="X110" i="77"/>
  <c r="Z110" i="77" s="1"/>
  <c r="N110" i="77"/>
  <c r="L110" i="77"/>
  <c r="X106" i="77"/>
  <c r="T106" i="77"/>
  <c r="Z106" i="77" s="1"/>
  <c r="P106" i="77"/>
  <c r="L106" i="77"/>
  <c r="H106" i="77"/>
  <c r="D106" i="77"/>
  <c r="B106" i="77"/>
  <c r="Z105" i="77"/>
  <c r="X105" i="77"/>
  <c r="T105" i="77"/>
  <c r="P105" i="77"/>
  <c r="N105" i="77"/>
  <c r="L105" i="77"/>
  <c r="H105" i="77"/>
  <c r="D105" i="77"/>
  <c r="B105" i="77"/>
  <c r="Z104" i="77"/>
  <c r="T104" i="77"/>
  <c r="P104" i="77"/>
  <c r="X104" i="77" s="1"/>
  <c r="N104" i="77"/>
  <c r="L104" i="77"/>
  <c r="H104" i="77"/>
  <c r="D104" i="77"/>
  <c r="B104" i="77"/>
  <c r="T103" i="77"/>
  <c r="P103" i="77"/>
  <c r="X103" i="77" s="1"/>
  <c r="Z103" i="77" s="1"/>
  <c r="H103" i="77"/>
  <c r="D103" i="77"/>
  <c r="L103" i="77" s="1"/>
  <c r="N103" i="77" s="1"/>
  <c r="B103" i="77"/>
  <c r="T102" i="77"/>
  <c r="D102" i="77"/>
  <c r="X100" i="77"/>
  <c r="Z100" i="77" s="1"/>
  <c r="N100" i="77"/>
  <c r="L100" i="77"/>
  <c r="B100" i="77"/>
  <c r="T99" i="77"/>
  <c r="P99" i="77"/>
  <c r="X99" i="77" s="1"/>
  <c r="Z99" i="77" s="1"/>
  <c r="N99" i="77"/>
  <c r="L99" i="77"/>
  <c r="H99" i="77"/>
  <c r="D99" i="77"/>
  <c r="B99" i="77"/>
  <c r="Z98" i="77"/>
  <c r="X98" i="77"/>
  <c r="N98" i="77"/>
  <c r="L98" i="77"/>
  <c r="B98" i="77"/>
  <c r="X97" i="77"/>
  <c r="T97" i="77"/>
  <c r="Z97" i="77" s="1"/>
  <c r="P97" i="77"/>
  <c r="L97" i="77"/>
  <c r="H97" i="77"/>
  <c r="N97" i="77" s="1"/>
  <c r="D97" i="77"/>
  <c r="B97" i="77"/>
  <c r="X96" i="77"/>
  <c r="Z96" i="77" s="1"/>
  <c r="L96" i="77"/>
  <c r="N96" i="77" s="1"/>
  <c r="B96" i="77"/>
  <c r="T95" i="77"/>
  <c r="P95" i="77"/>
  <c r="X95" i="77" s="1"/>
  <c r="Z95" i="77" s="1"/>
  <c r="H95" i="77"/>
  <c r="D95" i="77"/>
  <c r="L95" i="77" s="1"/>
  <c r="B95" i="77"/>
  <c r="Z94" i="77"/>
  <c r="X94" i="77"/>
  <c r="N94" i="77"/>
  <c r="L94" i="77"/>
  <c r="B94" i="77"/>
  <c r="X93" i="77"/>
  <c r="Z93" i="77" s="1"/>
  <c r="N93" i="77"/>
  <c r="L93" i="77"/>
  <c r="B93" i="77"/>
  <c r="T92" i="77"/>
  <c r="P92" i="77"/>
  <c r="H92" i="77"/>
  <c r="N92" i="77" s="1"/>
  <c r="D92" i="77"/>
  <c r="L92" i="77" s="1"/>
  <c r="B92" i="77"/>
  <c r="X91" i="77"/>
  <c r="Z91" i="77" s="1"/>
  <c r="N91" i="77"/>
  <c r="L91" i="77"/>
  <c r="B91" i="77"/>
  <c r="T90" i="77"/>
  <c r="Z90" i="77" s="1"/>
  <c r="P90" i="77"/>
  <c r="X90" i="77" s="1"/>
  <c r="N90" i="77"/>
  <c r="L90" i="77"/>
  <c r="H90" i="77"/>
  <c r="D90" i="77"/>
  <c r="B90" i="77"/>
  <c r="Z89" i="77"/>
  <c r="X89" i="77"/>
  <c r="N89" i="77"/>
  <c r="L89" i="77"/>
  <c r="B89" i="77"/>
  <c r="X88" i="77"/>
  <c r="T88" i="77"/>
  <c r="Z88" i="77" s="1"/>
  <c r="P88" i="77"/>
  <c r="N88" i="77"/>
  <c r="L88" i="77"/>
  <c r="H88" i="77"/>
  <c r="D88" i="77"/>
  <c r="B88" i="77"/>
  <c r="Z87" i="77"/>
  <c r="X87" i="77"/>
  <c r="L87" i="77"/>
  <c r="N87" i="77" s="1"/>
  <c r="B87" i="77"/>
  <c r="T86" i="77"/>
  <c r="P86" i="77"/>
  <c r="H86" i="77"/>
  <c r="D86" i="77"/>
  <c r="B86" i="77"/>
  <c r="X85" i="77"/>
  <c r="Z85" i="77" s="1"/>
  <c r="N85" i="77"/>
  <c r="L85" i="77"/>
  <c r="B85" i="77"/>
  <c r="Z84" i="77"/>
  <c r="X84" i="77"/>
  <c r="T84" i="77"/>
  <c r="P84" i="77"/>
  <c r="H84" i="77"/>
  <c r="N84" i="77" s="1"/>
  <c r="D84" i="77"/>
  <c r="L84" i="77" s="1"/>
  <c r="B84" i="77"/>
  <c r="Z83" i="77"/>
  <c r="X83" i="77"/>
  <c r="N83" i="77"/>
  <c r="L83" i="77"/>
  <c r="B83" i="77"/>
  <c r="T82" i="77"/>
  <c r="P82" i="77"/>
  <c r="H82" i="77"/>
  <c r="D82" i="77"/>
  <c r="L82" i="77" s="1"/>
  <c r="N82" i="77" s="1"/>
  <c r="B82" i="77"/>
  <c r="Z81" i="77"/>
  <c r="X81" i="77"/>
  <c r="N81" i="77"/>
  <c r="L81" i="77"/>
  <c r="B81" i="77"/>
  <c r="T80" i="77"/>
  <c r="P80" i="77"/>
  <c r="X80" i="77" s="1"/>
  <c r="N80" i="77"/>
  <c r="H80" i="77"/>
  <c r="D80" i="77"/>
  <c r="L80" i="77" s="1"/>
  <c r="B80" i="77"/>
  <c r="X79" i="77"/>
  <c r="Z79" i="77" s="1"/>
  <c r="N79" i="77"/>
  <c r="L79" i="77"/>
  <c r="B79" i="77"/>
  <c r="T78" i="77"/>
  <c r="P78" i="77"/>
  <c r="X78" i="77" s="1"/>
  <c r="L78" i="77"/>
  <c r="N78" i="77" s="1"/>
  <c r="H78" i="77"/>
  <c r="D78" i="77"/>
  <c r="B78" i="77"/>
  <c r="Z77" i="77"/>
  <c r="X77" i="77"/>
  <c r="N77" i="77"/>
  <c r="L77" i="77"/>
  <c r="B77" i="77"/>
  <c r="T76" i="77"/>
  <c r="P76" i="77"/>
  <c r="X76" i="77" s="1"/>
  <c r="H76" i="77"/>
  <c r="D76" i="77"/>
  <c r="B76" i="77"/>
  <c r="Z75" i="77"/>
  <c r="X75" i="77"/>
  <c r="L75" i="77"/>
  <c r="N75" i="77" s="1"/>
  <c r="B75" i="77"/>
  <c r="T74" i="77"/>
  <c r="P74" i="77"/>
  <c r="H74" i="77"/>
  <c r="D74" i="77"/>
  <c r="B74" i="77"/>
  <c r="X73" i="77"/>
  <c r="Z73" i="77" s="1"/>
  <c r="N73" i="77"/>
  <c r="L73" i="77"/>
  <c r="B73" i="77"/>
  <c r="Z72" i="77"/>
  <c r="X72" i="77"/>
  <c r="T72" i="77"/>
  <c r="P72" i="77"/>
  <c r="H72" i="77"/>
  <c r="D72" i="77"/>
  <c r="L72" i="77" s="1"/>
  <c r="B72" i="77"/>
  <c r="Z71" i="77"/>
  <c r="X71" i="77"/>
  <c r="N71" i="77"/>
  <c r="L71" i="77"/>
  <c r="B71" i="77"/>
  <c r="Z70" i="77"/>
  <c r="X70" i="77"/>
  <c r="N70" i="77"/>
  <c r="L70" i="77"/>
  <c r="B70" i="77"/>
  <c r="Z69" i="77"/>
  <c r="X69" i="77"/>
  <c r="N69" i="77"/>
  <c r="L69" i="77"/>
  <c r="B69" i="77"/>
  <c r="Z68" i="77"/>
  <c r="X68" i="77"/>
  <c r="L68" i="77"/>
  <c r="N68" i="77" s="1"/>
  <c r="B68" i="77"/>
  <c r="Z67" i="77"/>
  <c r="T67" i="77"/>
  <c r="P67" i="77"/>
  <c r="X67" i="77" s="1"/>
  <c r="H67" i="77"/>
  <c r="D67" i="77"/>
  <c r="L67" i="77" s="1"/>
  <c r="B67" i="77"/>
  <c r="X66" i="77"/>
  <c r="Z66" i="77" s="1"/>
  <c r="N66" i="77"/>
  <c r="L66" i="77"/>
  <c r="B66" i="77"/>
  <c r="X65" i="77"/>
  <c r="Z65" i="77" s="1"/>
  <c r="L65" i="77"/>
  <c r="N65" i="77" s="1"/>
  <c r="B65" i="77"/>
  <c r="X64" i="77"/>
  <c r="Z64" i="77" s="1"/>
  <c r="N64" i="77"/>
  <c r="L64" i="77"/>
  <c r="B64" i="77"/>
  <c r="X63" i="77"/>
  <c r="Z63" i="77" s="1"/>
  <c r="L63" i="77"/>
  <c r="N63" i="77" s="1"/>
  <c r="B63" i="77"/>
  <c r="X62" i="77"/>
  <c r="Z62" i="77" s="1"/>
  <c r="L62" i="77"/>
  <c r="N62" i="77" s="1"/>
  <c r="B62" i="77"/>
  <c r="X61" i="77"/>
  <c r="Z61" i="77" s="1"/>
  <c r="L61" i="77"/>
  <c r="N61" i="77" s="1"/>
  <c r="B61" i="77"/>
  <c r="X60" i="77"/>
  <c r="Z60" i="77" s="1"/>
  <c r="V60" i="77"/>
  <c r="N60" i="77"/>
  <c r="L60" i="77"/>
  <c r="B60" i="77"/>
  <c r="Z59" i="77"/>
  <c r="X59" i="77"/>
  <c r="L59" i="77"/>
  <c r="N59" i="77" s="1"/>
  <c r="B59" i="77"/>
  <c r="Z58" i="77"/>
  <c r="X58" i="77"/>
  <c r="L58" i="77"/>
  <c r="N58" i="77" s="1"/>
  <c r="B58" i="77"/>
  <c r="Z57" i="77"/>
  <c r="X57" i="77"/>
  <c r="T57" i="77"/>
  <c r="P57" i="77"/>
  <c r="H57" i="77"/>
  <c r="D57" i="77"/>
  <c r="L57" i="77" s="1"/>
  <c r="B57" i="77"/>
  <c r="Z56" i="77"/>
  <c r="X56" i="77"/>
  <c r="T56" i="77"/>
  <c r="P56" i="77"/>
  <c r="H56" i="77"/>
  <c r="D56" i="77"/>
  <c r="L56" i="77" s="1"/>
  <c r="X52" i="77"/>
  <c r="Z52" i="77" s="1"/>
  <c r="L52" i="77"/>
  <c r="N52" i="77" s="1"/>
  <c r="B52" i="77"/>
  <c r="X51" i="77"/>
  <c r="Z51" i="77" s="1"/>
  <c r="N51" i="77"/>
  <c r="L51" i="77"/>
  <c r="B51" i="77"/>
  <c r="X50" i="77"/>
  <c r="Z50" i="77" s="1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X47" i="77"/>
  <c r="Z47" i="77" s="1"/>
  <c r="V47" i="77"/>
  <c r="N47" i="77"/>
  <c r="L47" i="77"/>
  <c r="B47" i="77"/>
  <c r="X46" i="77"/>
  <c r="Z46" i="77" s="1"/>
  <c r="L46" i="77"/>
  <c r="N46" i="77" s="1"/>
  <c r="B46" i="77"/>
  <c r="Z45" i="77"/>
  <c r="X45" i="77"/>
  <c r="N45" i="77"/>
  <c r="L45" i="77"/>
  <c r="B45" i="77"/>
  <c r="X44" i="77"/>
  <c r="Z44" i="77" s="1"/>
  <c r="L44" i="77"/>
  <c r="N44" i="77" s="1"/>
  <c r="B44" i="77"/>
  <c r="X43" i="77"/>
  <c r="Z43" i="77" s="1"/>
  <c r="N43" i="77"/>
  <c r="L43" i="77"/>
  <c r="B43" i="77"/>
  <c r="Z42" i="77"/>
  <c r="X42" i="77"/>
  <c r="N42" i="77"/>
  <c r="L42" i="77"/>
  <c r="B42" i="77"/>
  <c r="X41" i="77"/>
  <c r="Z41" i="77" s="1"/>
  <c r="L41" i="77"/>
  <c r="N41" i="77" s="1"/>
  <c r="B41" i="77"/>
  <c r="X40" i="77"/>
  <c r="Z40" i="77" s="1"/>
  <c r="N40" i="77"/>
  <c r="L40" i="77"/>
  <c r="B40" i="77"/>
  <c r="X39" i="77"/>
  <c r="Z39" i="77" s="1"/>
  <c r="N39" i="77"/>
  <c r="L39" i="77"/>
  <c r="B39" i="77"/>
  <c r="T38" i="77"/>
  <c r="Z38" i="77" s="1"/>
  <c r="P38" i="77"/>
  <c r="X38" i="77" s="1"/>
  <c r="H38" i="77"/>
  <c r="D38" i="77"/>
  <c r="L38" i="77" s="1"/>
  <c r="N38" i="77" s="1"/>
  <c r="T36" i="77"/>
  <c r="P36" i="77"/>
  <c r="X36" i="77" s="1"/>
  <c r="L36" i="77"/>
  <c r="H36" i="77"/>
  <c r="N36" i="77" s="1"/>
  <c r="D36" i="77"/>
  <c r="B36" i="77"/>
  <c r="T35" i="77"/>
  <c r="P35" i="77"/>
  <c r="H35" i="77"/>
  <c r="D35" i="77"/>
  <c r="L35" i="77" s="1"/>
  <c r="B35" i="77"/>
  <c r="T34" i="77"/>
  <c r="P34" i="77"/>
  <c r="X34" i="77" s="1"/>
  <c r="Z34" i="77" s="1"/>
  <c r="H34" i="77"/>
  <c r="D34" i="77"/>
  <c r="L34" i="77" s="1"/>
  <c r="B34" i="77"/>
  <c r="T33" i="77"/>
  <c r="Z33" i="77" s="1"/>
  <c r="P33" i="77"/>
  <c r="X33" i="77" s="1"/>
  <c r="N33" i="77"/>
  <c r="H33" i="77"/>
  <c r="L33" i="77" s="1"/>
  <c r="D33" i="77"/>
  <c r="B33" i="77"/>
  <c r="T32" i="77"/>
  <c r="X32" i="77" s="1"/>
  <c r="Z32" i="77" s="1"/>
  <c r="P32" i="77"/>
  <c r="H32" i="77"/>
  <c r="D32" i="77"/>
  <c r="B32" i="77"/>
  <c r="Z31" i="77"/>
  <c r="T31" i="77"/>
  <c r="P31" i="77"/>
  <c r="X31" i="77" s="1"/>
  <c r="N31" i="77"/>
  <c r="L31" i="77"/>
  <c r="H31" i="77"/>
  <c r="D31" i="77"/>
  <c r="B31" i="77"/>
  <c r="Z30" i="77"/>
  <c r="T30" i="77"/>
  <c r="P30" i="77"/>
  <c r="X30" i="77" s="1"/>
  <c r="H30" i="77"/>
  <c r="N30" i="77" s="1"/>
  <c r="D30" i="77"/>
  <c r="L30" i="77" s="1"/>
  <c r="B30" i="77"/>
  <c r="T29" i="77"/>
  <c r="Z29" i="77" s="1"/>
  <c r="P29" i="77"/>
  <c r="X29" i="77" s="1"/>
  <c r="H29" i="77"/>
  <c r="L29" i="77" s="1"/>
  <c r="D29" i="77"/>
  <c r="B29" i="77"/>
  <c r="T28" i="77"/>
  <c r="X28" i="77" s="1"/>
  <c r="Z28" i="77" s="1"/>
  <c r="P28" i="77"/>
  <c r="H28" i="77"/>
  <c r="D28" i="77"/>
  <c r="B28" i="77"/>
  <c r="Z27" i="77"/>
  <c r="T27" i="77"/>
  <c r="P27" i="77"/>
  <c r="X27" i="77" s="1"/>
  <c r="L27" i="77"/>
  <c r="N27" i="77" s="1"/>
  <c r="H27" i="77"/>
  <c r="D27" i="77"/>
  <c r="B27" i="77"/>
  <c r="T26" i="77"/>
  <c r="P26" i="77"/>
  <c r="X26" i="77" s="1"/>
  <c r="Z26" i="77" s="1"/>
  <c r="H26" i="77"/>
  <c r="N26" i="77" s="1"/>
  <c r="D26" i="77"/>
  <c r="L26" i="77" s="1"/>
  <c r="B26" i="77"/>
  <c r="T25" i="77"/>
  <c r="P25" i="77"/>
  <c r="X25" i="77" s="1"/>
  <c r="N25" i="77"/>
  <c r="H25" i="77"/>
  <c r="L25" i="77" s="1"/>
  <c r="D25" i="77"/>
  <c r="B25" i="77"/>
  <c r="T24" i="77"/>
  <c r="X24" i="77" s="1"/>
  <c r="Z24" i="77" s="1"/>
  <c r="P24" i="77"/>
  <c r="H24" i="77"/>
  <c r="D24" i="77"/>
  <c r="L24" i="77" s="1"/>
  <c r="B24" i="77"/>
  <c r="Z23" i="77"/>
  <c r="T23" i="77"/>
  <c r="P23" i="77"/>
  <c r="X23" i="77" s="1"/>
  <c r="N23" i="77"/>
  <c r="L23" i="77"/>
  <c r="H23" i="77"/>
  <c r="D23" i="77"/>
  <c r="B23" i="77"/>
  <c r="Z22" i="77"/>
  <c r="X22" i="77"/>
  <c r="T22" i="77"/>
  <c r="P22" i="77"/>
  <c r="H22" i="77"/>
  <c r="N22" i="77" s="1"/>
  <c r="D22" i="77"/>
  <c r="L22" i="77" s="1"/>
  <c r="B22" i="77"/>
  <c r="T21" i="77"/>
  <c r="Z21" i="77" s="1"/>
  <c r="P21" i="77"/>
  <c r="X21" i="77" s="1"/>
  <c r="H21" i="77"/>
  <c r="L21" i="77" s="1"/>
  <c r="D21" i="77"/>
  <c r="B21" i="77"/>
  <c r="T20" i="77"/>
  <c r="X20" i="77" s="1"/>
  <c r="Z20" i="77" s="1"/>
  <c r="P20" i="77"/>
  <c r="H20" i="77"/>
  <c r="D20" i="77"/>
  <c r="B20" i="77"/>
  <c r="Z19" i="77"/>
  <c r="T19" i="77"/>
  <c r="P19" i="77"/>
  <c r="X19" i="77" s="1"/>
  <c r="L19" i="77"/>
  <c r="N19" i="77" s="1"/>
  <c r="H19" i="77"/>
  <c r="D19" i="77"/>
  <c r="B19" i="77"/>
  <c r="T18" i="77"/>
  <c r="P18" i="77"/>
  <c r="X18" i="77" s="1"/>
  <c r="Z18" i="77" s="1"/>
  <c r="H18" i="77"/>
  <c r="D18" i="77"/>
  <c r="B18" i="77"/>
  <c r="T17" i="77"/>
  <c r="Z17" i="77" s="1"/>
  <c r="P17" i="77"/>
  <c r="X17" i="77" s="1"/>
  <c r="N17" i="77"/>
  <c r="H17" i="77"/>
  <c r="L17" i="77" s="1"/>
  <c r="D17" i="77"/>
  <c r="B17" i="77"/>
  <c r="T16" i="77"/>
  <c r="X16" i="77" s="1"/>
  <c r="Z16" i="77" s="1"/>
  <c r="P16" i="77"/>
  <c r="H16" i="77"/>
  <c r="D16" i="77"/>
  <c r="B16" i="77"/>
  <c r="Z15" i="77"/>
  <c r="T15" i="77"/>
  <c r="P15" i="77"/>
  <c r="X15" i="77" s="1"/>
  <c r="L15" i="77"/>
  <c r="N15" i="77" s="1"/>
  <c r="H15" i="77"/>
  <c r="D15" i="77"/>
  <c r="B15" i="77"/>
  <c r="Z14" i="77"/>
  <c r="X14" i="77"/>
  <c r="T14" i="77"/>
  <c r="P14" i="77"/>
  <c r="H14" i="77"/>
  <c r="D14" i="77"/>
  <c r="B14" i="77"/>
  <c r="T13" i="77"/>
  <c r="P13" i="77"/>
  <c r="H13" i="77"/>
  <c r="D13" i="77"/>
  <c r="B13" i="77"/>
  <c r="T12" i="77"/>
  <c r="V82" i="77" s="1"/>
  <c r="D6" i="77"/>
  <c r="D4" i="77"/>
  <c r="X79" i="76"/>
  <c r="Z79" i="76" s="1"/>
  <c r="N79" i="76"/>
  <c r="L79" i="76"/>
  <c r="T75" i="76"/>
  <c r="T74" i="76" s="1"/>
  <c r="P75" i="76"/>
  <c r="H75" i="76"/>
  <c r="D75" i="76"/>
  <c r="L75" i="76" s="1"/>
  <c r="N75" i="76" s="1"/>
  <c r="B75" i="76"/>
  <c r="P74" i="76"/>
  <c r="H74" i="76"/>
  <c r="D74" i="76"/>
  <c r="L74" i="76" s="1"/>
  <c r="Z72" i="76"/>
  <c r="X72" i="76"/>
  <c r="N72" i="76"/>
  <c r="L72" i="76"/>
  <c r="B72" i="76"/>
  <c r="T71" i="76"/>
  <c r="Z71" i="76" s="1"/>
  <c r="P71" i="76"/>
  <c r="X71" i="76" s="1"/>
  <c r="H71" i="76"/>
  <c r="N71" i="76" s="1"/>
  <c r="D71" i="76"/>
  <c r="L71" i="76" s="1"/>
  <c r="B71" i="76"/>
  <c r="X70" i="76"/>
  <c r="Z70" i="76" s="1"/>
  <c r="N70" i="76"/>
  <c r="L70" i="76"/>
  <c r="B70" i="76"/>
  <c r="T69" i="76"/>
  <c r="R69" i="76"/>
  <c r="P69" i="76"/>
  <c r="X69" i="76" s="1"/>
  <c r="Z69" i="76" s="1"/>
  <c r="L69" i="76"/>
  <c r="H69" i="76"/>
  <c r="D69" i="76"/>
  <c r="B69" i="76"/>
  <c r="X68" i="76"/>
  <c r="Z68" i="76" s="1"/>
  <c r="R68" i="76"/>
  <c r="N68" i="76"/>
  <c r="L68" i="76"/>
  <c r="J68" i="76"/>
  <c r="B68" i="76"/>
  <c r="Z67" i="76"/>
  <c r="X67" i="76"/>
  <c r="L67" i="76"/>
  <c r="N67" i="76" s="1"/>
  <c r="J67" i="76"/>
  <c r="B67" i="76"/>
  <c r="Z66" i="76"/>
  <c r="X66" i="76"/>
  <c r="L66" i="76"/>
  <c r="N66" i="76" s="1"/>
  <c r="B66" i="76"/>
  <c r="Z65" i="76"/>
  <c r="X65" i="76"/>
  <c r="R65" i="76"/>
  <c r="N65" i="76"/>
  <c r="L65" i="76"/>
  <c r="B65" i="76"/>
  <c r="X64" i="76"/>
  <c r="Z64" i="76" s="1"/>
  <c r="R64" i="76"/>
  <c r="N64" i="76"/>
  <c r="L64" i="76"/>
  <c r="J64" i="76"/>
  <c r="B64" i="76"/>
  <c r="T63" i="76"/>
  <c r="P63" i="76"/>
  <c r="X63" i="76" s="1"/>
  <c r="Z63" i="76" s="1"/>
  <c r="H63" i="76"/>
  <c r="D63" i="76"/>
  <c r="B63" i="76"/>
  <c r="X62" i="76"/>
  <c r="Z62" i="76" s="1"/>
  <c r="L62" i="76"/>
  <c r="N62" i="76" s="1"/>
  <c r="J62" i="76"/>
  <c r="B62" i="76"/>
  <c r="T61" i="76"/>
  <c r="P61" i="76"/>
  <c r="X61" i="76" s="1"/>
  <c r="H61" i="76"/>
  <c r="D61" i="76"/>
  <c r="B61" i="76"/>
  <c r="X60" i="76"/>
  <c r="Z60" i="76" s="1"/>
  <c r="N60" i="76"/>
  <c r="L60" i="76"/>
  <c r="B60" i="76"/>
  <c r="X59" i="76"/>
  <c r="Z59" i="76" s="1"/>
  <c r="N59" i="76"/>
  <c r="L59" i="76"/>
  <c r="B59" i="76"/>
  <c r="X58" i="76"/>
  <c r="Z58" i="76" s="1"/>
  <c r="T58" i="76"/>
  <c r="R58" i="76"/>
  <c r="P58" i="76"/>
  <c r="L58" i="76"/>
  <c r="H58" i="76"/>
  <c r="N58" i="76" s="1"/>
  <c r="D58" i="76"/>
  <c r="B58" i="76"/>
  <c r="X57" i="76"/>
  <c r="Z57" i="76" s="1"/>
  <c r="R57" i="76"/>
  <c r="N57" i="76"/>
  <c r="L57" i="76"/>
  <c r="B57" i="76"/>
  <c r="T56" i="76"/>
  <c r="R56" i="76"/>
  <c r="P56" i="76"/>
  <c r="N56" i="76"/>
  <c r="H56" i="76"/>
  <c r="D56" i="76"/>
  <c r="L56" i="76" s="1"/>
  <c r="B56" i="76"/>
  <c r="Z55" i="76"/>
  <c r="X55" i="76"/>
  <c r="R55" i="76"/>
  <c r="N55" i="76"/>
  <c r="L55" i="76"/>
  <c r="B55" i="76"/>
  <c r="T54" i="76"/>
  <c r="Z54" i="76" s="1"/>
  <c r="P54" i="76"/>
  <c r="X54" i="76" s="1"/>
  <c r="N54" i="76"/>
  <c r="J54" i="76"/>
  <c r="H54" i="76"/>
  <c r="D54" i="76"/>
  <c r="L54" i="76" s="1"/>
  <c r="B54" i="76"/>
  <c r="Z53" i="76"/>
  <c r="X53" i="76"/>
  <c r="N53" i="76"/>
  <c r="L53" i="76"/>
  <c r="B53" i="76"/>
  <c r="X52" i="76"/>
  <c r="T52" i="76"/>
  <c r="Z52" i="76" s="1"/>
  <c r="P52" i="76"/>
  <c r="L52" i="76"/>
  <c r="N52" i="76" s="1"/>
  <c r="J52" i="76"/>
  <c r="H52" i="76"/>
  <c r="D52" i="76"/>
  <c r="B52" i="76"/>
  <c r="Z51" i="76"/>
  <c r="X51" i="76"/>
  <c r="L51" i="76"/>
  <c r="N51" i="76" s="1"/>
  <c r="J51" i="76"/>
  <c r="B51" i="76"/>
  <c r="T50" i="76"/>
  <c r="P50" i="76"/>
  <c r="X50" i="76" s="1"/>
  <c r="Z50" i="76" s="1"/>
  <c r="H50" i="76"/>
  <c r="D50" i="76"/>
  <c r="B50" i="76"/>
  <c r="Z49" i="76"/>
  <c r="X49" i="76"/>
  <c r="N49" i="76"/>
  <c r="L49" i="76"/>
  <c r="B49" i="76"/>
  <c r="Z48" i="76"/>
  <c r="V48" i="76"/>
  <c r="T48" i="76"/>
  <c r="P48" i="76"/>
  <c r="X48" i="76" s="1"/>
  <c r="H48" i="76"/>
  <c r="N48" i="76" s="1"/>
  <c r="D48" i="76"/>
  <c r="L48" i="76" s="1"/>
  <c r="B48" i="76"/>
  <c r="X47" i="76"/>
  <c r="Z47" i="76" s="1"/>
  <c r="N47" i="76"/>
  <c r="L47" i="76"/>
  <c r="B47" i="76"/>
  <c r="X46" i="76"/>
  <c r="Z46" i="76" s="1"/>
  <c r="T46" i="76"/>
  <c r="R46" i="76"/>
  <c r="P46" i="76"/>
  <c r="L46" i="76"/>
  <c r="H46" i="76"/>
  <c r="N46" i="76" s="1"/>
  <c r="D46" i="76"/>
  <c r="B46" i="76"/>
  <c r="Z45" i="76"/>
  <c r="X45" i="76"/>
  <c r="R45" i="76"/>
  <c r="N45" i="76"/>
  <c r="L45" i="76"/>
  <c r="B45" i="76"/>
  <c r="X44" i="76"/>
  <c r="Z44" i="76" s="1"/>
  <c r="R44" i="76"/>
  <c r="N44" i="76"/>
  <c r="L44" i="76"/>
  <c r="J44" i="76"/>
  <c r="B44" i="76"/>
  <c r="Z43" i="76"/>
  <c r="X43" i="76"/>
  <c r="N43" i="76"/>
  <c r="L43" i="76"/>
  <c r="J43" i="76"/>
  <c r="B43" i="76"/>
  <c r="Z42" i="76"/>
  <c r="X42" i="76"/>
  <c r="L42" i="76"/>
  <c r="N42" i="76" s="1"/>
  <c r="B42" i="76"/>
  <c r="X41" i="76"/>
  <c r="Z41" i="76" s="1"/>
  <c r="T41" i="76"/>
  <c r="P41" i="76"/>
  <c r="H41" i="76"/>
  <c r="D41" i="76"/>
  <c r="L41" i="76" s="1"/>
  <c r="N41" i="76" s="1"/>
  <c r="B41" i="76"/>
  <c r="Z40" i="76"/>
  <c r="X40" i="76"/>
  <c r="L40" i="76"/>
  <c r="N40" i="76" s="1"/>
  <c r="B40" i="76"/>
  <c r="Z39" i="76"/>
  <c r="X39" i="76"/>
  <c r="R39" i="76"/>
  <c r="L39" i="76"/>
  <c r="N39" i="76" s="1"/>
  <c r="B39" i="76"/>
  <c r="X38" i="76"/>
  <c r="Z38" i="76" s="1"/>
  <c r="L38" i="76"/>
  <c r="N38" i="76" s="1"/>
  <c r="J38" i="76"/>
  <c r="B38" i="76"/>
  <c r="X37" i="76"/>
  <c r="Z37" i="76" s="1"/>
  <c r="N37" i="76"/>
  <c r="L37" i="76"/>
  <c r="B37" i="76"/>
  <c r="Z36" i="76"/>
  <c r="X36" i="76"/>
  <c r="L36" i="76"/>
  <c r="N36" i="76" s="1"/>
  <c r="B36" i="76"/>
  <c r="Z35" i="76"/>
  <c r="X35" i="76"/>
  <c r="R35" i="76"/>
  <c r="L35" i="76"/>
  <c r="N35" i="76" s="1"/>
  <c r="B35" i="76"/>
  <c r="X34" i="76"/>
  <c r="Z34" i="76" s="1"/>
  <c r="L34" i="76"/>
  <c r="N34" i="76" s="1"/>
  <c r="J34" i="76"/>
  <c r="B34" i="76"/>
  <c r="Z33" i="76"/>
  <c r="X33" i="76"/>
  <c r="L33" i="76"/>
  <c r="N33" i="76" s="1"/>
  <c r="B33" i="76"/>
  <c r="V32" i="76"/>
  <c r="T32" i="76"/>
  <c r="P32" i="76"/>
  <c r="X32" i="76" s="1"/>
  <c r="Z32" i="76" s="1"/>
  <c r="H32" i="76"/>
  <c r="N32" i="76" s="1"/>
  <c r="D32" i="76"/>
  <c r="L32" i="76" s="1"/>
  <c r="B32" i="76"/>
  <c r="X31" i="76"/>
  <c r="T31" i="76"/>
  <c r="R31" i="76"/>
  <c r="P31" i="76"/>
  <c r="H31" i="76"/>
  <c r="D31" i="76"/>
  <c r="L31" i="76" s="1"/>
  <c r="X27" i="76"/>
  <c r="T27" i="76"/>
  <c r="Z27" i="76" s="1"/>
  <c r="R27" i="76"/>
  <c r="P27" i="76"/>
  <c r="H27" i="76"/>
  <c r="N27" i="76" s="1"/>
  <c r="D27" i="76"/>
  <c r="L27" i="76" s="1"/>
  <c r="X25" i="76"/>
  <c r="T25" i="76"/>
  <c r="Z25" i="76" s="1"/>
  <c r="P25" i="76"/>
  <c r="N25" i="76"/>
  <c r="L25" i="76"/>
  <c r="H25" i="76"/>
  <c r="D25" i="76"/>
  <c r="B25" i="76"/>
  <c r="T24" i="76"/>
  <c r="P24" i="76"/>
  <c r="N24" i="76"/>
  <c r="H24" i="76"/>
  <c r="D24" i="76"/>
  <c r="L24" i="76" s="1"/>
  <c r="B24" i="76"/>
  <c r="X23" i="76"/>
  <c r="T23" i="76"/>
  <c r="Z23" i="76" s="1"/>
  <c r="P23" i="76"/>
  <c r="N23" i="76"/>
  <c r="H23" i="76"/>
  <c r="D23" i="76"/>
  <c r="L23" i="76" s="1"/>
  <c r="B23" i="76"/>
  <c r="X22" i="76"/>
  <c r="T22" i="76"/>
  <c r="Z22" i="76" s="1"/>
  <c r="P22" i="76"/>
  <c r="N22" i="76"/>
  <c r="H22" i="76"/>
  <c r="D22" i="76"/>
  <c r="L22" i="76" s="1"/>
  <c r="B22" i="76"/>
  <c r="X21" i="76"/>
  <c r="T21" i="76"/>
  <c r="Z21" i="76" s="1"/>
  <c r="P21" i="76"/>
  <c r="N21" i="76"/>
  <c r="L21" i="76"/>
  <c r="H21" i="76"/>
  <c r="D21" i="76"/>
  <c r="B21" i="76"/>
  <c r="T20" i="76"/>
  <c r="P20" i="76"/>
  <c r="H20" i="76"/>
  <c r="D20" i="76"/>
  <c r="L20" i="76" s="1"/>
  <c r="N20" i="76" s="1"/>
  <c r="B20" i="76"/>
  <c r="T19" i="76"/>
  <c r="P19" i="76"/>
  <c r="N19" i="76"/>
  <c r="L19" i="76"/>
  <c r="H19" i="76"/>
  <c r="D19" i="76"/>
  <c r="B19" i="76"/>
  <c r="X18" i="76"/>
  <c r="T18" i="76"/>
  <c r="Z18" i="76" s="1"/>
  <c r="P18" i="76"/>
  <c r="H18" i="76"/>
  <c r="D18" i="76"/>
  <c r="L18" i="76" s="1"/>
  <c r="N18" i="76" s="1"/>
  <c r="B18" i="76"/>
  <c r="X17" i="76"/>
  <c r="T17" i="76"/>
  <c r="Z17" i="76" s="1"/>
  <c r="P17" i="76"/>
  <c r="N17" i="76"/>
  <c r="L17" i="76"/>
  <c r="H17" i="76"/>
  <c r="D17" i="76"/>
  <c r="B17" i="76"/>
  <c r="T16" i="76"/>
  <c r="P16" i="76"/>
  <c r="N16" i="76"/>
  <c r="H16" i="76"/>
  <c r="D16" i="76"/>
  <c r="L16" i="76" s="1"/>
  <c r="B16" i="76"/>
  <c r="T15" i="76"/>
  <c r="P15" i="76"/>
  <c r="L15" i="76"/>
  <c r="N15" i="76" s="1"/>
  <c r="H15" i="76"/>
  <c r="D15" i="76"/>
  <c r="B15" i="76"/>
  <c r="T14" i="76"/>
  <c r="P14" i="76"/>
  <c r="H14" i="76"/>
  <c r="D14" i="76"/>
  <c r="B14" i="76"/>
  <c r="X13" i="76"/>
  <c r="T13" i="76"/>
  <c r="P13" i="76"/>
  <c r="L13" i="76"/>
  <c r="N13" i="76" s="1"/>
  <c r="H13" i="76"/>
  <c r="D13" i="76"/>
  <c r="B13" i="76"/>
  <c r="T12" i="76"/>
  <c r="V74" i="76" s="1"/>
  <c r="P12" i="76"/>
  <c r="H12" i="76"/>
  <c r="J69" i="76" s="1"/>
  <c r="D6" i="76"/>
  <c r="D4" i="76"/>
  <c r="X112" i="75"/>
  <c r="Z112" i="75" s="1"/>
  <c r="N112" i="75"/>
  <c r="L112" i="75"/>
  <c r="T108" i="75"/>
  <c r="Z108" i="75" s="1"/>
  <c r="P108" i="75"/>
  <c r="X108" i="75" s="1"/>
  <c r="L108" i="75"/>
  <c r="H108" i="75"/>
  <c r="N108" i="75" s="1"/>
  <c r="D108" i="75"/>
  <c r="B108" i="75"/>
  <c r="T107" i="75"/>
  <c r="H107" i="75"/>
  <c r="D107" i="75"/>
  <c r="Z105" i="75"/>
  <c r="X105" i="75"/>
  <c r="N105" i="75"/>
  <c r="L105" i="75"/>
  <c r="B105" i="75"/>
  <c r="Z104" i="75"/>
  <c r="X104" i="75"/>
  <c r="N104" i="75"/>
  <c r="L104" i="75"/>
  <c r="B104" i="75"/>
  <c r="X103" i="75"/>
  <c r="Z103" i="75" s="1"/>
  <c r="T103" i="75"/>
  <c r="P103" i="75"/>
  <c r="N103" i="75"/>
  <c r="H103" i="75"/>
  <c r="D103" i="75"/>
  <c r="L103" i="75" s="1"/>
  <c r="B103" i="75"/>
  <c r="Z102" i="75"/>
  <c r="X102" i="75"/>
  <c r="L102" i="75"/>
  <c r="N102" i="75" s="1"/>
  <c r="B102" i="75"/>
  <c r="T101" i="75"/>
  <c r="P101" i="75"/>
  <c r="X101" i="75" s="1"/>
  <c r="H101" i="75"/>
  <c r="D101" i="75"/>
  <c r="L101" i="75" s="1"/>
  <c r="B101" i="75"/>
  <c r="X100" i="75"/>
  <c r="Z100" i="75" s="1"/>
  <c r="N100" i="75"/>
  <c r="L100" i="75"/>
  <c r="B100" i="75"/>
  <c r="T99" i="75"/>
  <c r="Z99" i="75" s="1"/>
  <c r="P99" i="75"/>
  <c r="X99" i="75" s="1"/>
  <c r="L99" i="75"/>
  <c r="H99" i="75"/>
  <c r="D99" i="75"/>
  <c r="B99" i="75"/>
  <c r="X98" i="75"/>
  <c r="Z98" i="75" s="1"/>
  <c r="N98" i="75"/>
  <c r="L98" i="75"/>
  <c r="B98" i="75"/>
  <c r="X97" i="75"/>
  <c r="Z97" i="75" s="1"/>
  <c r="N97" i="75"/>
  <c r="L97" i="75"/>
  <c r="B97" i="75"/>
  <c r="Z96" i="75"/>
  <c r="X96" i="75"/>
  <c r="N96" i="75"/>
  <c r="L96" i="75"/>
  <c r="B96" i="75"/>
  <c r="X95" i="75"/>
  <c r="Z95" i="75" s="1"/>
  <c r="L95" i="75"/>
  <c r="N95" i="75" s="1"/>
  <c r="B95" i="75"/>
  <c r="X94" i="75"/>
  <c r="Z94" i="75" s="1"/>
  <c r="N94" i="75"/>
  <c r="L94" i="75"/>
  <c r="B94" i="75"/>
  <c r="T93" i="75"/>
  <c r="P93" i="75"/>
  <c r="X93" i="75" s="1"/>
  <c r="H93" i="75"/>
  <c r="D93" i="75"/>
  <c r="B93" i="75"/>
  <c r="X92" i="75"/>
  <c r="Z92" i="75" s="1"/>
  <c r="N92" i="75"/>
  <c r="L92" i="75"/>
  <c r="B92" i="75"/>
  <c r="X91" i="75"/>
  <c r="Z91" i="75" s="1"/>
  <c r="N91" i="75"/>
  <c r="L91" i="75"/>
  <c r="B91" i="75"/>
  <c r="Z90" i="75"/>
  <c r="T90" i="75"/>
  <c r="P90" i="75"/>
  <c r="X90" i="75" s="1"/>
  <c r="H90" i="75"/>
  <c r="N90" i="75" s="1"/>
  <c r="D90" i="75"/>
  <c r="L90" i="75" s="1"/>
  <c r="B90" i="75"/>
  <c r="X89" i="75"/>
  <c r="Z89" i="75" s="1"/>
  <c r="L89" i="75"/>
  <c r="N89" i="75" s="1"/>
  <c r="B89" i="75"/>
  <c r="X88" i="75"/>
  <c r="Z88" i="75" s="1"/>
  <c r="N88" i="75"/>
  <c r="L88" i="75"/>
  <c r="B88" i="75"/>
  <c r="T87" i="75"/>
  <c r="Z87" i="75" s="1"/>
  <c r="P87" i="75"/>
  <c r="X87" i="75" s="1"/>
  <c r="L87" i="75"/>
  <c r="H87" i="75"/>
  <c r="N87" i="75" s="1"/>
  <c r="D87" i="75"/>
  <c r="B87" i="75"/>
  <c r="X86" i="75"/>
  <c r="Z86" i="75" s="1"/>
  <c r="N86" i="75"/>
  <c r="L86" i="75"/>
  <c r="B86" i="75"/>
  <c r="X85" i="75"/>
  <c r="Z85" i="75" s="1"/>
  <c r="N85" i="75"/>
  <c r="L85" i="75"/>
  <c r="B85" i="75"/>
  <c r="T84" i="75"/>
  <c r="P84" i="75"/>
  <c r="X84" i="75" s="1"/>
  <c r="Z84" i="75" s="1"/>
  <c r="H84" i="75"/>
  <c r="D84" i="75"/>
  <c r="B84" i="75"/>
  <c r="X83" i="75"/>
  <c r="Z83" i="75" s="1"/>
  <c r="N83" i="75"/>
  <c r="L83" i="75"/>
  <c r="B83" i="75"/>
  <c r="T82" i="75"/>
  <c r="P82" i="75"/>
  <c r="X82" i="75" s="1"/>
  <c r="Z82" i="75" s="1"/>
  <c r="H82" i="75"/>
  <c r="D82" i="75"/>
  <c r="L82" i="75" s="1"/>
  <c r="B82" i="75"/>
  <c r="X81" i="75"/>
  <c r="Z81" i="75" s="1"/>
  <c r="N81" i="75"/>
  <c r="L81" i="75"/>
  <c r="B81" i="75"/>
  <c r="X80" i="75"/>
  <c r="T80" i="75"/>
  <c r="Z80" i="75" s="1"/>
  <c r="P80" i="75"/>
  <c r="H80" i="75"/>
  <c r="N80" i="75" s="1"/>
  <c r="D80" i="75"/>
  <c r="L80" i="75" s="1"/>
  <c r="B80" i="75"/>
  <c r="Z79" i="75"/>
  <c r="X79" i="75"/>
  <c r="N79" i="75"/>
  <c r="L79" i="75"/>
  <c r="B79" i="75"/>
  <c r="X78" i="75"/>
  <c r="Z78" i="75" s="1"/>
  <c r="N78" i="75"/>
  <c r="L78" i="75"/>
  <c r="B78" i="75"/>
  <c r="T77" i="75"/>
  <c r="Z77" i="75" s="1"/>
  <c r="P77" i="75"/>
  <c r="X77" i="75" s="1"/>
  <c r="N77" i="75"/>
  <c r="L77" i="75"/>
  <c r="H77" i="75"/>
  <c r="D77" i="75"/>
  <c r="B77" i="75"/>
  <c r="Z76" i="75"/>
  <c r="X76" i="75"/>
  <c r="L76" i="75"/>
  <c r="N76" i="75" s="1"/>
  <c r="B76" i="75"/>
  <c r="T75" i="75"/>
  <c r="Z75" i="75" s="1"/>
  <c r="P75" i="75"/>
  <c r="X75" i="75" s="1"/>
  <c r="H75" i="75"/>
  <c r="D75" i="75"/>
  <c r="B75" i="75"/>
  <c r="Z74" i="75"/>
  <c r="X74" i="75"/>
  <c r="N74" i="75"/>
  <c r="L74" i="75"/>
  <c r="B74" i="75"/>
  <c r="X73" i="75"/>
  <c r="Z73" i="75" s="1"/>
  <c r="N73" i="75"/>
  <c r="L73" i="75"/>
  <c r="B73" i="75"/>
  <c r="X72" i="75"/>
  <c r="T72" i="75"/>
  <c r="Z72" i="75" s="1"/>
  <c r="P72" i="75"/>
  <c r="H72" i="75"/>
  <c r="D72" i="75"/>
  <c r="L72" i="75" s="1"/>
  <c r="B72" i="75"/>
  <c r="Z71" i="75"/>
  <c r="X71" i="75"/>
  <c r="N71" i="75"/>
  <c r="L71" i="75"/>
  <c r="B71" i="75"/>
  <c r="T70" i="75"/>
  <c r="P70" i="75"/>
  <c r="N70" i="75"/>
  <c r="H70" i="75"/>
  <c r="D70" i="75"/>
  <c r="L70" i="75" s="1"/>
  <c r="B70" i="75"/>
  <c r="Z69" i="75"/>
  <c r="X69" i="75"/>
  <c r="N69" i="75"/>
  <c r="L69" i="75"/>
  <c r="B69" i="75"/>
  <c r="X68" i="75"/>
  <c r="Z68" i="75" s="1"/>
  <c r="L68" i="75"/>
  <c r="N68" i="75" s="1"/>
  <c r="B68" i="75"/>
  <c r="X67" i="75"/>
  <c r="Z67" i="75" s="1"/>
  <c r="N67" i="75"/>
  <c r="L67" i="75"/>
  <c r="B67" i="75"/>
  <c r="Z66" i="75"/>
  <c r="X66" i="75"/>
  <c r="L66" i="75"/>
  <c r="N66" i="75" s="1"/>
  <c r="B66" i="75"/>
  <c r="Z65" i="75"/>
  <c r="X65" i="75"/>
  <c r="N65" i="75"/>
  <c r="L65" i="75"/>
  <c r="B65" i="75"/>
  <c r="X64" i="75"/>
  <c r="Z64" i="75" s="1"/>
  <c r="L64" i="75"/>
  <c r="N64" i="75" s="1"/>
  <c r="B64" i="75"/>
  <c r="T63" i="75"/>
  <c r="Z63" i="75" s="1"/>
  <c r="P63" i="75"/>
  <c r="X63" i="75" s="1"/>
  <c r="H63" i="75"/>
  <c r="D63" i="75"/>
  <c r="L63" i="75" s="1"/>
  <c r="B63" i="75"/>
  <c r="X62" i="75"/>
  <c r="Z62" i="75" s="1"/>
  <c r="L62" i="75"/>
  <c r="N62" i="75" s="1"/>
  <c r="B62" i="75"/>
  <c r="X61" i="75"/>
  <c r="Z61" i="75" s="1"/>
  <c r="N61" i="75"/>
  <c r="L61" i="75"/>
  <c r="B61" i="75"/>
  <c r="X60" i="75"/>
  <c r="Z60" i="75" s="1"/>
  <c r="N60" i="75"/>
  <c r="L60" i="75"/>
  <c r="B60" i="75"/>
  <c r="X59" i="75"/>
  <c r="Z59" i="75" s="1"/>
  <c r="L59" i="75"/>
  <c r="N59" i="75" s="1"/>
  <c r="B59" i="75"/>
  <c r="X58" i="75"/>
  <c r="Z58" i="75" s="1"/>
  <c r="L58" i="75"/>
  <c r="N58" i="75" s="1"/>
  <c r="B58" i="75"/>
  <c r="X57" i="75"/>
  <c r="Z57" i="75" s="1"/>
  <c r="N57" i="75"/>
  <c r="L57" i="75"/>
  <c r="B57" i="75"/>
  <c r="X56" i="75"/>
  <c r="Z56" i="75" s="1"/>
  <c r="N56" i="75"/>
  <c r="L56" i="75"/>
  <c r="B56" i="75"/>
  <c r="X55" i="75"/>
  <c r="Z55" i="75" s="1"/>
  <c r="L55" i="75"/>
  <c r="N55" i="75" s="1"/>
  <c r="B55" i="75"/>
  <c r="X54" i="75"/>
  <c r="T54" i="75"/>
  <c r="P54" i="75"/>
  <c r="L54" i="75"/>
  <c r="H54" i="75"/>
  <c r="D54" i="75"/>
  <c r="B54" i="75"/>
  <c r="Z53" i="75"/>
  <c r="T53" i="75"/>
  <c r="P53" i="75"/>
  <c r="X53" i="75" s="1"/>
  <c r="H53" i="75"/>
  <c r="D53" i="75"/>
  <c r="Z49" i="75"/>
  <c r="X49" i="75"/>
  <c r="L49" i="75"/>
  <c r="N49" i="75" s="1"/>
  <c r="B49" i="75"/>
  <c r="Z48" i="75"/>
  <c r="X48" i="75"/>
  <c r="L48" i="75"/>
  <c r="N48" i="75" s="1"/>
  <c r="B48" i="75"/>
  <c r="X47" i="75"/>
  <c r="Z47" i="75" s="1"/>
  <c r="L47" i="75"/>
  <c r="N47" i="75" s="1"/>
  <c r="B47" i="75"/>
  <c r="Z46" i="75"/>
  <c r="X46" i="75"/>
  <c r="N46" i="75"/>
  <c r="L46" i="75"/>
  <c r="B46" i="75"/>
  <c r="Z45" i="75"/>
  <c r="X45" i="75"/>
  <c r="L45" i="75"/>
  <c r="N45" i="75" s="1"/>
  <c r="B45" i="75"/>
  <c r="Z44" i="75"/>
  <c r="X44" i="75"/>
  <c r="L44" i="75"/>
  <c r="N44" i="75" s="1"/>
  <c r="B44" i="75"/>
  <c r="Z43" i="75"/>
  <c r="X43" i="75"/>
  <c r="N43" i="75"/>
  <c r="L43" i="75"/>
  <c r="B43" i="75"/>
  <c r="Z42" i="75"/>
  <c r="X42" i="75"/>
  <c r="N42" i="75"/>
  <c r="L42" i="75"/>
  <c r="B42" i="75"/>
  <c r="Z41" i="75"/>
  <c r="X41" i="75"/>
  <c r="L41" i="75"/>
  <c r="N41" i="75" s="1"/>
  <c r="B41" i="75"/>
  <c r="Z40" i="75"/>
  <c r="X40" i="75"/>
  <c r="L40" i="75"/>
  <c r="N40" i="75" s="1"/>
  <c r="B40" i="75"/>
  <c r="X39" i="75"/>
  <c r="Z39" i="75" s="1"/>
  <c r="L39" i="75"/>
  <c r="N39" i="75" s="1"/>
  <c r="B39" i="75"/>
  <c r="Z38" i="75"/>
  <c r="X38" i="75"/>
  <c r="N38" i="75"/>
  <c r="L38" i="75"/>
  <c r="B38" i="75"/>
  <c r="Z37" i="75"/>
  <c r="X37" i="75"/>
  <c r="L37" i="75"/>
  <c r="N37" i="75" s="1"/>
  <c r="B37" i="75"/>
  <c r="Z36" i="75"/>
  <c r="X36" i="75"/>
  <c r="L36" i="75"/>
  <c r="N36" i="75" s="1"/>
  <c r="B36" i="75"/>
  <c r="X35" i="75"/>
  <c r="Z35" i="75" s="1"/>
  <c r="L35" i="75"/>
  <c r="N35" i="75" s="1"/>
  <c r="B35" i="75"/>
  <c r="T34" i="75"/>
  <c r="P34" i="75"/>
  <c r="H34" i="75"/>
  <c r="D34" i="75"/>
  <c r="T32" i="75"/>
  <c r="P32" i="75"/>
  <c r="X32" i="75" s="1"/>
  <c r="N32" i="75"/>
  <c r="H32" i="75"/>
  <c r="L32" i="75" s="1"/>
  <c r="D32" i="75"/>
  <c r="B32" i="75"/>
  <c r="Z31" i="75"/>
  <c r="T31" i="75"/>
  <c r="P31" i="75"/>
  <c r="X31" i="75" s="1"/>
  <c r="H31" i="75"/>
  <c r="D31" i="75"/>
  <c r="L31" i="75" s="1"/>
  <c r="B31" i="75"/>
  <c r="Z30" i="75"/>
  <c r="T30" i="75"/>
  <c r="P30" i="75"/>
  <c r="X30" i="75" s="1"/>
  <c r="L30" i="75"/>
  <c r="H30" i="75"/>
  <c r="N30" i="75" s="1"/>
  <c r="D30" i="75"/>
  <c r="B30" i="75"/>
  <c r="T29" i="75"/>
  <c r="P29" i="75"/>
  <c r="X29" i="75" s="1"/>
  <c r="Z29" i="75" s="1"/>
  <c r="H29" i="75"/>
  <c r="D29" i="75"/>
  <c r="B29" i="75"/>
  <c r="T28" i="75"/>
  <c r="Z28" i="75" s="1"/>
  <c r="P28" i="75"/>
  <c r="X28" i="75" s="1"/>
  <c r="N28" i="75"/>
  <c r="H28" i="75"/>
  <c r="L28" i="75" s="1"/>
  <c r="D28" i="75"/>
  <c r="B28" i="75"/>
  <c r="Z27" i="75"/>
  <c r="T27" i="75"/>
  <c r="X27" i="75" s="1"/>
  <c r="P27" i="75"/>
  <c r="H27" i="75"/>
  <c r="N27" i="75" s="1"/>
  <c r="D27" i="75"/>
  <c r="L27" i="75" s="1"/>
  <c r="B27" i="75"/>
  <c r="T26" i="75"/>
  <c r="P26" i="75"/>
  <c r="X26" i="75" s="1"/>
  <c r="Z26" i="75" s="1"/>
  <c r="L26" i="75"/>
  <c r="N26" i="75" s="1"/>
  <c r="H26" i="75"/>
  <c r="D26" i="75"/>
  <c r="B26" i="75"/>
  <c r="X25" i="75"/>
  <c r="Z25" i="75" s="1"/>
  <c r="T25" i="75"/>
  <c r="P25" i="75"/>
  <c r="H25" i="75"/>
  <c r="D25" i="75"/>
  <c r="B25" i="75"/>
  <c r="T24" i="75"/>
  <c r="Z24" i="75" s="1"/>
  <c r="P24" i="75"/>
  <c r="X24" i="75" s="1"/>
  <c r="N24" i="75"/>
  <c r="H24" i="75"/>
  <c r="L24" i="75" s="1"/>
  <c r="D24" i="75"/>
  <c r="B24" i="75"/>
  <c r="Z23" i="75"/>
  <c r="T23" i="75"/>
  <c r="P23" i="75"/>
  <c r="X23" i="75" s="1"/>
  <c r="H23" i="75"/>
  <c r="D23" i="75"/>
  <c r="B23" i="75"/>
  <c r="T22" i="75"/>
  <c r="P22" i="75"/>
  <c r="X22" i="75" s="1"/>
  <c r="Z22" i="75" s="1"/>
  <c r="L22" i="75"/>
  <c r="N22" i="75" s="1"/>
  <c r="H22" i="75"/>
  <c r="D22" i="75"/>
  <c r="B22" i="75"/>
  <c r="X21" i="75"/>
  <c r="Z21" i="75" s="1"/>
  <c r="T21" i="75"/>
  <c r="P21" i="75"/>
  <c r="H21" i="75"/>
  <c r="D21" i="75"/>
  <c r="B21" i="75"/>
  <c r="T20" i="75"/>
  <c r="Z20" i="75" s="1"/>
  <c r="P20" i="75"/>
  <c r="X20" i="75" s="1"/>
  <c r="N20" i="75"/>
  <c r="H20" i="75"/>
  <c r="L20" i="75" s="1"/>
  <c r="D20" i="75"/>
  <c r="B20" i="75"/>
  <c r="Z19" i="75"/>
  <c r="T19" i="75"/>
  <c r="P19" i="75"/>
  <c r="X19" i="75" s="1"/>
  <c r="H19" i="75"/>
  <c r="D19" i="75"/>
  <c r="L19" i="75" s="1"/>
  <c r="B19" i="75"/>
  <c r="Z18" i="75"/>
  <c r="T18" i="75"/>
  <c r="P18" i="75"/>
  <c r="X18" i="75" s="1"/>
  <c r="L18" i="75"/>
  <c r="N18" i="75" s="1"/>
  <c r="H18" i="75"/>
  <c r="D18" i="75"/>
  <c r="B18" i="75"/>
  <c r="T17" i="75"/>
  <c r="P17" i="75"/>
  <c r="X17" i="75" s="1"/>
  <c r="Z17" i="75" s="1"/>
  <c r="H17" i="75"/>
  <c r="D17" i="75"/>
  <c r="B17" i="75"/>
  <c r="T16" i="75"/>
  <c r="P16" i="75"/>
  <c r="X16" i="75" s="1"/>
  <c r="H16" i="75"/>
  <c r="L16" i="75" s="1"/>
  <c r="D16" i="75"/>
  <c r="B16" i="75"/>
  <c r="T15" i="75"/>
  <c r="X15" i="75" s="1"/>
  <c r="Z15" i="75" s="1"/>
  <c r="P15" i="75"/>
  <c r="H15" i="75"/>
  <c r="D15" i="75"/>
  <c r="B15" i="75"/>
  <c r="T14" i="75"/>
  <c r="P14" i="75"/>
  <c r="L14" i="75"/>
  <c r="N14" i="75" s="1"/>
  <c r="H14" i="75"/>
  <c r="D14" i="75"/>
  <c r="B14" i="75"/>
  <c r="T13" i="75"/>
  <c r="P13" i="75"/>
  <c r="L13" i="75"/>
  <c r="H13" i="75"/>
  <c r="D13" i="75"/>
  <c r="B13" i="75"/>
  <c r="D6" i="75"/>
  <c r="D4" i="75"/>
  <c r="X92" i="74"/>
  <c r="Z92" i="74" s="1"/>
  <c r="L92" i="74"/>
  <c r="N92" i="74" s="1"/>
  <c r="T88" i="74"/>
  <c r="Z88" i="74" s="1"/>
  <c r="P88" i="74"/>
  <c r="H88" i="74"/>
  <c r="N88" i="74" s="1"/>
  <c r="D88" i="74"/>
  <c r="Z86" i="74"/>
  <c r="X86" i="74"/>
  <c r="N86" i="74"/>
  <c r="L86" i="74"/>
  <c r="B86" i="74"/>
  <c r="Z85" i="74"/>
  <c r="T85" i="74"/>
  <c r="P85" i="74"/>
  <c r="X85" i="74" s="1"/>
  <c r="N85" i="74"/>
  <c r="H85" i="74"/>
  <c r="D85" i="74"/>
  <c r="L85" i="74" s="1"/>
  <c r="B85" i="74"/>
  <c r="Z84" i="74"/>
  <c r="X84" i="74"/>
  <c r="L84" i="74"/>
  <c r="N84" i="74" s="1"/>
  <c r="B84" i="74"/>
  <c r="T83" i="74"/>
  <c r="P83" i="74"/>
  <c r="L83" i="74"/>
  <c r="H83" i="74"/>
  <c r="D83" i="74"/>
  <c r="B83" i="74"/>
  <c r="X82" i="74"/>
  <c r="Z82" i="74" s="1"/>
  <c r="N82" i="74"/>
  <c r="L82" i="74"/>
  <c r="B82" i="74"/>
  <c r="X81" i="74"/>
  <c r="Z81" i="74" s="1"/>
  <c r="L81" i="74"/>
  <c r="N81" i="74" s="1"/>
  <c r="B81" i="74"/>
  <c r="X80" i="74"/>
  <c r="Z80" i="74" s="1"/>
  <c r="T80" i="74"/>
  <c r="P80" i="74"/>
  <c r="L80" i="74"/>
  <c r="H80" i="74"/>
  <c r="D80" i="74"/>
  <c r="B80" i="74"/>
  <c r="Z79" i="74"/>
  <c r="X79" i="74"/>
  <c r="N79" i="74"/>
  <c r="L79" i="74"/>
  <c r="B79" i="74"/>
  <c r="T78" i="74"/>
  <c r="P78" i="74"/>
  <c r="H78" i="74"/>
  <c r="N78" i="74" s="1"/>
  <c r="D78" i="74"/>
  <c r="L78" i="74" s="1"/>
  <c r="B78" i="74"/>
  <c r="X77" i="74"/>
  <c r="Z77" i="74" s="1"/>
  <c r="N77" i="74"/>
  <c r="L77" i="74"/>
  <c r="B77" i="74"/>
  <c r="V76" i="74"/>
  <c r="T76" i="74"/>
  <c r="P76" i="74"/>
  <c r="X76" i="74" s="1"/>
  <c r="Z76" i="74" s="1"/>
  <c r="H76" i="74"/>
  <c r="N76" i="74" s="1"/>
  <c r="D76" i="74"/>
  <c r="L76" i="74" s="1"/>
  <c r="B76" i="74"/>
  <c r="X75" i="74"/>
  <c r="Z75" i="74" s="1"/>
  <c r="N75" i="74"/>
  <c r="L75" i="74"/>
  <c r="B75" i="74"/>
  <c r="X74" i="74"/>
  <c r="T74" i="74"/>
  <c r="P74" i="74"/>
  <c r="L74" i="74"/>
  <c r="N74" i="74" s="1"/>
  <c r="H74" i="74"/>
  <c r="D74" i="74"/>
  <c r="B74" i="74"/>
  <c r="Z73" i="74"/>
  <c r="X73" i="74"/>
  <c r="L73" i="74"/>
  <c r="N73" i="74" s="1"/>
  <c r="B73" i="74"/>
  <c r="X72" i="74"/>
  <c r="Z72" i="74" s="1"/>
  <c r="N72" i="74"/>
  <c r="L72" i="74"/>
  <c r="B72" i="74"/>
  <c r="T71" i="74"/>
  <c r="P71" i="74"/>
  <c r="X71" i="74" s="1"/>
  <c r="Z71" i="74" s="1"/>
  <c r="H71" i="74"/>
  <c r="D71" i="74"/>
  <c r="L71" i="74" s="1"/>
  <c r="N71" i="74" s="1"/>
  <c r="B71" i="74"/>
  <c r="Z70" i="74"/>
  <c r="X70" i="74"/>
  <c r="N70" i="74"/>
  <c r="L70" i="74"/>
  <c r="B70" i="74"/>
  <c r="X69" i="74"/>
  <c r="Z69" i="74" s="1"/>
  <c r="T69" i="74"/>
  <c r="P69" i="74"/>
  <c r="H69" i="74"/>
  <c r="N69" i="74" s="1"/>
  <c r="D69" i="74"/>
  <c r="L69" i="74" s="1"/>
  <c r="B69" i="74"/>
  <c r="X68" i="74"/>
  <c r="Z68" i="74" s="1"/>
  <c r="L68" i="74"/>
  <c r="N68" i="74" s="1"/>
  <c r="B68" i="74"/>
  <c r="X67" i="74"/>
  <c r="Z67" i="74" s="1"/>
  <c r="N67" i="74"/>
  <c r="L67" i="74"/>
  <c r="B67" i="74"/>
  <c r="Z66" i="74"/>
  <c r="X66" i="74"/>
  <c r="N66" i="74"/>
  <c r="L66" i="74"/>
  <c r="B66" i="74"/>
  <c r="X65" i="74"/>
  <c r="Z65" i="74" s="1"/>
  <c r="L65" i="74"/>
  <c r="N65" i="74" s="1"/>
  <c r="B65" i="74"/>
  <c r="Z64" i="74"/>
  <c r="X64" i="74"/>
  <c r="T64" i="74"/>
  <c r="P64" i="74"/>
  <c r="L64" i="74"/>
  <c r="H64" i="74"/>
  <c r="N64" i="74" s="1"/>
  <c r="D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L61" i="74"/>
  <c r="N61" i="74" s="1"/>
  <c r="B61" i="74"/>
  <c r="X60" i="74"/>
  <c r="Z60" i="74" s="1"/>
  <c r="N60" i="74"/>
  <c r="L60" i="74"/>
  <c r="B60" i="74"/>
  <c r="Z59" i="74"/>
  <c r="X59" i="74"/>
  <c r="N59" i="74"/>
  <c r="L59" i="74"/>
  <c r="B59" i="74"/>
  <c r="Z58" i="74"/>
  <c r="X58" i="74"/>
  <c r="N58" i="74"/>
  <c r="L58" i="74"/>
  <c r="B58" i="74"/>
  <c r="X57" i="74"/>
  <c r="Z57" i="74" s="1"/>
  <c r="L57" i="74"/>
  <c r="N57" i="74" s="1"/>
  <c r="B57" i="74"/>
  <c r="X56" i="74"/>
  <c r="Z56" i="74" s="1"/>
  <c r="N56" i="74"/>
  <c r="L56" i="74"/>
  <c r="B56" i="74"/>
  <c r="Z55" i="74"/>
  <c r="T55" i="74"/>
  <c r="P55" i="74"/>
  <c r="X55" i="74" s="1"/>
  <c r="N55" i="74"/>
  <c r="H55" i="74"/>
  <c r="L55" i="74" s="1"/>
  <c r="D55" i="74"/>
  <c r="B55" i="74"/>
  <c r="T54" i="74"/>
  <c r="P54" i="74"/>
  <c r="X54" i="74" s="1"/>
  <c r="N54" i="74"/>
  <c r="H54" i="74"/>
  <c r="D54" i="74"/>
  <c r="L54" i="74" s="1"/>
  <c r="X50" i="74"/>
  <c r="Z50" i="74" s="1"/>
  <c r="N50" i="74"/>
  <c r="L50" i="74"/>
  <c r="B50" i="74"/>
  <c r="X49" i="74"/>
  <c r="Z49" i="74" s="1"/>
  <c r="N49" i="74"/>
  <c r="L49" i="74"/>
  <c r="B49" i="74"/>
  <c r="Z48" i="74"/>
  <c r="X48" i="74"/>
  <c r="N48" i="74"/>
  <c r="L48" i="74"/>
  <c r="B48" i="74"/>
  <c r="Z47" i="74"/>
  <c r="X47" i="74"/>
  <c r="L47" i="74"/>
  <c r="N47" i="74" s="1"/>
  <c r="B47" i="74"/>
  <c r="Z46" i="74"/>
  <c r="X46" i="74"/>
  <c r="N46" i="74"/>
  <c r="L46" i="74"/>
  <c r="B46" i="74"/>
  <c r="Z45" i="74"/>
  <c r="X45" i="74"/>
  <c r="N45" i="74"/>
  <c r="L45" i="74"/>
  <c r="B45" i="74"/>
  <c r="Z44" i="74"/>
  <c r="X44" i="74"/>
  <c r="L44" i="74"/>
  <c r="N44" i="74" s="1"/>
  <c r="B44" i="74"/>
  <c r="Z43" i="74"/>
  <c r="X43" i="74"/>
  <c r="N43" i="74"/>
  <c r="L43" i="74"/>
  <c r="B43" i="74"/>
  <c r="X42" i="74"/>
  <c r="Z42" i="74" s="1"/>
  <c r="L42" i="74"/>
  <c r="N42" i="74" s="1"/>
  <c r="B42" i="74"/>
  <c r="Z41" i="74"/>
  <c r="X41" i="74"/>
  <c r="N41" i="74"/>
  <c r="L41" i="74"/>
  <c r="B41" i="74"/>
  <c r="X40" i="74"/>
  <c r="Z40" i="74" s="1"/>
  <c r="L40" i="74"/>
  <c r="N40" i="74" s="1"/>
  <c r="B40" i="74"/>
  <c r="Z39" i="74"/>
  <c r="X39" i="74"/>
  <c r="N39" i="74"/>
  <c r="L39" i="74"/>
  <c r="B39" i="74"/>
  <c r="X38" i="74"/>
  <c r="Z38" i="74" s="1"/>
  <c r="N38" i="74"/>
  <c r="L38" i="74"/>
  <c r="B38" i="74"/>
  <c r="Z37" i="74"/>
  <c r="X37" i="74"/>
  <c r="N37" i="74"/>
  <c r="L37" i="74"/>
  <c r="B37" i="74"/>
  <c r="X36" i="74"/>
  <c r="Z36" i="74" s="1"/>
  <c r="N36" i="74"/>
  <c r="L36" i="74"/>
  <c r="B36" i="74"/>
  <c r="Z35" i="74"/>
  <c r="X35" i="74"/>
  <c r="T35" i="74"/>
  <c r="P35" i="74"/>
  <c r="N35" i="74"/>
  <c r="L35" i="74"/>
  <c r="H35" i="74"/>
  <c r="D35" i="74"/>
  <c r="Z33" i="74"/>
  <c r="X33" i="74"/>
  <c r="T33" i="74"/>
  <c r="P33" i="74"/>
  <c r="H33" i="74"/>
  <c r="N33" i="74" s="1"/>
  <c r="D33" i="74"/>
  <c r="B33" i="74"/>
  <c r="X32" i="74"/>
  <c r="Z32" i="74" s="1"/>
  <c r="T32" i="74"/>
  <c r="P32" i="74"/>
  <c r="H32" i="74"/>
  <c r="D32" i="74"/>
  <c r="L32" i="74" s="1"/>
  <c r="N32" i="74" s="1"/>
  <c r="B32" i="74"/>
  <c r="Z31" i="74"/>
  <c r="T31" i="74"/>
  <c r="X31" i="74" s="1"/>
  <c r="P31" i="74"/>
  <c r="N31" i="74"/>
  <c r="H31" i="74"/>
  <c r="D31" i="74"/>
  <c r="L31" i="74" s="1"/>
  <c r="B31" i="74"/>
  <c r="T30" i="74"/>
  <c r="P30" i="74"/>
  <c r="X30" i="74" s="1"/>
  <c r="Z30" i="74" s="1"/>
  <c r="H30" i="74"/>
  <c r="D30" i="74"/>
  <c r="L30" i="74" s="1"/>
  <c r="N30" i="74" s="1"/>
  <c r="B30" i="74"/>
  <c r="Z29" i="74"/>
  <c r="X29" i="74"/>
  <c r="T29" i="74"/>
  <c r="P29" i="74"/>
  <c r="H29" i="74"/>
  <c r="D29" i="74"/>
  <c r="L29" i="74" s="1"/>
  <c r="B29" i="74"/>
  <c r="X28" i="74"/>
  <c r="T28" i="74"/>
  <c r="P28" i="74"/>
  <c r="H28" i="74"/>
  <c r="D28" i="74"/>
  <c r="L28" i="74" s="1"/>
  <c r="N28" i="74" s="1"/>
  <c r="B28" i="74"/>
  <c r="T27" i="74"/>
  <c r="X27" i="74" s="1"/>
  <c r="Z27" i="74" s="1"/>
  <c r="P27" i="74"/>
  <c r="N27" i="74"/>
  <c r="H27" i="74"/>
  <c r="D27" i="74"/>
  <c r="L27" i="74" s="1"/>
  <c r="B27" i="74"/>
  <c r="T26" i="74"/>
  <c r="P26" i="74"/>
  <c r="X26" i="74" s="1"/>
  <c r="Z26" i="74" s="1"/>
  <c r="H26" i="74"/>
  <c r="D26" i="74"/>
  <c r="L26" i="74" s="1"/>
  <c r="N26" i="74" s="1"/>
  <c r="B26" i="74"/>
  <c r="X25" i="74"/>
  <c r="Z25" i="74" s="1"/>
  <c r="T25" i="74"/>
  <c r="P25" i="74"/>
  <c r="H25" i="74"/>
  <c r="D25" i="74"/>
  <c r="L25" i="74" s="1"/>
  <c r="B25" i="74"/>
  <c r="X24" i="74"/>
  <c r="T24" i="74"/>
  <c r="P24" i="74"/>
  <c r="H24" i="74"/>
  <c r="D24" i="74"/>
  <c r="L24" i="74" s="1"/>
  <c r="N24" i="74" s="1"/>
  <c r="B24" i="74"/>
  <c r="T23" i="74"/>
  <c r="X23" i="74" s="1"/>
  <c r="Z23" i="74" s="1"/>
  <c r="P23" i="74"/>
  <c r="N23" i="74"/>
  <c r="H23" i="74"/>
  <c r="D23" i="74"/>
  <c r="L23" i="74" s="1"/>
  <c r="B23" i="74"/>
  <c r="T22" i="74"/>
  <c r="P22" i="74"/>
  <c r="X22" i="74" s="1"/>
  <c r="Z22" i="74" s="1"/>
  <c r="H22" i="74"/>
  <c r="D22" i="74"/>
  <c r="L22" i="74" s="1"/>
  <c r="N22" i="74" s="1"/>
  <c r="B22" i="74"/>
  <c r="X21" i="74"/>
  <c r="Z21" i="74" s="1"/>
  <c r="T21" i="74"/>
  <c r="P21" i="74"/>
  <c r="H21" i="74"/>
  <c r="D21" i="74"/>
  <c r="L21" i="74" s="1"/>
  <c r="B21" i="74"/>
  <c r="X20" i="74"/>
  <c r="T20" i="74"/>
  <c r="P20" i="74"/>
  <c r="H20" i="74"/>
  <c r="D20" i="74"/>
  <c r="L20" i="74" s="1"/>
  <c r="N20" i="74" s="1"/>
  <c r="B20" i="74"/>
  <c r="T19" i="74"/>
  <c r="X19" i="74" s="1"/>
  <c r="Z19" i="74" s="1"/>
  <c r="P19" i="74"/>
  <c r="N19" i="74"/>
  <c r="H19" i="74"/>
  <c r="D19" i="74"/>
  <c r="L19" i="74" s="1"/>
  <c r="B19" i="74"/>
  <c r="T18" i="74"/>
  <c r="P18" i="74"/>
  <c r="X18" i="74" s="1"/>
  <c r="Z18" i="74" s="1"/>
  <c r="H18" i="74"/>
  <c r="D18" i="74"/>
  <c r="L18" i="74" s="1"/>
  <c r="N18" i="74" s="1"/>
  <c r="B18" i="74"/>
  <c r="X17" i="74"/>
  <c r="Z17" i="74" s="1"/>
  <c r="T17" i="74"/>
  <c r="P17" i="74"/>
  <c r="H17" i="74"/>
  <c r="D17" i="74"/>
  <c r="L17" i="74" s="1"/>
  <c r="B17" i="74"/>
  <c r="X16" i="74"/>
  <c r="T16" i="74"/>
  <c r="P16" i="74"/>
  <c r="H16" i="74"/>
  <c r="D16" i="74"/>
  <c r="L16" i="74" s="1"/>
  <c r="N16" i="74" s="1"/>
  <c r="B16" i="74"/>
  <c r="T15" i="74"/>
  <c r="X15" i="74" s="1"/>
  <c r="Z15" i="74" s="1"/>
  <c r="P15" i="74"/>
  <c r="N15" i="74"/>
  <c r="H15" i="74"/>
  <c r="D15" i="74"/>
  <c r="L15" i="74" s="1"/>
  <c r="B15" i="74"/>
  <c r="T14" i="74"/>
  <c r="P14" i="74"/>
  <c r="N14" i="74"/>
  <c r="H14" i="74"/>
  <c r="D14" i="74"/>
  <c r="L14" i="74" s="1"/>
  <c r="B14" i="74"/>
  <c r="X13" i="74"/>
  <c r="Z13" i="74" s="1"/>
  <c r="T13" i="74"/>
  <c r="T12" i="74" s="1"/>
  <c r="P13" i="74"/>
  <c r="H13" i="74"/>
  <c r="D13" i="74"/>
  <c r="B13" i="74"/>
  <c r="D6" i="74"/>
  <c r="D4" i="74"/>
  <c r="X84" i="73"/>
  <c r="Z84" i="73" s="1"/>
  <c r="L84" i="73"/>
  <c r="N84" i="73" s="1"/>
  <c r="T80" i="73"/>
  <c r="Z80" i="73" s="1"/>
  <c r="P80" i="73"/>
  <c r="X80" i="73" s="1"/>
  <c r="L80" i="73"/>
  <c r="H80" i="73"/>
  <c r="N80" i="73" s="1"/>
  <c r="D80" i="73"/>
  <c r="X78" i="73"/>
  <c r="Z78" i="73" s="1"/>
  <c r="R78" i="73"/>
  <c r="N78" i="73"/>
  <c r="L78" i="73"/>
  <c r="B78" i="73"/>
  <c r="Z77" i="73"/>
  <c r="X77" i="73"/>
  <c r="T77" i="73"/>
  <c r="P77" i="73"/>
  <c r="N77" i="73"/>
  <c r="L77" i="73"/>
  <c r="H77" i="73"/>
  <c r="D77" i="73"/>
  <c r="B77" i="73"/>
  <c r="Z76" i="73"/>
  <c r="X76" i="73"/>
  <c r="L76" i="73"/>
  <c r="N76" i="73" s="1"/>
  <c r="B76" i="73"/>
  <c r="T75" i="73"/>
  <c r="P75" i="73"/>
  <c r="X75" i="73" s="1"/>
  <c r="Z75" i="73" s="1"/>
  <c r="H75" i="73"/>
  <c r="D75" i="73"/>
  <c r="L75" i="73" s="1"/>
  <c r="B75" i="73"/>
  <c r="X74" i="73"/>
  <c r="Z74" i="73" s="1"/>
  <c r="N74" i="73"/>
  <c r="L74" i="73"/>
  <c r="B74" i="73"/>
  <c r="Z73" i="73"/>
  <c r="X73" i="73"/>
  <c r="N73" i="73"/>
  <c r="L73" i="73"/>
  <c r="B73" i="73"/>
  <c r="Z72" i="73"/>
  <c r="X72" i="73"/>
  <c r="N72" i="73"/>
  <c r="L72" i="73"/>
  <c r="B72" i="73"/>
  <c r="X71" i="73"/>
  <c r="Z71" i="73" s="1"/>
  <c r="N71" i="73"/>
  <c r="L71" i="73"/>
  <c r="B71" i="73"/>
  <c r="X70" i="73"/>
  <c r="Z70" i="73" s="1"/>
  <c r="N70" i="73"/>
  <c r="L70" i="73"/>
  <c r="B70" i="73"/>
  <c r="Z69" i="73"/>
  <c r="X69" i="73"/>
  <c r="N69" i="73"/>
  <c r="L69" i="73"/>
  <c r="B69" i="73"/>
  <c r="X68" i="73"/>
  <c r="T68" i="73"/>
  <c r="P68" i="73"/>
  <c r="H68" i="73"/>
  <c r="D68" i="73"/>
  <c r="L68" i="73" s="1"/>
  <c r="B68" i="73"/>
  <c r="Z67" i="73"/>
  <c r="X67" i="73"/>
  <c r="N67" i="73"/>
  <c r="L67" i="73"/>
  <c r="B67" i="73"/>
  <c r="X66" i="73"/>
  <c r="Z66" i="73" s="1"/>
  <c r="R66" i="73"/>
  <c r="N66" i="73"/>
  <c r="L66" i="73"/>
  <c r="B66" i="73"/>
  <c r="X65" i="73"/>
  <c r="Z65" i="73" s="1"/>
  <c r="T65" i="73"/>
  <c r="P65" i="73"/>
  <c r="N65" i="73"/>
  <c r="L65" i="73"/>
  <c r="H65" i="73"/>
  <c r="D65" i="73"/>
  <c r="B65" i="73"/>
  <c r="Z64" i="73"/>
  <c r="X64" i="73"/>
  <c r="L64" i="73"/>
  <c r="N64" i="73" s="1"/>
  <c r="B64" i="73"/>
  <c r="Z63" i="73"/>
  <c r="X63" i="73"/>
  <c r="L63" i="73"/>
  <c r="N63" i="73" s="1"/>
  <c r="B63" i="73"/>
  <c r="T62" i="73"/>
  <c r="P62" i="73"/>
  <c r="H62" i="73"/>
  <c r="N62" i="73" s="1"/>
  <c r="D62" i="73"/>
  <c r="L62" i="73" s="1"/>
  <c r="B62" i="73"/>
  <c r="Z61" i="73"/>
  <c r="X61" i="73"/>
  <c r="L61" i="73"/>
  <c r="N61" i="73" s="1"/>
  <c r="B61" i="73"/>
  <c r="X60" i="73"/>
  <c r="Z60" i="73" s="1"/>
  <c r="N60" i="73"/>
  <c r="L60" i="73"/>
  <c r="B60" i="73"/>
  <c r="Z59" i="73"/>
  <c r="X59" i="73"/>
  <c r="N59" i="73"/>
  <c r="L59" i="73"/>
  <c r="B59" i="73"/>
  <c r="T58" i="73"/>
  <c r="P58" i="73"/>
  <c r="X58" i="73" s="1"/>
  <c r="H58" i="73"/>
  <c r="D58" i="73"/>
  <c r="L58" i="73" s="1"/>
  <c r="B58" i="73"/>
  <c r="X57" i="73"/>
  <c r="Z57" i="73" s="1"/>
  <c r="N57" i="73"/>
  <c r="L57" i="73"/>
  <c r="B57" i="73"/>
  <c r="X56" i="73"/>
  <c r="T56" i="73"/>
  <c r="P56" i="73"/>
  <c r="H56" i="73"/>
  <c r="D56" i="73"/>
  <c r="L56" i="73" s="1"/>
  <c r="B56" i="73"/>
  <c r="Z55" i="73"/>
  <c r="X55" i="73"/>
  <c r="N55" i="73"/>
  <c r="L55" i="73"/>
  <c r="B55" i="73"/>
  <c r="T54" i="73"/>
  <c r="P54" i="73"/>
  <c r="H54" i="73"/>
  <c r="D54" i="73"/>
  <c r="L54" i="73" s="1"/>
  <c r="B54" i="73"/>
  <c r="Z53" i="73"/>
  <c r="X53" i="73"/>
  <c r="L53" i="73"/>
  <c r="N53" i="73" s="1"/>
  <c r="B53" i="73"/>
  <c r="T52" i="73"/>
  <c r="P52" i="73"/>
  <c r="X52" i="73" s="1"/>
  <c r="H52" i="73"/>
  <c r="N52" i="73" s="1"/>
  <c r="D52" i="73"/>
  <c r="L52" i="73" s="1"/>
  <c r="B52" i="73"/>
  <c r="Z51" i="73"/>
  <c r="X51" i="73"/>
  <c r="N51" i="73"/>
  <c r="L51" i="73"/>
  <c r="B51" i="73"/>
  <c r="T50" i="73"/>
  <c r="P50" i="73"/>
  <c r="L50" i="73"/>
  <c r="H50" i="73"/>
  <c r="N50" i="73" s="1"/>
  <c r="D50" i="73"/>
  <c r="B50" i="73"/>
  <c r="Z49" i="73"/>
  <c r="X49" i="73"/>
  <c r="N49" i="73"/>
  <c r="L49" i="73"/>
  <c r="B49" i="73"/>
  <c r="T48" i="73"/>
  <c r="P48" i="73"/>
  <c r="X48" i="73" s="1"/>
  <c r="H48" i="73"/>
  <c r="D48" i="73"/>
  <c r="B48" i="73"/>
  <c r="X47" i="73"/>
  <c r="Z47" i="73" s="1"/>
  <c r="N47" i="73"/>
  <c r="L47" i="73"/>
  <c r="B47" i="73"/>
  <c r="T46" i="73"/>
  <c r="Z46" i="73" s="1"/>
  <c r="P46" i="73"/>
  <c r="X46" i="73" s="1"/>
  <c r="L46" i="73"/>
  <c r="H46" i="73"/>
  <c r="D46" i="73"/>
  <c r="B46" i="73"/>
  <c r="X45" i="73"/>
  <c r="Z45" i="73" s="1"/>
  <c r="N45" i="73"/>
  <c r="L45" i="73"/>
  <c r="B45" i="73"/>
  <c r="X44" i="73"/>
  <c r="T44" i="73"/>
  <c r="P44" i="73"/>
  <c r="H44" i="73"/>
  <c r="N44" i="73" s="1"/>
  <c r="D44" i="73"/>
  <c r="B44" i="73"/>
  <c r="Z43" i="73"/>
  <c r="X43" i="73"/>
  <c r="L43" i="73"/>
  <c r="N43" i="73" s="1"/>
  <c r="B43" i="73"/>
  <c r="X42" i="73"/>
  <c r="Z42" i="73" s="1"/>
  <c r="R42" i="73"/>
  <c r="L42" i="73"/>
  <c r="N42" i="73" s="1"/>
  <c r="B42" i="73"/>
  <c r="Z41" i="73"/>
  <c r="X41" i="73"/>
  <c r="N41" i="73"/>
  <c r="L41" i="73"/>
  <c r="B41" i="73"/>
  <c r="Z40" i="73"/>
  <c r="X40" i="73"/>
  <c r="L40" i="73"/>
  <c r="N40" i="73" s="1"/>
  <c r="B40" i="73"/>
  <c r="Z39" i="73"/>
  <c r="X39" i="73"/>
  <c r="L39" i="73"/>
  <c r="N39" i="73" s="1"/>
  <c r="B39" i="73"/>
  <c r="T38" i="73"/>
  <c r="P38" i="73"/>
  <c r="H38" i="73"/>
  <c r="N38" i="73" s="1"/>
  <c r="D38" i="73"/>
  <c r="L38" i="73" s="1"/>
  <c r="B38" i="73"/>
  <c r="Z37" i="73"/>
  <c r="X37" i="73"/>
  <c r="N37" i="73"/>
  <c r="L37" i="73"/>
  <c r="B37" i="73"/>
  <c r="X36" i="73"/>
  <c r="Z36" i="73" s="1"/>
  <c r="L36" i="73"/>
  <c r="N36" i="73" s="1"/>
  <c r="B36" i="73"/>
  <c r="X35" i="73"/>
  <c r="Z35" i="73" s="1"/>
  <c r="N35" i="73"/>
  <c r="L35" i="73"/>
  <c r="B35" i="73"/>
  <c r="X34" i="73"/>
  <c r="Z34" i="73" s="1"/>
  <c r="N34" i="73"/>
  <c r="L34" i="73"/>
  <c r="B34" i="73"/>
  <c r="Z33" i="73"/>
  <c r="X33" i="73"/>
  <c r="L33" i="73"/>
  <c r="N33" i="73" s="1"/>
  <c r="B33" i="73"/>
  <c r="X32" i="73"/>
  <c r="Z32" i="73" s="1"/>
  <c r="L32" i="73"/>
  <c r="N32" i="73" s="1"/>
  <c r="B32" i="73"/>
  <c r="X31" i="73"/>
  <c r="Z31" i="73" s="1"/>
  <c r="N31" i="73"/>
  <c r="L31" i="73"/>
  <c r="B31" i="73"/>
  <c r="X30" i="73"/>
  <c r="Z30" i="73" s="1"/>
  <c r="N30" i="73"/>
  <c r="L30" i="73"/>
  <c r="B30" i="73"/>
  <c r="T29" i="73"/>
  <c r="P29" i="73"/>
  <c r="X29" i="73" s="1"/>
  <c r="Z29" i="73" s="1"/>
  <c r="H29" i="73"/>
  <c r="N29" i="73" s="1"/>
  <c r="D29" i="73"/>
  <c r="L29" i="73" s="1"/>
  <c r="B29" i="73"/>
  <c r="X28" i="73"/>
  <c r="T28" i="73"/>
  <c r="Z28" i="73" s="1"/>
  <c r="P28" i="73"/>
  <c r="H28" i="73"/>
  <c r="D28" i="73"/>
  <c r="X24" i="73"/>
  <c r="Z24" i="73" s="1"/>
  <c r="L24" i="73"/>
  <c r="N24" i="73" s="1"/>
  <c r="B24" i="73"/>
  <c r="Z23" i="73"/>
  <c r="X23" i="73"/>
  <c r="N23" i="73"/>
  <c r="L23" i="73"/>
  <c r="B23" i="73"/>
  <c r="T22" i="73"/>
  <c r="P22" i="73"/>
  <c r="L22" i="73"/>
  <c r="H22" i="73"/>
  <c r="D22" i="73"/>
  <c r="T20" i="73"/>
  <c r="Z20" i="73" s="1"/>
  <c r="P20" i="73"/>
  <c r="X20" i="73" s="1"/>
  <c r="N20" i="73"/>
  <c r="H20" i="73"/>
  <c r="D20" i="73"/>
  <c r="L20" i="73" s="1"/>
  <c r="B20" i="73"/>
  <c r="T19" i="73"/>
  <c r="P19" i="73"/>
  <c r="X19" i="73" s="1"/>
  <c r="H19" i="73"/>
  <c r="D19" i="73"/>
  <c r="L19" i="73" s="1"/>
  <c r="B19" i="73"/>
  <c r="X18" i="73"/>
  <c r="T18" i="73"/>
  <c r="Z18" i="73" s="1"/>
  <c r="P18" i="73"/>
  <c r="L18" i="73"/>
  <c r="H18" i="73"/>
  <c r="N18" i="73" s="1"/>
  <c r="D18" i="73"/>
  <c r="B18" i="73"/>
  <c r="Z17" i="73"/>
  <c r="T17" i="73"/>
  <c r="X17" i="73" s="1"/>
  <c r="P17" i="73"/>
  <c r="N17" i="73"/>
  <c r="H17" i="73"/>
  <c r="L17" i="73" s="1"/>
  <c r="D17" i="73"/>
  <c r="B17" i="73"/>
  <c r="T16" i="73"/>
  <c r="Z16" i="73" s="1"/>
  <c r="P16" i="73"/>
  <c r="X16" i="73" s="1"/>
  <c r="H16" i="73"/>
  <c r="D16" i="73"/>
  <c r="L16" i="73" s="1"/>
  <c r="N16" i="73" s="1"/>
  <c r="B16" i="73"/>
  <c r="T15" i="73"/>
  <c r="P15" i="73"/>
  <c r="X15" i="73" s="1"/>
  <c r="H15" i="73"/>
  <c r="D15" i="73"/>
  <c r="L15" i="73" s="1"/>
  <c r="B15" i="73"/>
  <c r="X14" i="73"/>
  <c r="T14" i="73"/>
  <c r="Z14" i="73" s="1"/>
  <c r="P14" i="73"/>
  <c r="L14" i="73"/>
  <c r="H14" i="73"/>
  <c r="N14" i="73" s="1"/>
  <c r="D14" i="73"/>
  <c r="B14" i="73"/>
  <c r="T13" i="73"/>
  <c r="T12" i="73" s="1"/>
  <c r="P13" i="73"/>
  <c r="N13" i="73"/>
  <c r="H13" i="73"/>
  <c r="L13" i="73" s="1"/>
  <c r="D13" i="73"/>
  <c r="B13" i="73"/>
  <c r="P12" i="73"/>
  <c r="D6" i="73"/>
  <c r="D4" i="73"/>
  <c r="X120" i="71"/>
  <c r="Z120" i="71" s="1"/>
  <c r="L120" i="71"/>
  <c r="N120" i="71" s="1"/>
  <c r="T116" i="71"/>
  <c r="P116" i="71"/>
  <c r="X116" i="71" s="1"/>
  <c r="L116" i="71"/>
  <c r="H116" i="71"/>
  <c r="N116" i="71" s="1"/>
  <c r="D116" i="71"/>
  <c r="D113" i="71" s="1"/>
  <c r="B116" i="71"/>
  <c r="T115" i="71"/>
  <c r="Z115" i="71" s="1"/>
  <c r="P115" i="71"/>
  <c r="X115" i="71" s="1"/>
  <c r="N115" i="71"/>
  <c r="H115" i="71"/>
  <c r="D115" i="71"/>
  <c r="L115" i="71" s="1"/>
  <c r="B115" i="71"/>
  <c r="T114" i="71"/>
  <c r="P114" i="71"/>
  <c r="H114" i="71"/>
  <c r="D114" i="71"/>
  <c r="B114" i="71"/>
  <c r="Z111" i="71"/>
  <c r="X111" i="71"/>
  <c r="N111" i="71"/>
  <c r="L111" i="71"/>
  <c r="B111" i="71"/>
  <c r="T110" i="71"/>
  <c r="P110" i="71"/>
  <c r="L110" i="71"/>
  <c r="H110" i="71"/>
  <c r="N110" i="71" s="1"/>
  <c r="D110" i="71"/>
  <c r="B110" i="71"/>
  <c r="X109" i="71"/>
  <c r="Z109" i="71" s="1"/>
  <c r="N109" i="71"/>
  <c r="L109" i="71"/>
  <c r="B109" i="71"/>
  <c r="T108" i="71"/>
  <c r="Z108" i="71" s="1"/>
  <c r="P108" i="71"/>
  <c r="X108" i="71" s="1"/>
  <c r="L108" i="71"/>
  <c r="H108" i="71"/>
  <c r="N108" i="71" s="1"/>
  <c r="D108" i="71"/>
  <c r="B108" i="71"/>
  <c r="Z107" i="71"/>
  <c r="X107" i="71"/>
  <c r="N107" i="71"/>
  <c r="L107" i="71"/>
  <c r="B107" i="71"/>
  <c r="X106" i="71"/>
  <c r="Z106" i="71" s="1"/>
  <c r="N106" i="71"/>
  <c r="L106" i="71"/>
  <c r="B106" i="71"/>
  <c r="T105" i="71"/>
  <c r="P105" i="71"/>
  <c r="X105" i="71" s="1"/>
  <c r="Z105" i="71" s="1"/>
  <c r="H105" i="71"/>
  <c r="D105" i="71"/>
  <c r="L105" i="71" s="1"/>
  <c r="N105" i="71" s="1"/>
  <c r="B105" i="71"/>
  <c r="X104" i="71"/>
  <c r="Z104" i="71" s="1"/>
  <c r="L104" i="71"/>
  <c r="N104" i="71" s="1"/>
  <c r="B104" i="71"/>
  <c r="Z103" i="71"/>
  <c r="X103" i="71"/>
  <c r="N103" i="71"/>
  <c r="L103" i="71"/>
  <c r="B103" i="71"/>
  <c r="Z102" i="71"/>
  <c r="X102" i="71"/>
  <c r="L102" i="71"/>
  <c r="N102" i="71" s="1"/>
  <c r="B102" i="71"/>
  <c r="Z101" i="71"/>
  <c r="X101" i="71"/>
  <c r="N101" i="71"/>
  <c r="L101" i="71"/>
  <c r="B101" i="71"/>
  <c r="X100" i="71"/>
  <c r="T100" i="71"/>
  <c r="Z100" i="71" s="1"/>
  <c r="P100" i="71"/>
  <c r="H100" i="71"/>
  <c r="D100" i="71"/>
  <c r="L100" i="71" s="1"/>
  <c r="B100" i="71"/>
  <c r="Z99" i="71"/>
  <c r="X99" i="71"/>
  <c r="N99" i="71"/>
  <c r="L99" i="71"/>
  <c r="B99" i="71"/>
  <c r="X98" i="71"/>
  <c r="Z98" i="71" s="1"/>
  <c r="N98" i="71"/>
  <c r="L98" i="71"/>
  <c r="B98" i="71"/>
  <c r="T97" i="71"/>
  <c r="P97" i="71"/>
  <c r="X97" i="71" s="1"/>
  <c r="N97" i="71"/>
  <c r="L97" i="71"/>
  <c r="H97" i="71"/>
  <c r="D97" i="71"/>
  <c r="B97" i="71"/>
  <c r="X96" i="71"/>
  <c r="Z96" i="71" s="1"/>
  <c r="L96" i="71"/>
  <c r="N96" i="71" s="1"/>
  <c r="B96" i="71"/>
  <c r="Z95" i="71"/>
  <c r="X95" i="71"/>
  <c r="N95" i="71"/>
  <c r="L95" i="71"/>
  <c r="B95" i="71"/>
  <c r="T94" i="71"/>
  <c r="Z94" i="71" s="1"/>
  <c r="P94" i="71"/>
  <c r="X94" i="71" s="1"/>
  <c r="L94" i="71"/>
  <c r="H94" i="71"/>
  <c r="D94" i="71"/>
  <c r="B94" i="71"/>
  <c r="X93" i="71"/>
  <c r="Z93" i="71" s="1"/>
  <c r="N93" i="71"/>
  <c r="L93" i="71"/>
  <c r="B93" i="71"/>
  <c r="X92" i="71"/>
  <c r="T92" i="71"/>
  <c r="P92" i="71"/>
  <c r="H92" i="71"/>
  <c r="D92" i="71"/>
  <c r="B92" i="71"/>
  <c r="Z91" i="71"/>
  <c r="X91" i="71"/>
  <c r="N91" i="71"/>
  <c r="L91" i="71"/>
  <c r="B91" i="71"/>
  <c r="T90" i="71"/>
  <c r="P90" i="71"/>
  <c r="H90" i="71"/>
  <c r="N90" i="71" s="1"/>
  <c r="D90" i="71"/>
  <c r="L90" i="71" s="1"/>
  <c r="B90" i="71"/>
  <c r="Z89" i="71"/>
  <c r="X89" i="71"/>
  <c r="N89" i="71"/>
  <c r="L89" i="71"/>
  <c r="B89" i="71"/>
  <c r="X88" i="71"/>
  <c r="Z88" i="71" s="1"/>
  <c r="L88" i="71"/>
  <c r="N88" i="71" s="1"/>
  <c r="B88" i="71"/>
  <c r="T87" i="71"/>
  <c r="P87" i="71"/>
  <c r="X87" i="71" s="1"/>
  <c r="Z87" i="71" s="1"/>
  <c r="N87" i="71"/>
  <c r="H87" i="71"/>
  <c r="D87" i="71"/>
  <c r="L87" i="71" s="1"/>
  <c r="B87" i="71"/>
  <c r="X86" i="71"/>
  <c r="Z86" i="71" s="1"/>
  <c r="L86" i="71"/>
  <c r="N86" i="71" s="1"/>
  <c r="B86" i="71"/>
  <c r="X85" i="71"/>
  <c r="T85" i="71"/>
  <c r="Z85" i="71" s="1"/>
  <c r="P85" i="71"/>
  <c r="N85" i="71"/>
  <c r="H85" i="71"/>
  <c r="D85" i="71"/>
  <c r="L85" i="71" s="1"/>
  <c r="B85" i="71"/>
  <c r="X84" i="71"/>
  <c r="Z84" i="71" s="1"/>
  <c r="N84" i="71"/>
  <c r="L84" i="71"/>
  <c r="B84" i="71"/>
  <c r="Z83" i="71"/>
  <c r="X83" i="71"/>
  <c r="T83" i="71"/>
  <c r="P83" i="71"/>
  <c r="H83" i="71"/>
  <c r="N83" i="71" s="1"/>
  <c r="D83" i="71"/>
  <c r="L83" i="71" s="1"/>
  <c r="B83" i="71"/>
  <c r="Z82" i="71"/>
  <c r="X82" i="71"/>
  <c r="L82" i="71"/>
  <c r="N82" i="71" s="1"/>
  <c r="B82" i="71"/>
  <c r="Z81" i="71"/>
  <c r="X81" i="71"/>
  <c r="L81" i="71"/>
  <c r="N81" i="71" s="1"/>
  <c r="B81" i="71"/>
  <c r="T80" i="71"/>
  <c r="P80" i="71"/>
  <c r="X80" i="71" s="1"/>
  <c r="H80" i="71"/>
  <c r="D80" i="71"/>
  <c r="L80" i="71" s="1"/>
  <c r="N80" i="71" s="1"/>
  <c r="B80" i="71"/>
  <c r="Z79" i="71"/>
  <c r="X79" i="71"/>
  <c r="N79" i="71"/>
  <c r="L79" i="71"/>
  <c r="B79" i="71"/>
  <c r="T78" i="71"/>
  <c r="P78" i="71"/>
  <c r="L78" i="71"/>
  <c r="H78" i="71"/>
  <c r="D78" i="71"/>
  <c r="B78" i="71"/>
  <c r="Z77" i="71"/>
  <c r="X77" i="71"/>
  <c r="N77" i="71"/>
  <c r="L77" i="71"/>
  <c r="B77" i="71"/>
  <c r="X76" i="71"/>
  <c r="Z76" i="71" s="1"/>
  <c r="N76" i="71"/>
  <c r="L76" i="71"/>
  <c r="B76" i="71"/>
  <c r="Z75" i="71"/>
  <c r="X75" i="71"/>
  <c r="N75" i="71"/>
  <c r="L75" i="71"/>
  <c r="B75" i="71"/>
  <c r="X74" i="71"/>
  <c r="Z74" i="71" s="1"/>
  <c r="L74" i="71"/>
  <c r="N74" i="71" s="1"/>
  <c r="B74" i="71"/>
  <c r="X73" i="71"/>
  <c r="Z73" i="71" s="1"/>
  <c r="N73" i="71"/>
  <c r="L73" i="71"/>
  <c r="B73" i="71"/>
  <c r="T72" i="71"/>
  <c r="Z72" i="71" s="1"/>
  <c r="P72" i="71"/>
  <c r="X72" i="71" s="1"/>
  <c r="L72" i="71"/>
  <c r="H72" i="71"/>
  <c r="D72" i="71"/>
  <c r="B72" i="71"/>
  <c r="X71" i="71"/>
  <c r="Z71" i="71" s="1"/>
  <c r="N71" i="71"/>
  <c r="L71" i="71"/>
  <c r="B71" i="71"/>
  <c r="X70" i="71"/>
  <c r="Z70" i="71" s="1"/>
  <c r="N70" i="71"/>
  <c r="L70" i="71"/>
  <c r="B70" i="71"/>
  <c r="Z69" i="71"/>
  <c r="X69" i="71"/>
  <c r="N69" i="71"/>
  <c r="L69" i="71"/>
  <c r="B69" i="71"/>
  <c r="X68" i="71"/>
  <c r="Z68" i="71" s="1"/>
  <c r="L68" i="71"/>
  <c r="N68" i="71" s="1"/>
  <c r="B68" i="71"/>
  <c r="X67" i="71"/>
  <c r="Z67" i="71" s="1"/>
  <c r="N67" i="71"/>
  <c r="L67" i="71"/>
  <c r="B67" i="71"/>
  <c r="X66" i="71"/>
  <c r="Z66" i="71" s="1"/>
  <c r="L66" i="71"/>
  <c r="N66" i="71" s="1"/>
  <c r="B66" i="71"/>
  <c r="Z65" i="71"/>
  <c r="X65" i="71"/>
  <c r="N65" i="71"/>
  <c r="L65" i="71"/>
  <c r="B65" i="71"/>
  <c r="X64" i="71"/>
  <c r="Z64" i="71" s="1"/>
  <c r="L64" i="71"/>
  <c r="N64" i="71" s="1"/>
  <c r="B64" i="71"/>
  <c r="X63" i="71"/>
  <c r="Z63" i="71" s="1"/>
  <c r="N63" i="71"/>
  <c r="L63" i="71"/>
  <c r="B63" i="71"/>
  <c r="T62" i="71"/>
  <c r="Z62" i="71" s="1"/>
  <c r="P62" i="71"/>
  <c r="X62" i="71" s="1"/>
  <c r="H62" i="71"/>
  <c r="D62" i="71"/>
  <c r="L62" i="71" s="1"/>
  <c r="B62" i="71"/>
  <c r="T61" i="71"/>
  <c r="Z61" i="71" s="1"/>
  <c r="P61" i="71"/>
  <c r="X61" i="71" s="1"/>
  <c r="H61" i="71"/>
  <c r="D61" i="71"/>
  <c r="L61" i="71" s="1"/>
  <c r="N61" i="71" s="1"/>
  <c r="Z57" i="71"/>
  <c r="X57" i="71"/>
  <c r="N57" i="71"/>
  <c r="L57" i="71"/>
  <c r="B57" i="71"/>
  <c r="X56" i="71"/>
  <c r="Z56" i="71" s="1"/>
  <c r="N56" i="71"/>
  <c r="L56" i="71"/>
  <c r="B56" i="71"/>
  <c r="Z55" i="71"/>
  <c r="X55" i="71"/>
  <c r="N55" i="71"/>
  <c r="L55" i="71"/>
  <c r="B55" i="71"/>
  <c r="Z54" i="71"/>
  <c r="X54" i="71"/>
  <c r="L54" i="71"/>
  <c r="N54" i="71" s="1"/>
  <c r="B54" i="71"/>
  <c r="Z53" i="71"/>
  <c r="X53" i="71"/>
  <c r="L53" i="71"/>
  <c r="N53" i="71" s="1"/>
  <c r="B53" i="71"/>
  <c r="X52" i="71"/>
  <c r="Z52" i="71" s="1"/>
  <c r="N52" i="71"/>
  <c r="L52" i="71"/>
  <c r="B52" i="71"/>
  <c r="Z51" i="71"/>
  <c r="X51" i="71"/>
  <c r="N51" i="71"/>
  <c r="L51" i="71"/>
  <c r="B51" i="71"/>
  <c r="Z50" i="71"/>
  <c r="X50" i="71"/>
  <c r="L50" i="71"/>
  <c r="N50" i="71" s="1"/>
  <c r="B50" i="71"/>
  <c r="Z49" i="71"/>
  <c r="X49" i="71"/>
  <c r="L49" i="71"/>
  <c r="N49" i="71" s="1"/>
  <c r="B49" i="71"/>
  <c r="X48" i="71"/>
  <c r="Z48" i="71" s="1"/>
  <c r="L48" i="71"/>
  <c r="N48" i="71" s="1"/>
  <c r="B48" i="71"/>
  <c r="Z47" i="71"/>
  <c r="X47" i="71"/>
  <c r="N47" i="71"/>
  <c r="L47" i="71"/>
  <c r="B47" i="71"/>
  <c r="Z46" i="71"/>
  <c r="X46" i="71"/>
  <c r="L46" i="71"/>
  <c r="N46" i="71" s="1"/>
  <c r="B46" i="71"/>
  <c r="X45" i="71"/>
  <c r="Z45" i="71" s="1"/>
  <c r="L45" i="71"/>
  <c r="N45" i="71" s="1"/>
  <c r="B45" i="71"/>
  <c r="X44" i="71"/>
  <c r="Z44" i="71" s="1"/>
  <c r="L44" i="71"/>
  <c r="N44" i="71" s="1"/>
  <c r="B44" i="71"/>
  <c r="Z43" i="71"/>
  <c r="X43" i="71"/>
  <c r="N43" i="71"/>
  <c r="L43" i="71"/>
  <c r="B43" i="71"/>
  <c r="Z42" i="71"/>
  <c r="X42" i="71"/>
  <c r="L42" i="71"/>
  <c r="N42" i="71" s="1"/>
  <c r="B42" i="71"/>
  <c r="T41" i="71"/>
  <c r="P41" i="71"/>
  <c r="X41" i="71" s="1"/>
  <c r="N41" i="71"/>
  <c r="H41" i="71"/>
  <c r="D41" i="71"/>
  <c r="L41" i="71" s="1"/>
  <c r="T39" i="71"/>
  <c r="Z39" i="71" s="1"/>
  <c r="P39" i="71"/>
  <c r="X39" i="71" s="1"/>
  <c r="H39" i="71"/>
  <c r="D39" i="71"/>
  <c r="B39" i="71"/>
  <c r="X38" i="71"/>
  <c r="T38" i="71"/>
  <c r="Z38" i="71" s="1"/>
  <c r="P38" i="71"/>
  <c r="H38" i="71"/>
  <c r="D38" i="71"/>
  <c r="B38" i="71"/>
  <c r="T37" i="71"/>
  <c r="P37" i="71"/>
  <c r="N37" i="71"/>
  <c r="L37" i="71"/>
  <c r="H37" i="71"/>
  <c r="D37" i="71"/>
  <c r="B37" i="71"/>
  <c r="T36" i="71"/>
  <c r="Z36" i="71" s="1"/>
  <c r="P36" i="71"/>
  <c r="X36" i="71" s="1"/>
  <c r="L36" i="71"/>
  <c r="H36" i="71"/>
  <c r="D36" i="71"/>
  <c r="B36" i="71"/>
  <c r="T35" i="71"/>
  <c r="Z35" i="71" s="1"/>
  <c r="P35" i="71"/>
  <c r="X35" i="71" s="1"/>
  <c r="H35" i="71"/>
  <c r="D35" i="71"/>
  <c r="B35" i="71"/>
  <c r="X34" i="71"/>
  <c r="T34" i="71"/>
  <c r="Z34" i="71" s="1"/>
  <c r="P34" i="71"/>
  <c r="H34" i="71"/>
  <c r="D34" i="71"/>
  <c r="B34" i="71"/>
  <c r="T33" i="71"/>
  <c r="P33" i="71"/>
  <c r="N33" i="71"/>
  <c r="L33" i="71"/>
  <c r="H33" i="71"/>
  <c r="D33" i="71"/>
  <c r="B33" i="71"/>
  <c r="T32" i="71"/>
  <c r="P32" i="71"/>
  <c r="X32" i="71" s="1"/>
  <c r="H32" i="71"/>
  <c r="D32" i="71"/>
  <c r="L32" i="71" s="1"/>
  <c r="B32" i="71"/>
  <c r="T31" i="71"/>
  <c r="P31" i="71"/>
  <c r="X31" i="71" s="1"/>
  <c r="H31" i="71"/>
  <c r="D31" i="71"/>
  <c r="B31" i="71"/>
  <c r="X30" i="71"/>
  <c r="T30" i="71"/>
  <c r="P30" i="71"/>
  <c r="H30" i="71"/>
  <c r="N30" i="71" s="1"/>
  <c r="D30" i="71"/>
  <c r="B30" i="71"/>
  <c r="T29" i="71"/>
  <c r="P29" i="71"/>
  <c r="X29" i="71" s="1"/>
  <c r="Z29" i="71" s="1"/>
  <c r="N29" i="71"/>
  <c r="L29" i="71"/>
  <c r="H29" i="71"/>
  <c r="D29" i="71"/>
  <c r="B29" i="71"/>
  <c r="T28" i="71"/>
  <c r="Z28" i="71" s="1"/>
  <c r="P28" i="71"/>
  <c r="X28" i="71" s="1"/>
  <c r="L28" i="71"/>
  <c r="H28" i="71"/>
  <c r="D28" i="71"/>
  <c r="B28" i="71"/>
  <c r="T27" i="71"/>
  <c r="Z27" i="71" s="1"/>
  <c r="P27" i="71"/>
  <c r="X27" i="71" s="1"/>
  <c r="H27" i="71"/>
  <c r="D27" i="71"/>
  <c r="B27" i="71"/>
  <c r="X26" i="71"/>
  <c r="T26" i="71"/>
  <c r="Z26" i="71" s="1"/>
  <c r="P26" i="71"/>
  <c r="H26" i="71"/>
  <c r="N26" i="71" s="1"/>
  <c r="D26" i="71"/>
  <c r="B26" i="71"/>
  <c r="T25" i="71"/>
  <c r="P25" i="71"/>
  <c r="N25" i="71"/>
  <c r="L25" i="71"/>
  <c r="H25" i="71"/>
  <c r="D25" i="71"/>
  <c r="B25" i="71"/>
  <c r="T24" i="71"/>
  <c r="P24" i="71"/>
  <c r="X24" i="71" s="1"/>
  <c r="L24" i="71"/>
  <c r="H24" i="71"/>
  <c r="D24" i="71"/>
  <c r="B24" i="71"/>
  <c r="T23" i="71"/>
  <c r="Z23" i="71" s="1"/>
  <c r="P23" i="71"/>
  <c r="X23" i="71" s="1"/>
  <c r="H23" i="71"/>
  <c r="D23" i="71"/>
  <c r="B23" i="71"/>
  <c r="X22" i="71"/>
  <c r="T22" i="71"/>
  <c r="P22" i="71"/>
  <c r="L22" i="71"/>
  <c r="H22" i="71"/>
  <c r="N22" i="71" s="1"/>
  <c r="D22" i="71"/>
  <c r="B22" i="71"/>
  <c r="T21" i="71"/>
  <c r="P21" i="71"/>
  <c r="X21" i="71" s="1"/>
  <c r="Z21" i="71" s="1"/>
  <c r="N21" i="71"/>
  <c r="L21" i="71"/>
  <c r="H21" i="71"/>
  <c r="D21" i="71"/>
  <c r="B21" i="71"/>
  <c r="T20" i="71"/>
  <c r="Z20" i="71" s="1"/>
  <c r="P20" i="71"/>
  <c r="X20" i="71" s="1"/>
  <c r="H20" i="71"/>
  <c r="D20" i="71"/>
  <c r="L20" i="71" s="1"/>
  <c r="B20" i="71"/>
  <c r="T19" i="71"/>
  <c r="Z19" i="71" s="1"/>
  <c r="P19" i="71"/>
  <c r="X19" i="71" s="1"/>
  <c r="H19" i="71"/>
  <c r="D19" i="71"/>
  <c r="B19" i="71"/>
  <c r="X18" i="71"/>
  <c r="T18" i="71"/>
  <c r="Z18" i="71" s="1"/>
  <c r="P18" i="71"/>
  <c r="L18" i="71"/>
  <c r="H18" i="71"/>
  <c r="N18" i="71" s="1"/>
  <c r="D18" i="71"/>
  <c r="B18" i="71"/>
  <c r="T17" i="71"/>
  <c r="P17" i="71"/>
  <c r="N17" i="71"/>
  <c r="L17" i="71"/>
  <c r="H17" i="71"/>
  <c r="D17" i="71"/>
  <c r="B17" i="71"/>
  <c r="T16" i="71"/>
  <c r="P16" i="71"/>
  <c r="H16" i="71"/>
  <c r="D16" i="71"/>
  <c r="B16" i="71"/>
  <c r="T15" i="71"/>
  <c r="P15" i="71"/>
  <c r="X15" i="71" s="1"/>
  <c r="H15" i="71"/>
  <c r="D15" i="71"/>
  <c r="B15" i="71"/>
  <c r="X14" i="71"/>
  <c r="T14" i="71"/>
  <c r="P14" i="71"/>
  <c r="L14" i="71"/>
  <c r="H14" i="71"/>
  <c r="N14" i="71" s="1"/>
  <c r="D14" i="71"/>
  <c r="B14" i="71"/>
  <c r="T13" i="71"/>
  <c r="P13" i="71"/>
  <c r="N13" i="71"/>
  <c r="L13" i="71"/>
  <c r="H13" i="71"/>
  <c r="D13" i="71"/>
  <c r="B13" i="71"/>
  <c r="D6" i="71"/>
  <c r="D4" i="71"/>
  <c r="X75" i="70"/>
  <c r="Z75" i="70" s="1"/>
  <c r="L75" i="70"/>
  <c r="N75" i="70" s="1"/>
  <c r="X71" i="70"/>
  <c r="T71" i="70"/>
  <c r="Z71" i="70" s="1"/>
  <c r="P71" i="70"/>
  <c r="H71" i="70"/>
  <c r="N71" i="70" s="1"/>
  <c r="D71" i="70"/>
  <c r="L71" i="70" s="1"/>
  <c r="X69" i="70"/>
  <c r="Z69" i="70" s="1"/>
  <c r="L69" i="70"/>
  <c r="N69" i="70" s="1"/>
  <c r="B69" i="70"/>
  <c r="T68" i="70"/>
  <c r="P68" i="70"/>
  <c r="X68" i="70" s="1"/>
  <c r="Z68" i="70" s="1"/>
  <c r="H68" i="70"/>
  <c r="D68" i="70"/>
  <c r="L68" i="70" s="1"/>
  <c r="N68" i="70" s="1"/>
  <c r="B68" i="70"/>
  <c r="X67" i="70"/>
  <c r="Z67" i="70" s="1"/>
  <c r="N67" i="70"/>
  <c r="L67" i="70"/>
  <c r="B67" i="70"/>
  <c r="X66" i="70"/>
  <c r="Z66" i="70" s="1"/>
  <c r="N66" i="70"/>
  <c r="L66" i="70"/>
  <c r="B66" i="70"/>
  <c r="X65" i="70"/>
  <c r="Z65" i="70" s="1"/>
  <c r="N65" i="70"/>
  <c r="L65" i="70"/>
  <c r="B65" i="70"/>
  <c r="Z64" i="70"/>
  <c r="X64" i="70"/>
  <c r="L64" i="70"/>
  <c r="N64" i="70" s="1"/>
  <c r="B64" i="70"/>
  <c r="X63" i="70"/>
  <c r="Z63" i="70" s="1"/>
  <c r="N63" i="70"/>
  <c r="L63" i="70"/>
  <c r="B63" i="70"/>
  <c r="X62" i="70"/>
  <c r="Z62" i="70" s="1"/>
  <c r="N62" i="70"/>
  <c r="L62" i="70"/>
  <c r="B62" i="70"/>
  <c r="T61" i="70"/>
  <c r="P61" i="70"/>
  <c r="X61" i="70" s="1"/>
  <c r="H61" i="70"/>
  <c r="D61" i="70"/>
  <c r="B61" i="70"/>
  <c r="X60" i="70"/>
  <c r="Z60" i="70" s="1"/>
  <c r="N60" i="70"/>
  <c r="L60" i="70"/>
  <c r="B60" i="70"/>
  <c r="Z59" i="70"/>
  <c r="X59" i="70"/>
  <c r="T59" i="70"/>
  <c r="P59" i="70"/>
  <c r="L59" i="70"/>
  <c r="N59" i="70" s="1"/>
  <c r="H59" i="70"/>
  <c r="D59" i="70"/>
  <c r="B59" i="70"/>
  <c r="Z58" i="70"/>
  <c r="X58" i="70"/>
  <c r="N58" i="70"/>
  <c r="L58" i="70"/>
  <c r="B58" i="70"/>
  <c r="X57" i="70"/>
  <c r="Z57" i="70" s="1"/>
  <c r="N57" i="70"/>
  <c r="L57" i="70"/>
  <c r="B57" i="70"/>
  <c r="Z56" i="70"/>
  <c r="X56" i="70"/>
  <c r="N56" i="70"/>
  <c r="L56" i="70"/>
  <c r="B56" i="70"/>
  <c r="T55" i="70"/>
  <c r="P55" i="70"/>
  <c r="H55" i="70"/>
  <c r="D55" i="70"/>
  <c r="B55" i="70"/>
  <c r="X54" i="70"/>
  <c r="Z54" i="70" s="1"/>
  <c r="N54" i="70"/>
  <c r="L54" i="70"/>
  <c r="B54" i="70"/>
  <c r="X53" i="70"/>
  <c r="Z53" i="70" s="1"/>
  <c r="N53" i="70"/>
  <c r="L53" i="70"/>
  <c r="B53" i="70"/>
  <c r="X52" i="70"/>
  <c r="Z52" i="70" s="1"/>
  <c r="T52" i="70"/>
  <c r="P52" i="70"/>
  <c r="L52" i="70"/>
  <c r="J52" i="70"/>
  <c r="H52" i="70"/>
  <c r="D52" i="70"/>
  <c r="B52" i="70"/>
  <c r="Z51" i="70"/>
  <c r="X51" i="70"/>
  <c r="L51" i="70"/>
  <c r="N51" i="70" s="1"/>
  <c r="J51" i="70"/>
  <c r="B51" i="70"/>
  <c r="T50" i="70"/>
  <c r="P50" i="70"/>
  <c r="N50" i="70"/>
  <c r="H50" i="70"/>
  <c r="D50" i="70"/>
  <c r="L50" i="70" s="1"/>
  <c r="B50" i="70"/>
  <c r="Z49" i="70"/>
  <c r="X49" i="70"/>
  <c r="N49" i="70"/>
  <c r="L49" i="70"/>
  <c r="B49" i="70"/>
  <c r="Z48" i="70"/>
  <c r="T48" i="70"/>
  <c r="P48" i="70"/>
  <c r="X48" i="70" s="1"/>
  <c r="N48" i="70"/>
  <c r="J48" i="70"/>
  <c r="H48" i="70"/>
  <c r="D48" i="70"/>
  <c r="L48" i="70" s="1"/>
  <c r="B48" i="70"/>
  <c r="Z47" i="70"/>
  <c r="X47" i="70"/>
  <c r="N47" i="70"/>
  <c r="L47" i="70"/>
  <c r="B47" i="70"/>
  <c r="X46" i="70"/>
  <c r="T46" i="70"/>
  <c r="Z46" i="70" s="1"/>
  <c r="P46" i="70"/>
  <c r="L46" i="70"/>
  <c r="H46" i="70"/>
  <c r="N46" i="70" s="1"/>
  <c r="D46" i="70"/>
  <c r="B46" i="70"/>
  <c r="Z45" i="70"/>
  <c r="X45" i="70"/>
  <c r="N45" i="70"/>
  <c r="L45" i="70"/>
  <c r="B45" i="70"/>
  <c r="Z44" i="70"/>
  <c r="T44" i="70"/>
  <c r="P44" i="70"/>
  <c r="H44" i="70"/>
  <c r="N44" i="70" s="1"/>
  <c r="D44" i="70"/>
  <c r="L44" i="70" s="1"/>
  <c r="B44" i="70"/>
  <c r="Z43" i="70"/>
  <c r="X43" i="70"/>
  <c r="V43" i="70"/>
  <c r="L43" i="70"/>
  <c r="N43" i="70" s="1"/>
  <c r="B43" i="70"/>
  <c r="T42" i="70"/>
  <c r="Z42" i="70" s="1"/>
  <c r="P42" i="70"/>
  <c r="X42" i="70" s="1"/>
  <c r="N42" i="70"/>
  <c r="H42" i="70"/>
  <c r="D42" i="70"/>
  <c r="L42" i="70" s="1"/>
  <c r="B42" i="70"/>
  <c r="X41" i="70"/>
  <c r="Z41" i="70" s="1"/>
  <c r="N41" i="70"/>
  <c r="L41" i="70"/>
  <c r="B41" i="70"/>
  <c r="X40" i="70"/>
  <c r="T40" i="70"/>
  <c r="Z40" i="70" s="1"/>
  <c r="P40" i="70"/>
  <c r="L40" i="70"/>
  <c r="J40" i="70"/>
  <c r="H40" i="70"/>
  <c r="D40" i="70"/>
  <c r="B40" i="70"/>
  <c r="Z39" i="70"/>
  <c r="X39" i="70"/>
  <c r="N39" i="70"/>
  <c r="L39" i="70"/>
  <c r="J39" i="70"/>
  <c r="B39" i="70"/>
  <c r="T38" i="70"/>
  <c r="P38" i="70"/>
  <c r="H38" i="70"/>
  <c r="D38" i="70"/>
  <c r="B38" i="70"/>
  <c r="Z37" i="70"/>
  <c r="X37" i="70"/>
  <c r="N37" i="70"/>
  <c r="L37" i="70"/>
  <c r="B37" i="70"/>
  <c r="Z36" i="70"/>
  <c r="X36" i="70"/>
  <c r="L36" i="70"/>
  <c r="N36" i="70" s="1"/>
  <c r="B36" i="70"/>
  <c r="Z35" i="70"/>
  <c r="X35" i="70"/>
  <c r="L35" i="70"/>
  <c r="N35" i="70" s="1"/>
  <c r="B35" i="70"/>
  <c r="X34" i="70"/>
  <c r="Z34" i="70" s="1"/>
  <c r="L34" i="70"/>
  <c r="N34" i="70" s="1"/>
  <c r="B34" i="70"/>
  <c r="Z33" i="70"/>
  <c r="X33" i="70"/>
  <c r="L33" i="70"/>
  <c r="N33" i="70" s="1"/>
  <c r="B33" i="70"/>
  <c r="Z32" i="70"/>
  <c r="T32" i="70"/>
  <c r="P32" i="70"/>
  <c r="X32" i="70" s="1"/>
  <c r="H32" i="70"/>
  <c r="D32" i="70"/>
  <c r="L32" i="70" s="1"/>
  <c r="B32" i="70"/>
  <c r="X31" i="70"/>
  <c r="Z31" i="70" s="1"/>
  <c r="N31" i="70"/>
  <c r="L31" i="70"/>
  <c r="B31" i="70"/>
  <c r="X30" i="70"/>
  <c r="Z30" i="70" s="1"/>
  <c r="N30" i="70"/>
  <c r="L30" i="70"/>
  <c r="B30" i="70"/>
  <c r="X29" i="70"/>
  <c r="Z29" i="70" s="1"/>
  <c r="N29" i="70"/>
  <c r="L29" i="70"/>
  <c r="B29" i="70"/>
  <c r="X28" i="70"/>
  <c r="Z28" i="70" s="1"/>
  <c r="N28" i="70"/>
  <c r="L28" i="70"/>
  <c r="B28" i="70"/>
  <c r="X27" i="70"/>
  <c r="Z27" i="70" s="1"/>
  <c r="N27" i="70"/>
  <c r="L27" i="70"/>
  <c r="B27" i="70"/>
  <c r="X26" i="70"/>
  <c r="Z26" i="70" s="1"/>
  <c r="V26" i="70"/>
  <c r="N26" i="70"/>
  <c r="L26" i="70"/>
  <c r="B26" i="70"/>
  <c r="X25" i="70"/>
  <c r="Z25" i="70" s="1"/>
  <c r="L25" i="70"/>
  <c r="N25" i="70" s="1"/>
  <c r="B25" i="70"/>
  <c r="X24" i="70"/>
  <c r="Z24" i="70" s="1"/>
  <c r="N24" i="70"/>
  <c r="L24" i="70"/>
  <c r="B24" i="70"/>
  <c r="X23" i="70"/>
  <c r="T23" i="70"/>
  <c r="Z23" i="70" s="1"/>
  <c r="P23" i="70"/>
  <c r="L23" i="70"/>
  <c r="N23" i="70" s="1"/>
  <c r="H23" i="70"/>
  <c r="D23" i="70"/>
  <c r="B23" i="70"/>
  <c r="T22" i="70"/>
  <c r="Z22" i="70" s="1"/>
  <c r="P22" i="70"/>
  <c r="X22" i="70" s="1"/>
  <c r="H22" i="70"/>
  <c r="D22" i="70"/>
  <c r="H20" i="70"/>
  <c r="X18" i="70"/>
  <c r="Z18" i="70" s="1"/>
  <c r="L18" i="70"/>
  <c r="N18" i="70" s="1"/>
  <c r="J18" i="70"/>
  <c r="B18" i="70"/>
  <c r="Z17" i="70"/>
  <c r="X17" i="70"/>
  <c r="N17" i="70"/>
  <c r="L17" i="70"/>
  <c r="B17" i="70"/>
  <c r="T16" i="70"/>
  <c r="P16" i="70"/>
  <c r="H16" i="70"/>
  <c r="D16" i="70"/>
  <c r="L16" i="70" s="1"/>
  <c r="Z14" i="70"/>
  <c r="T14" i="70"/>
  <c r="P14" i="70"/>
  <c r="X14" i="70" s="1"/>
  <c r="N14" i="70"/>
  <c r="L14" i="70"/>
  <c r="H14" i="70"/>
  <c r="D14" i="70"/>
  <c r="B14" i="70"/>
  <c r="T13" i="70"/>
  <c r="T12" i="70" s="1"/>
  <c r="V34" i="70" s="1"/>
  <c r="P13" i="70"/>
  <c r="H13" i="70"/>
  <c r="D13" i="70"/>
  <c r="B13" i="70"/>
  <c r="H12" i="70"/>
  <c r="D6" i="70"/>
  <c r="D4" i="70"/>
  <c r="Z122" i="69"/>
  <c r="X122" i="69"/>
  <c r="L122" i="69"/>
  <c r="N122" i="69" s="1"/>
  <c r="Z118" i="69"/>
  <c r="T118" i="69"/>
  <c r="P118" i="69"/>
  <c r="P117" i="69" s="1"/>
  <c r="X117" i="69" s="1"/>
  <c r="H118" i="69"/>
  <c r="N118" i="69" s="1"/>
  <c r="D118" i="69"/>
  <c r="L118" i="69" s="1"/>
  <c r="B118" i="69"/>
  <c r="T117" i="69"/>
  <c r="Z117" i="69" s="1"/>
  <c r="D117" i="69"/>
  <c r="Z115" i="69"/>
  <c r="X115" i="69"/>
  <c r="V115" i="69"/>
  <c r="N115" i="69"/>
  <c r="L115" i="69"/>
  <c r="B115" i="69"/>
  <c r="V114" i="69"/>
  <c r="T114" i="69"/>
  <c r="Z114" i="69" s="1"/>
  <c r="P114" i="69"/>
  <c r="X114" i="69" s="1"/>
  <c r="N114" i="69"/>
  <c r="H114" i="69"/>
  <c r="D114" i="69"/>
  <c r="L114" i="69" s="1"/>
  <c r="B114" i="69"/>
  <c r="X113" i="69"/>
  <c r="Z113" i="69" s="1"/>
  <c r="N113" i="69"/>
  <c r="L113" i="69"/>
  <c r="B113" i="69"/>
  <c r="X112" i="69"/>
  <c r="T112" i="69"/>
  <c r="Z112" i="69" s="1"/>
  <c r="P112" i="69"/>
  <c r="L112" i="69"/>
  <c r="H112" i="69"/>
  <c r="D112" i="69"/>
  <c r="B112" i="69"/>
  <c r="Z111" i="69"/>
  <c r="X111" i="69"/>
  <c r="N111" i="69"/>
  <c r="L111" i="69"/>
  <c r="B111" i="69"/>
  <c r="Z110" i="69"/>
  <c r="X110" i="69"/>
  <c r="N110" i="69"/>
  <c r="L110" i="69"/>
  <c r="B110" i="69"/>
  <c r="Z109" i="69"/>
  <c r="X109" i="69"/>
  <c r="N109" i="69"/>
  <c r="L109" i="69"/>
  <c r="B109" i="69"/>
  <c r="T108" i="69"/>
  <c r="P108" i="69"/>
  <c r="X108" i="69" s="1"/>
  <c r="Z108" i="69" s="1"/>
  <c r="H108" i="69"/>
  <c r="N108" i="69" s="1"/>
  <c r="D108" i="69"/>
  <c r="L108" i="69" s="1"/>
  <c r="B108" i="69"/>
  <c r="X107" i="69"/>
  <c r="Z107" i="69" s="1"/>
  <c r="N107" i="69"/>
  <c r="L107" i="69"/>
  <c r="B107" i="69"/>
  <c r="X106" i="69"/>
  <c r="Z106" i="69" s="1"/>
  <c r="L106" i="69"/>
  <c r="N106" i="69" s="1"/>
  <c r="B106" i="69"/>
  <c r="T105" i="69"/>
  <c r="P105" i="69"/>
  <c r="X105" i="69" s="1"/>
  <c r="H105" i="69"/>
  <c r="D105" i="69"/>
  <c r="B105" i="69"/>
  <c r="X104" i="69"/>
  <c r="Z104" i="69" s="1"/>
  <c r="N104" i="69"/>
  <c r="L104" i="69"/>
  <c r="B104" i="69"/>
  <c r="X103" i="69"/>
  <c r="Z103" i="69" s="1"/>
  <c r="N103" i="69"/>
  <c r="L103" i="69"/>
  <c r="B103" i="69"/>
  <c r="X102" i="69"/>
  <c r="T102" i="69"/>
  <c r="Z102" i="69" s="1"/>
  <c r="P102" i="69"/>
  <c r="L102" i="69"/>
  <c r="N102" i="69" s="1"/>
  <c r="H102" i="69"/>
  <c r="D102" i="69"/>
  <c r="B102" i="69"/>
  <c r="Z101" i="69"/>
  <c r="X101" i="69"/>
  <c r="N101" i="69"/>
  <c r="L101" i="69"/>
  <c r="B101" i="69"/>
  <c r="T100" i="69"/>
  <c r="P100" i="69"/>
  <c r="X100" i="69" s="1"/>
  <c r="Z100" i="69" s="1"/>
  <c r="H100" i="69"/>
  <c r="N100" i="69" s="1"/>
  <c r="D100" i="69"/>
  <c r="L100" i="69" s="1"/>
  <c r="B100" i="69"/>
  <c r="Z99" i="69"/>
  <c r="X99" i="69"/>
  <c r="V99" i="69"/>
  <c r="N99" i="69"/>
  <c r="L99" i="69"/>
  <c r="B99" i="69"/>
  <c r="T98" i="69"/>
  <c r="Z98" i="69" s="1"/>
  <c r="P98" i="69"/>
  <c r="X98" i="69" s="1"/>
  <c r="N98" i="69"/>
  <c r="H98" i="69"/>
  <c r="D98" i="69"/>
  <c r="L98" i="69" s="1"/>
  <c r="B98" i="69"/>
  <c r="X97" i="69"/>
  <c r="Z97" i="69" s="1"/>
  <c r="L97" i="69"/>
  <c r="N97" i="69" s="1"/>
  <c r="B97" i="69"/>
  <c r="X96" i="69"/>
  <c r="T96" i="69"/>
  <c r="Z96" i="69" s="1"/>
  <c r="P96" i="69"/>
  <c r="L96" i="69"/>
  <c r="H96" i="69"/>
  <c r="N96" i="69" s="1"/>
  <c r="D96" i="69"/>
  <c r="B96" i="69"/>
  <c r="Z95" i="69"/>
  <c r="X95" i="69"/>
  <c r="N95" i="69"/>
  <c r="L95" i="69"/>
  <c r="B95" i="69"/>
  <c r="T94" i="69"/>
  <c r="P94" i="69"/>
  <c r="H94" i="69"/>
  <c r="N94" i="69" s="1"/>
  <c r="D94" i="69"/>
  <c r="B94" i="69"/>
  <c r="Z93" i="69"/>
  <c r="X93" i="69"/>
  <c r="L93" i="69"/>
  <c r="N93" i="69" s="1"/>
  <c r="B93" i="69"/>
  <c r="Z92" i="69"/>
  <c r="X92" i="69"/>
  <c r="L92" i="69"/>
  <c r="N92" i="69" s="1"/>
  <c r="B92" i="69"/>
  <c r="V91" i="69"/>
  <c r="T91" i="69"/>
  <c r="P91" i="69"/>
  <c r="X91" i="69" s="1"/>
  <c r="H91" i="69"/>
  <c r="N91" i="69" s="1"/>
  <c r="D91" i="69"/>
  <c r="L91" i="69" s="1"/>
  <c r="B91" i="69"/>
  <c r="X90" i="69"/>
  <c r="Z90" i="69" s="1"/>
  <c r="V90" i="69"/>
  <c r="N90" i="69"/>
  <c r="L90" i="69"/>
  <c r="B90" i="69"/>
  <c r="X89" i="69"/>
  <c r="Z89" i="69" s="1"/>
  <c r="T89" i="69"/>
  <c r="P89" i="69"/>
  <c r="L89" i="69"/>
  <c r="H89" i="69"/>
  <c r="N89" i="69" s="1"/>
  <c r="D89" i="69"/>
  <c r="B89" i="69"/>
  <c r="Z88" i="69"/>
  <c r="X88" i="69"/>
  <c r="N88" i="69"/>
  <c r="L88" i="69"/>
  <c r="B88" i="69"/>
  <c r="T87" i="69"/>
  <c r="P87" i="69"/>
  <c r="N87" i="69"/>
  <c r="L87" i="69"/>
  <c r="H87" i="69"/>
  <c r="D87" i="69"/>
  <c r="B87" i="69"/>
  <c r="Z86" i="69"/>
  <c r="X86" i="69"/>
  <c r="V86" i="69"/>
  <c r="L86" i="69"/>
  <c r="N86" i="69" s="1"/>
  <c r="B86" i="69"/>
  <c r="Z85" i="69"/>
  <c r="X85" i="69"/>
  <c r="L85" i="69"/>
  <c r="N85" i="69" s="1"/>
  <c r="B85" i="69"/>
  <c r="Z84" i="69"/>
  <c r="X84" i="69"/>
  <c r="N84" i="69"/>
  <c r="L84" i="69"/>
  <c r="B84" i="69"/>
  <c r="Z83" i="69"/>
  <c r="X83" i="69"/>
  <c r="L83" i="69"/>
  <c r="N83" i="69" s="1"/>
  <c r="B83" i="69"/>
  <c r="T82" i="69"/>
  <c r="Z82" i="69" s="1"/>
  <c r="P82" i="69"/>
  <c r="X82" i="69" s="1"/>
  <c r="H82" i="69"/>
  <c r="D82" i="69"/>
  <c r="L82" i="69" s="1"/>
  <c r="N82" i="69" s="1"/>
  <c r="B82" i="69"/>
  <c r="X81" i="69"/>
  <c r="Z81" i="69" s="1"/>
  <c r="L81" i="69"/>
  <c r="N81" i="69" s="1"/>
  <c r="B81" i="69"/>
  <c r="X80" i="69"/>
  <c r="Z80" i="69" s="1"/>
  <c r="N80" i="69"/>
  <c r="L80" i="69"/>
  <c r="B80" i="69"/>
  <c r="X79" i="69"/>
  <c r="Z79" i="69" s="1"/>
  <c r="N79" i="69"/>
  <c r="L79" i="69"/>
  <c r="B79" i="69"/>
  <c r="X78" i="69"/>
  <c r="Z78" i="69" s="1"/>
  <c r="V78" i="69"/>
  <c r="N78" i="69"/>
  <c r="L78" i="69"/>
  <c r="B78" i="69"/>
  <c r="X77" i="69"/>
  <c r="Z77" i="69" s="1"/>
  <c r="N77" i="69"/>
  <c r="L77" i="69"/>
  <c r="B77" i="69"/>
  <c r="X76" i="69"/>
  <c r="Z76" i="69" s="1"/>
  <c r="N76" i="69"/>
  <c r="L76" i="69"/>
  <c r="B76" i="69"/>
  <c r="X75" i="69"/>
  <c r="Z75" i="69" s="1"/>
  <c r="N75" i="69"/>
  <c r="L75" i="69"/>
  <c r="B75" i="69"/>
  <c r="X74" i="69"/>
  <c r="Z74" i="69" s="1"/>
  <c r="V74" i="69"/>
  <c r="N74" i="69"/>
  <c r="L74" i="69"/>
  <c r="B74" i="69"/>
  <c r="X73" i="69"/>
  <c r="T73" i="69"/>
  <c r="Z73" i="69" s="1"/>
  <c r="P73" i="69"/>
  <c r="L73" i="69"/>
  <c r="H73" i="69"/>
  <c r="N73" i="69" s="1"/>
  <c r="D73" i="69"/>
  <c r="B73" i="69"/>
  <c r="T72" i="69"/>
  <c r="P72" i="69"/>
  <c r="H72" i="69"/>
  <c r="D72" i="69"/>
  <c r="L72" i="69" s="1"/>
  <c r="Z68" i="69"/>
  <c r="X68" i="69"/>
  <c r="N68" i="69"/>
  <c r="L68" i="69"/>
  <c r="B68" i="69"/>
  <c r="Z67" i="69"/>
  <c r="X67" i="69"/>
  <c r="N67" i="69"/>
  <c r="L67" i="69"/>
  <c r="B67" i="69"/>
  <c r="Z66" i="69"/>
  <c r="X66" i="69"/>
  <c r="N66" i="69"/>
  <c r="L66" i="69"/>
  <c r="B66" i="69"/>
  <c r="Z65" i="69"/>
  <c r="X65" i="69"/>
  <c r="N65" i="69"/>
  <c r="L65" i="69"/>
  <c r="B65" i="69"/>
  <c r="Z64" i="69"/>
  <c r="X64" i="69"/>
  <c r="N64" i="69"/>
  <c r="L64" i="69"/>
  <c r="B64" i="69"/>
  <c r="Z63" i="69"/>
  <c r="X63" i="69"/>
  <c r="L63" i="69"/>
  <c r="N63" i="69" s="1"/>
  <c r="B63" i="69"/>
  <c r="Z62" i="69"/>
  <c r="X62" i="69"/>
  <c r="L62" i="69"/>
  <c r="N62" i="69" s="1"/>
  <c r="B62" i="69"/>
  <c r="X61" i="69"/>
  <c r="Z61" i="69" s="1"/>
  <c r="N61" i="69"/>
  <c r="L61" i="69"/>
  <c r="B61" i="69"/>
  <c r="Z60" i="69"/>
  <c r="X60" i="69"/>
  <c r="N60" i="69"/>
  <c r="L60" i="69"/>
  <c r="B60" i="69"/>
  <c r="Z59" i="69"/>
  <c r="X59" i="69"/>
  <c r="L59" i="69"/>
  <c r="N59" i="69" s="1"/>
  <c r="B59" i="69"/>
  <c r="Z58" i="69"/>
  <c r="X58" i="69"/>
  <c r="L58" i="69"/>
  <c r="N58" i="69" s="1"/>
  <c r="B58" i="69"/>
  <c r="X57" i="69"/>
  <c r="Z57" i="69" s="1"/>
  <c r="L57" i="69"/>
  <c r="N57" i="69" s="1"/>
  <c r="B57" i="69"/>
  <c r="Z56" i="69"/>
  <c r="X56" i="69"/>
  <c r="N56" i="69"/>
  <c r="L56" i="69"/>
  <c r="B56" i="69"/>
  <c r="Z55" i="69"/>
  <c r="X55" i="69"/>
  <c r="L55" i="69"/>
  <c r="N55" i="69" s="1"/>
  <c r="B55" i="69"/>
  <c r="Z54" i="69"/>
  <c r="X54" i="69"/>
  <c r="L54" i="69"/>
  <c r="N54" i="69" s="1"/>
  <c r="B54" i="69"/>
  <c r="Z53" i="69"/>
  <c r="X53" i="69"/>
  <c r="L53" i="69"/>
  <c r="N53" i="69" s="1"/>
  <c r="B53" i="69"/>
  <c r="Z52" i="69"/>
  <c r="X52" i="69"/>
  <c r="N52" i="69"/>
  <c r="L52" i="69"/>
  <c r="B52" i="69"/>
  <c r="Z51" i="69"/>
  <c r="X51" i="69"/>
  <c r="L51" i="69"/>
  <c r="N51" i="69" s="1"/>
  <c r="B51" i="69"/>
  <c r="Z50" i="69"/>
  <c r="X50" i="69"/>
  <c r="N50" i="69"/>
  <c r="L50" i="69"/>
  <c r="B50" i="69"/>
  <c r="Z49" i="69"/>
  <c r="X49" i="69"/>
  <c r="N49" i="69"/>
  <c r="L49" i="69"/>
  <c r="B49" i="69"/>
  <c r="T48" i="69"/>
  <c r="P48" i="69"/>
  <c r="X48" i="69" s="1"/>
  <c r="Z48" i="69" s="1"/>
  <c r="H48" i="69"/>
  <c r="N48" i="69" s="1"/>
  <c r="D48" i="69"/>
  <c r="L48" i="69" s="1"/>
  <c r="T46" i="69"/>
  <c r="P46" i="69"/>
  <c r="X46" i="69" s="1"/>
  <c r="Z46" i="69" s="1"/>
  <c r="N46" i="69"/>
  <c r="L46" i="69"/>
  <c r="H46" i="69"/>
  <c r="D46" i="69"/>
  <c r="B46" i="69"/>
  <c r="T45" i="69"/>
  <c r="P45" i="69"/>
  <c r="X45" i="69" s="1"/>
  <c r="Z45" i="69" s="1"/>
  <c r="H45" i="69"/>
  <c r="N45" i="69" s="1"/>
  <c r="D45" i="69"/>
  <c r="B45" i="69"/>
  <c r="T44" i="69"/>
  <c r="P44" i="69"/>
  <c r="X44" i="69" s="1"/>
  <c r="Z44" i="69" s="1"/>
  <c r="H44" i="69"/>
  <c r="D44" i="69"/>
  <c r="B44" i="69"/>
  <c r="Z43" i="69"/>
  <c r="X43" i="69"/>
  <c r="T43" i="69"/>
  <c r="P43" i="69"/>
  <c r="H43" i="69"/>
  <c r="D43" i="69"/>
  <c r="B43" i="69"/>
  <c r="Z42" i="69"/>
  <c r="T42" i="69"/>
  <c r="P42" i="69"/>
  <c r="X42" i="69" s="1"/>
  <c r="N42" i="69"/>
  <c r="L42" i="69"/>
  <c r="H42" i="69"/>
  <c r="D42" i="69"/>
  <c r="B42" i="69"/>
  <c r="Z41" i="69"/>
  <c r="T41" i="69"/>
  <c r="P41" i="69"/>
  <c r="X41" i="69" s="1"/>
  <c r="H41" i="69"/>
  <c r="N41" i="69" s="1"/>
  <c r="D41" i="69"/>
  <c r="L41" i="69" s="1"/>
  <c r="B41" i="69"/>
  <c r="T40" i="69"/>
  <c r="P40" i="69"/>
  <c r="X40" i="69" s="1"/>
  <c r="Z40" i="69" s="1"/>
  <c r="H40" i="69"/>
  <c r="D40" i="69"/>
  <c r="B40" i="69"/>
  <c r="X39" i="69"/>
  <c r="Z39" i="69" s="1"/>
  <c r="T39" i="69"/>
  <c r="P39" i="69"/>
  <c r="H39" i="69"/>
  <c r="D39" i="69"/>
  <c r="B39" i="69"/>
  <c r="Z38" i="69"/>
  <c r="T38" i="69"/>
  <c r="P38" i="69"/>
  <c r="X38" i="69" s="1"/>
  <c r="N38" i="69"/>
  <c r="L38" i="69"/>
  <c r="H38" i="69"/>
  <c r="D38" i="69"/>
  <c r="B38" i="69"/>
  <c r="T37" i="69"/>
  <c r="P37" i="69"/>
  <c r="X37" i="69" s="1"/>
  <c r="Z37" i="69" s="1"/>
  <c r="H37" i="69"/>
  <c r="N37" i="69" s="1"/>
  <c r="D37" i="69"/>
  <c r="B37" i="69"/>
  <c r="T36" i="69"/>
  <c r="P36" i="69"/>
  <c r="X36" i="69" s="1"/>
  <c r="Z36" i="69" s="1"/>
  <c r="H36" i="69"/>
  <c r="D36" i="69"/>
  <c r="B36" i="69"/>
  <c r="Z35" i="69"/>
  <c r="X35" i="69"/>
  <c r="T35" i="69"/>
  <c r="P35" i="69"/>
  <c r="H35" i="69"/>
  <c r="D35" i="69"/>
  <c r="B35" i="69"/>
  <c r="T34" i="69"/>
  <c r="P34" i="69"/>
  <c r="X34" i="69" s="1"/>
  <c r="Z34" i="69" s="1"/>
  <c r="N34" i="69"/>
  <c r="L34" i="69"/>
  <c r="H34" i="69"/>
  <c r="D34" i="69"/>
  <c r="B34" i="69"/>
  <c r="T33" i="69"/>
  <c r="P33" i="69"/>
  <c r="X33" i="69" s="1"/>
  <c r="Z33" i="69" s="1"/>
  <c r="H33" i="69"/>
  <c r="D33" i="69"/>
  <c r="B33" i="69"/>
  <c r="T32" i="69"/>
  <c r="P32" i="69"/>
  <c r="X32" i="69" s="1"/>
  <c r="Z32" i="69" s="1"/>
  <c r="H32" i="69"/>
  <c r="D32" i="69"/>
  <c r="B32" i="69"/>
  <c r="Z31" i="69"/>
  <c r="X31" i="69"/>
  <c r="T31" i="69"/>
  <c r="P31" i="69"/>
  <c r="H31" i="69"/>
  <c r="D31" i="69"/>
  <c r="B31" i="69"/>
  <c r="Z30" i="69"/>
  <c r="T30" i="69"/>
  <c r="P30" i="69"/>
  <c r="X30" i="69" s="1"/>
  <c r="N30" i="69"/>
  <c r="L30" i="69"/>
  <c r="H30" i="69"/>
  <c r="D30" i="69"/>
  <c r="B30" i="69"/>
  <c r="T29" i="69"/>
  <c r="P29" i="69"/>
  <c r="X29" i="69" s="1"/>
  <c r="Z29" i="69" s="1"/>
  <c r="H29" i="69"/>
  <c r="D29" i="69"/>
  <c r="B29" i="69"/>
  <c r="T28" i="69"/>
  <c r="P28" i="69"/>
  <c r="X28" i="69" s="1"/>
  <c r="Z28" i="69" s="1"/>
  <c r="H28" i="69"/>
  <c r="D28" i="69"/>
  <c r="B28" i="69"/>
  <c r="Z27" i="69"/>
  <c r="X27" i="69"/>
  <c r="T27" i="69"/>
  <c r="P27" i="69"/>
  <c r="H27" i="69"/>
  <c r="D27" i="69"/>
  <c r="B27" i="69"/>
  <c r="Z26" i="69"/>
  <c r="T26" i="69"/>
  <c r="P26" i="69"/>
  <c r="X26" i="69" s="1"/>
  <c r="N26" i="69"/>
  <c r="L26" i="69"/>
  <c r="H26" i="69"/>
  <c r="D26" i="69"/>
  <c r="B26" i="69"/>
  <c r="T25" i="69"/>
  <c r="Z25" i="69" s="1"/>
  <c r="P25" i="69"/>
  <c r="X25" i="69" s="1"/>
  <c r="H25" i="69"/>
  <c r="D25" i="69"/>
  <c r="L25" i="69" s="1"/>
  <c r="B25" i="69"/>
  <c r="T24" i="69"/>
  <c r="P24" i="69"/>
  <c r="X24" i="69" s="1"/>
  <c r="Z24" i="69" s="1"/>
  <c r="H24" i="69"/>
  <c r="D24" i="69"/>
  <c r="B24" i="69"/>
  <c r="X23" i="69"/>
  <c r="Z23" i="69" s="1"/>
  <c r="T23" i="69"/>
  <c r="P23" i="69"/>
  <c r="H23" i="69"/>
  <c r="D23" i="69"/>
  <c r="B23" i="69"/>
  <c r="T22" i="69"/>
  <c r="P22" i="69"/>
  <c r="X22" i="69" s="1"/>
  <c r="Z22" i="69" s="1"/>
  <c r="N22" i="69"/>
  <c r="L22" i="69"/>
  <c r="H22" i="69"/>
  <c r="D22" i="69"/>
  <c r="B22" i="69"/>
  <c r="T21" i="69"/>
  <c r="Z21" i="69" s="1"/>
  <c r="P21" i="69"/>
  <c r="X21" i="69" s="1"/>
  <c r="H21" i="69"/>
  <c r="D21" i="69"/>
  <c r="L21" i="69" s="1"/>
  <c r="B21" i="69"/>
  <c r="T20" i="69"/>
  <c r="P20" i="69"/>
  <c r="X20" i="69" s="1"/>
  <c r="Z20" i="69" s="1"/>
  <c r="H20" i="69"/>
  <c r="D20" i="69"/>
  <c r="B20" i="69"/>
  <c r="Z19" i="69"/>
  <c r="X19" i="69"/>
  <c r="T19" i="69"/>
  <c r="P19" i="69"/>
  <c r="H19" i="69"/>
  <c r="D19" i="69"/>
  <c r="B19" i="69"/>
  <c r="T18" i="69"/>
  <c r="P18" i="69"/>
  <c r="X18" i="69" s="1"/>
  <c r="Z18" i="69" s="1"/>
  <c r="N18" i="69"/>
  <c r="H18" i="69"/>
  <c r="L18" i="69" s="1"/>
  <c r="D18" i="69"/>
  <c r="B18" i="69"/>
  <c r="T17" i="69"/>
  <c r="Z17" i="69" s="1"/>
  <c r="P17" i="69"/>
  <c r="X17" i="69" s="1"/>
  <c r="H17" i="69"/>
  <c r="D17" i="69"/>
  <c r="L17" i="69" s="1"/>
  <c r="B17" i="69"/>
  <c r="T16" i="69"/>
  <c r="P16" i="69"/>
  <c r="X16" i="69" s="1"/>
  <c r="Z16" i="69" s="1"/>
  <c r="H16" i="69"/>
  <c r="D16" i="69"/>
  <c r="B16" i="69"/>
  <c r="Z15" i="69"/>
  <c r="X15" i="69"/>
  <c r="T15" i="69"/>
  <c r="P15" i="69"/>
  <c r="L15" i="69"/>
  <c r="H15" i="69"/>
  <c r="N15" i="69" s="1"/>
  <c r="D15" i="69"/>
  <c r="B15" i="69"/>
  <c r="Z14" i="69"/>
  <c r="T14" i="69"/>
  <c r="P14" i="69"/>
  <c r="X14" i="69" s="1"/>
  <c r="N14" i="69"/>
  <c r="H14" i="69"/>
  <c r="L14" i="69" s="1"/>
  <c r="D14" i="69"/>
  <c r="B14" i="69"/>
  <c r="T13" i="69"/>
  <c r="T12" i="69" s="1"/>
  <c r="V117" i="69" s="1"/>
  <c r="P13" i="69"/>
  <c r="H13" i="69"/>
  <c r="N13" i="69" s="1"/>
  <c r="D13" i="69"/>
  <c r="B13" i="69"/>
  <c r="H12" i="69"/>
  <c r="J63" i="69" s="1"/>
  <c r="D6" i="69"/>
  <c r="D4" i="69"/>
  <c r="J68" i="68"/>
  <c r="J65" i="68"/>
  <c r="Z63" i="68"/>
  <c r="X63" i="68"/>
  <c r="N63" i="68"/>
  <c r="L63" i="68"/>
  <c r="R61" i="68"/>
  <c r="Z59" i="68"/>
  <c r="T59" i="68"/>
  <c r="R59" i="68"/>
  <c r="P59" i="68"/>
  <c r="N59" i="68"/>
  <c r="H59" i="68"/>
  <c r="D59" i="68"/>
  <c r="L59" i="68" s="1"/>
  <c r="Z57" i="68"/>
  <c r="X57" i="68"/>
  <c r="R57" i="68"/>
  <c r="N57" i="68"/>
  <c r="L57" i="68"/>
  <c r="B57" i="68"/>
  <c r="T56" i="68"/>
  <c r="P56" i="68"/>
  <c r="N56" i="68"/>
  <c r="L56" i="68"/>
  <c r="H56" i="68"/>
  <c r="D56" i="68"/>
  <c r="B56" i="68"/>
  <c r="X55" i="68"/>
  <c r="Z55" i="68" s="1"/>
  <c r="V55" i="68"/>
  <c r="L55" i="68"/>
  <c r="N55" i="68" s="1"/>
  <c r="J55" i="68"/>
  <c r="B55" i="68"/>
  <c r="T54" i="68"/>
  <c r="Z54" i="68" s="1"/>
  <c r="P54" i="68"/>
  <c r="X54" i="68" s="1"/>
  <c r="J54" i="68"/>
  <c r="H54" i="68"/>
  <c r="D54" i="68"/>
  <c r="L54" i="68" s="1"/>
  <c r="B54" i="68"/>
  <c r="X53" i="68"/>
  <c r="Z53" i="68" s="1"/>
  <c r="N53" i="68"/>
  <c r="L53" i="68"/>
  <c r="F53" i="68"/>
  <c r="B53" i="68"/>
  <c r="X52" i="68"/>
  <c r="Z52" i="68" s="1"/>
  <c r="N52" i="68"/>
  <c r="L52" i="68"/>
  <c r="F52" i="68"/>
  <c r="B52" i="68"/>
  <c r="X51" i="68"/>
  <c r="Z51" i="68" s="1"/>
  <c r="V51" i="68"/>
  <c r="N51" i="68"/>
  <c r="L51" i="68"/>
  <c r="B51" i="68"/>
  <c r="Z50" i="68"/>
  <c r="X50" i="68"/>
  <c r="N50" i="68"/>
  <c r="L50" i="68"/>
  <c r="B50" i="68"/>
  <c r="X49" i="68"/>
  <c r="Z49" i="68" s="1"/>
  <c r="N49" i="68"/>
  <c r="L49" i="68"/>
  <c r="F49" i="68"/>
  <c r="B49" i="68"/>
  <c r="X48" i="68"/>
  <c r="Z48" i="68" s="1"/>
  <c r="T48" i="68"/>
  <c r="P48" i="68"/>
  <c r="H48" i="68"/>
  <c r="F48" i="68"/>
  <c r="D48" i="68"/>
  <c r="L48" i="68" s="1"/>
  <c r="B48" i="68"/>
  <c r="Z47" i="68"/>
  <c r="X47" i="68"/>
  <c r="N47" i="68"/>
  <c r="L47" i="68"/>
  <c r="J47" i="68"/>
  <c r="B47" i="68"/>
  <c r="Z46" i="68"/>
  <c r="X46" i="68"/>
  <c r="L46" i="68"/>
  <c r="N46" i="68" s="1"/>
  <c r="B46" i="68"/>
  <c r="T45" i="68"/>
  <c r="R45" i="68"/>
  <c r="P45" i="68"/>
  <c r="X45" i="68" s="1"/>
  <c r="Z45" i="68" s="1"/>
  <c r="H45" i="68"/>
  <c r="D45" i="68"/>
  <c r="L45" i="68" s="1"/>
  <c r="N45" i="68" s="1"/>
  <c r="B45" i="68"/>
  <c r="Z44" i="68"/>
  <c r="X44" i="68"/>
  <c r="V44" i="68"/>
  <c r="R44" i="68"/>
  <c r="N44" i="68"/>
  <c r="L44" i="68"/>
  <c r="B44" i="68"/>
  <c r="Z43" i="68"/>
  <c r="V43" i="68"/>
  <c r="T43" i="68"/>
  <c r="P43" i="68"/>
  <c r="X43" i="68" s="1"/>
  <c r="N43" i="68"/>
  <c r="L43" i="68"/>
  <c r="H43" i="68"/>
  <c r="D43" i="68"/>
  <c r="B43" i="68"/>
  <c r="X42" i="68"/>
  <c r="Z42" i="68" s="1"/>
  <c r="N42" i="68"/>
  <c r="L42" i="68"/>
  <c r="B42" i="68"/>
  <c r="X41" i="68"/>
  <c r="T41" i="68"/>
  <c r="Z41" i="68" s="1"/>
  <c r="R41" i="68"/>
  <c r="P41" i="68"/>
  <c r="L41" i="68"/>
  <c r="J41" i="68"/>
  <c r="H41" i="68"/>
  <c r="D41" i="68"/>
  <c r="B41" i="68"/>
  <c r="Z40" i="68"/>
  <c r="X40" i="68"/>
  <c r="R40" i="68"/>
  <c r="L40" i="68"/>
  <c r="N40" i="68" s="1"/>
  <c r="J40" i="68"/>
  <c r="F40" i="68"/>
  <c r="B40" i="68"/>
  <c r="T39" i="68"/>
  <c r="P39" i="68"/>
  <c r="X39" i="68" s="1"/>
  <c r="Z39" i="68" s="1"/>
  <c r="H39" i="68"/>
  <c r="F39" i="68"/>
  <c r="D39" i="68"/>
  <c r="B39" i="68"/>
  <c r="Z38" i="68"/>
  <c r="X38" i="68"/>
  <c r="N38" i="68"/>
  <c r="L38" i="68"/>
  <c r="B38" i="68"/>
  <c r="Z37" i="68"/>
  <c r="X37" i="68"/>
  <c r="V37" i="68"/>
  <c r="T37" i="68"/>
  <c r="P37" i="68"/>
  <c r="J37" i="68"/>
  <c r="H37" i="68"/>
  <c r="N37" i="68" s="1"/>
  <c r="D37" i="68"/>
  <c r="L37" i="68" s="1"/>
  <c r="B37" i="68"/>
  <c r="X36" i="68"/>
  <c r="Z36" i="68" s="1"/>
  <c r="N36" i="68"/>
  <c r="L36" i="68"/>
  <c r="F36" i="68"/>
  <c r="B36" i="68"/>
  <c r="X35" i="68"/>
  <c r="V35" i="68"/>
  <c r="T35" i="68"/>
  <c r="Z35" i="68" s="1"/>
  <c r="R35" i="68"/>
  <c r="P35" i="68"/>
  <c r="H35" i="68"/>
  <c r="N35" i="68" s="1"/>
  <c r="F35" i="68"/>
  <c r="D35" i="68"/>
  <c r="L35" i="68" s="1"/>
  <c r="B35" i="68"/>
  <c r="Z34" i="68"/>
  <c r="X34" i="68"/>
  <c r="R34" i="68"/>
  <c r="N34" i="68"/>
  <c r="L34" i="68"/>
  <c r="B34" i="68"/>
  <c r="Z33" i="68"/>
  <c r="X33" i="68"/>
  <c r="R33" i="68"/>
  <c r="N33" i="68"/>
  <c r="L33" i="68"/>
  <c r="J33" i="68"/>
  <c r="B33" i="68"/>
  <c r="Z32" i="68"/>
  <c r="X32" i="68"/>
  <c r="R32" i="68"/>
  <c r="N32" i="68"/>
  <c r="L32" i="68"/>
  <c r="J32" i="68"/>
  <c r="F32" i="68"/>
  <c r="B32" i="68"/>
  <c r="Z31" i="68"/>
  <c r="X31" i="68"/>
  <c r="L31" i="68"/>
  <c r="N31" i="68" s="1"/>
  <c r="J31" i="68"/>
  <c r="B31" i="68"/>
  <c r="Z30" i="68"/>
  <c r="X30" i="68"/>
  <c r="R30" i="68"/>
  <c r="L30" i="68"/>
  <c r="N30" i="68" s="1"/>
  <c r="B30" i="68"/>
  <c r="T29" i="68"/>
  <c r="R29" i="68"/>
  <c r="P29" i="68"/>
  <c r="H29" i="68"/>
  <c r="D29" i="68"/>
  <c r="L29" i="68" s="1"/>
  <c r="N29" i="68" s="1"/>
  <c r="B29" i="68"/>
  <c r="X28" i="68"/>
  <c r="Z28" i="68" s="1"/>
  <c r="V28" i="68"/>
  <c r="R28" i="68"/>
  <c r="L28" i="68"/>
  <c r="N28" i="68" s="1"/>
  <c r="B28" i="68"/>
  <c r="X27" i="68"/>
  <c r="Z27" i="68" s="1"/>
  <c r="V27" i="68"/>
  <c r="L27" i="68"/>
  <c r="N27" i="68" s="1"/>
  <c r="J27" i="68"/>
  <c r="B27" i="68"/>
  <c r="Z26" i="68"/>
  <c r="X26" i="68"/>
  <c r="L26" i="68"/>
  <c r="N26" i="68" s="1"/>
  <c r="B26" i="68"/>
  <c r="Z25" i="68"/>
  <c r="X25" i="68"/>
  <c r="V25" i="68"/>
  <c r="N25" i="68"/>
  <c r="L25" i="68"/>
  <c r="B25" i="68"/>
  <c r="Z24" i="68"/>
  <c r="X24" i="68"/>
  <c r="V24" i="68"/>
  <c r="R24" i="68"/>
  <c r="L24" i="68"/>
  <c r="N24" i="68" s="1"/>
  <c r="B24" i="68"/>
  <c r="X23" i="68"/>
  <c r="Z23" i="68" s="1"/>
  <c r="V23" i="68"/>
  <c r="L23" i="68"/>
  <c r="N23" i="68" s="1"/>
  <c r="J23" i="68"/>
  <c r="B23" i="68"/>
  <c r="X22" i="68"/>
  <c r="Z22" i="68" s="1"/>
  <c r="L22" i="68"/>
  <c r="N22" i="68" s="1"/>
  <c r="B22" i="68"/>
  <c r="Z21" i="68"/>
  <c r="X21" i="68"/>
  <c r="V21" i="68"/>
  <c r="L21" i="68"/>
  <c r="N21" i="68" s="1"/>
  <c r="B21" i="68"/>
  <c r="X20" i="68"/>
  <c r="Z20" i="68" s="1"/>
  <c r="V20" i="68"/>
  <c r="R20" i="68"/>
  <c r="L20" i="68"/>
  <c r="N20" i="68" s="1"/>
  <c r="B20" i="68"/>
  <c r="V19" i="68"/>
  <c r="T19" i="68"/>
  <c r="P19" i="68"/>
  <c r="X19" i="68" s="1"/>
  <c r="J19" i="68"/>
  <c r="H19" i="68"/>
  <c r="D19" i="68"/>
  <c r="L19" i="68" s="1"/>
  <c r="N19" i="68" s="1"/>
  <c r="B19" i="68"/>
  <c r="T18" i="68"/>
  <c r="R18" i="68"/>
  <c r="P18" i="68"/>
  <c r="X18" i="68" s="1"/>
  <c r="L18" i="68"/>
  <c r="H18" i="68"/>
  <c r="N18" i="68" s="1"/>
  <c r="D18" i="68"/>
  <c r="R16" i="68"/>
  <c r="P16" i="68"/>
  <c r="X14" i="68"/>
  <c r="T14" i="68"/>
  <c r="Z14" i="68" s="1"/>
  <c r="R14" i="68"/>
  <c r="P14" i="68"/>
  <c r="L14" i="68"/>
  <c r="H14" i="68"/>
  <c r="N14" i="68" s="1"/>
  <c r="D14" i="68"/>
  <c r="Z12" i="68"/>
  <c r="X12" i="68"/>
  <c r="T12" i="68"/>
  <c r="V46" i="68" s="1"/>
  <c r="P12" i="68"/>
  <c r="R51" i="68" s="1"/>
  <c r="N12" i="68"/>
  <c r="L12" i="68"/>
  <c r="H12" i="68"/>
  <c r="J56" i="68" s="1"/>
  <c r="D12" i="68"/>
  <c r="F55" i="68" s="1"/>
  <c r="D6" i="68"/>
  <c r="D4" i="68"/>
  <c r="Z100" i="64"/>
  <c r="X100" i="64"/>
  <c r="N100" i="64"/>
  <c r="L100" i="64"/>
  <c r="V98" i="64"/>
  <c r="T96" i="64"/>
  <c r="Z96" i="64" s="1"/>
  <c r="P96" i="64"/>
  <c r="X96" i="64" s="1"/>
  <c r="L96" i="64"/>
  <c r="H96" i="64"/>
  <c r="N96" i="64" s="1"/>
  <c r="D96" i="64"/>
  <c r="B96" i="64"/>
  <c r="Z95" i="64"/>
  <c r="X95" i="64"/>
  <c r="T95" i="64"/>
  <c r="P95" i="64"/>
  <c r="N95" i="64"/>
  <c r="L95" i="64"/>
  <c r="H95" i="64"/>
  <c r="D95" i="64"/>
  <c r="B95" i="64"/>
  <c r="T94" i="64"/>
  <c r="P94" i="64"/>
  <c r="P93" i="64" s="1"/>
  <c r="H94" i="64"/>
  <c r="D94" i="64"/>
  <c r="L94" i="64" s="1"/>
  <c r="N94" i="64" s="1"/>
  <c r="B94" i="64"/>
  <c r="H93" i="64"/>
  <c r="F93" i="64"/>
  <c r="D93" i="64"/>
  <c r="L93" i="64" s="1"/>
  <c r="X91" i="64"/>
  <c r="Z91" i="64" s="1"/>
  <c r="N91" i="64"/>
  <c r="L91" i="64"/>
  <c r="B91" i="64"/>
  <c r="T90" i="64"/>
  <c r="Z90" i="64" s="1"/>
  <c r="P90" i="64"/>
  <c r="X90" i="64" s="1"/>
  <c r="L90" i="64"/>
  <c r="H90" i="64"/>
  <c r="N90" i="64" s="1"/>
  <c r="D90" i="64"/>
  <c r="B90" i="64"/>
  <c r="Z89" i="64"/>
  <c r="X89" i="64"/>
  <c r="N89" i="64"/>
  <c r="L89" i="64"/>
  <c r="B89" i="64"/>
  <c r="Z88" i="64"/>
  <c r="X88" i="64"/>
  <c r="R88" i="64"/>
  <c r="N88" i="64"/>
  <c r="L88" i="64"/>
  <c r="B88" i="64"/>
  <c r="Z87" i="64"/>
  <c r="X87" i="64"/>
  <c r="N87" i="64"/>
  <c r="L87" i="64"/>
  <c r="B87" i="64"/>
  <c r="Z86" i="64"/>
  <c r="X86" i="64"/>
  <c r="T86" i="64"/>
  <c r="P86" i="64"/>
  <c r="H86" i="64"/>
  <c r="N86" i="64" s="1"/>
  <c r="D86" i="64"/>
  <c r="B86" i="64"/>
  <c r="Z85" i="64"/>
  <c r="X85" i="64"/>
  <c r="N85" i="64"/>
  <c r="L85" i="64"/>
  <c r="B85" i="64"/>
  <c r="T84" i="64"/>
  <c r="P84" i="64"/>
  <c r="H84" i="64"/>
  <c r="N84" i="64" s="1"/>
  <c r="D84" i="64"/>
  <c r="L84" i="64" s="1"/>
  <c r="B84" i="64"/>
  <c r="X83" i="64"/>
  <c r="Z83" i="64" s="1"/>
  <c r="N83" i="64"/>
  <c r="L83" i="64"/>
  <c r="B83" i="64"/>
  <c r="T82" i="64"/>
  <c r="P82" i="64"/>
  <c r="X82" i="64" s="1"/>
  <c r="L82" i="64"/>
  <c r="H82" i="64"/>
  <c r="N82" i="64" s="1"/>
  <c r="D82" i="64"/>
  <c r="B82" i="64"/>
  <c r="X81" i="64"/>
  <c r="Z81" i="64" s="1"/>
  <c r="R81" i="64"/>
  <c r="N81" i="64"/>
  <c r="L81" i="64"/>
  <c r="B81" i="64"/>
  <c r="X80" i="64"/>
  <c r="Z80" i="64" s="1"/>
  <c r="N80" i="64"/>
  <c r="L80" i="64"/>
  <c r="J80" i="64"/>
  <c r="B80" i="64"/>
  <c r="Z79" i="64"/>
  <c r="X79" i="64"/>
  <c r="N79" i="64"/>
  <c r="L79" i="64"/>
  <c r="J79" i="64"/>
  <c r="B79" i="64"/>
  <c r="X78" i="64"/>
  <c r="Z78" i="64" s="1"/>
  <c r="L78" i="64"/>
  <c r="N78" i="64" s="1"/>
  <c r="B78" i="64"/>
  <c r="X77" i="64"/>
  <c r="Z77" i="64" s="1"/>
  <c r="R77" i="64"/>
  <c r="N77" i="64"/>
  <c r="L77" i="64"/>
  <c r="B77" i="64"/>
  <c r="T76" i="64"/>
  <c r="P76" i="64"/>
  <c r="L76" i="64"/>
  <c r="N76" i="64" s="1"/>
  <c r="H76" i="64"/>
  <c r="D76" i="64"/>
  <c r="B76" i="64"/>
  <c r="X75" i="64"/>
  <c r="Z75" i="64" s="1"/>
  <c r="L75" i="64"/>
  <c r="N75" i="64" s="1"/>
  <c r="J75" i="64"/>
  <c r="B75" i="64"/>
  <c r="T74" i="64"/>
  <c r="P74" i="64"/>
  <c r="X74" i="64" s="1"/>
  <c r="H74" i="64"/>
  <c r="D74" i="64"/>
  <c r="L74" i="64" s="1"/>
  <c r="N74" i="64" s="1"/>
  <c r="B74" i="64"/>
  <c r="Z73" i="64"/>
  <c r="X73" i="64"/>
  <c r="N73" i="64"/>
  <c r="L73" i="64"/>
  <c r="B73" i="64"/>
  <c r="X72" i="64"/>
  <c r="Z72" i="64" s="1"/>
  <c r="N72" i="64"/>
  <c r="L72" i="64"/>
  <c r="B72" i="64"/>
  <c r="X71" i="64"/>
  <c r="Z71" i="64" s="1"/>
  <c r="N71" i="64"/>
  <c r="L71" i="64"/>
  <c r="B71" i="64"/>
  <c r="X70" i="64"/>
  <c r="T70" i="64"/>
  <c r="Z70" i="64" s="1"/>
  <c r="R70" i="64"/>
  <c r="P70" i="64"/>
  <c r="L70" i="64"/>
  <c r="H70" i="64"/>
  <c r="N70" i="64" s="1"/>
  <c r="D70" i="64"/>
  <c r="B70" i="64"/>
  <c r="X69" i="64"/>
  <c r="Z69" i="64" s="1"/>
  <c r="N69" i="64"/>
  <c r="L69" i="64"/>
  <c r="J69" i="64"/>
  <c r="B69" i="64"/>
  <c r="T68" i="64"/>
  <c r="P68" i="64"/>
  <c r="X68" i="64" s="1"/>
  <c r="N68" i="64"/>
  <c r="L68" i="64"/>
  <c r="H68" i="64"/>
  <c r="D68" i="64"/>
  <c r="B68" i="64"/>
  <c r="Z67" i="64"/>
  <c r="X67" i="64"/>
  <c r="V67" i="64"/>
  <c r="R67" i="64"/>
  <c r="L67" i="64"/>
  <c r="N67" i="64" s="1"/>
  <c r="B67" i="64"/>
  <c r="X66" i="64"/>
  <c r="Z66" i="64" s="1"/>
  <c r="L66" i="64"/>
  <c r="N66" i="64" s="1"/>
  <c r="F66" i="64"/>
  <c r="B66" i="64"/>
  <c r="Z65" i="64"/>
  <c r="X65" i="64"/>
  <c r="V65" i="64"/>
  <c r="N65" i="64"/>
  <c r="L65" i="64"/>
  <c r="B65" i="64"/>
  <c r="Z64" i="64"/>
  <c r="X64" i="64"/>
  <c r="R64" i="64"/>
  <c r="L64" i="64"/>
  <c r="N64" i="64" s="1"/>
  <c r="B64" i="64"/>
  <c r="T63" i="64"/>
  <c r="R63" i="64"/>
  <c r="P63" i="64"/>
  <c r="X63" i="64" s="1"/>
  <c r="Z63" i="64" s="1"/>
  <c r="J63" i="64"/>
  <c r="H63" i="64"/>
  <c r="D63" i="64"/>
  <c r="L63" i="64" s="1"/>
  <c r="B63" i="64"/>
  <c r="Z62" i="64"/>
  <c r="X62" i="64"/>
  <c r="R62" i="64"/>
  <c r="N62" i="64"/>
  <c r="L62" i="64"/>
  <c r="B62" i="64"/>
  <c r="V61" i="64"/>
  <c r="T61" i="64"/>
  <c r="P61" i="64"/>
  <c r="N61" i="64"/>
  <c r="L61" i="64"/>
  <c r="H61" i="64"/>
  <c r="F61" i="64"/>
  <c r="D61" i="64"/>
  <c r="B61" i="64"/>
  <c r="X60" i="64"/>
  <c r="Z60" i="64" s="1"/>
  <c r="V60" i="64"/>
  <c r="N60" i="64"/>
  <c r="L60" i="64"/>
  <c r="J60" i="64"/>
  <c r="B60" i="64"/>
  <c r="Z59" i="64"/>
  <c r="T59" i="64"/>
  <c r="P59" i="64"/>
  <c r="X59" i="64" s="1"/>
  <c r="J59" i="64"/>
  <c r="H59" i="64"/>
  <c r="N59" i="64" s="1"/>
  <c r="D59" i="64"/>
  <c r="L59" i="64" s="1"/>
  <c r="B59" i="64"/>
  <c r="Z58" i="64"/>
  <c r="X58" i="64"/>
  <c r="N58" i="64"/>
  <c r="L58" i="64"/>
  <c r="B58" i="64"/>
  <c r="V57" i="64"/>
  <c r="T57" i="64"/>
  <c r="P57" i="64"/>
  <c r="X57" i="64" s="1"/>
  <c r="L57" i="64"/>
  <c r="N57" i="64" s="1"/>
  <c r="H57" i="64"/>
  <c r="F57" i="64"/>
  <c r="D57" i="64"/>
  <c r="B57" i="64"/>
  <c r="X56" i="64"/>
  <c r="Z56" i="64" s="1"/>
  <c r="V56" i="64"/>
  <c r="L56" i="64"/>
  <c r="N56" i="64" s="1"/>
  <c r="J56" i="64"/>
  <c r="B56" i="64"/>
  <c r="X55" i="64"/>
  <c r="Z55" i="64" s="1"/>
  <c r="T55" i="64"/>
  <c r="R55" i="64"/>
  <c r="P55" i="64"/>
  <c r="J55" i="64"/>
  <c r="H55" i="64"/>
  <c r="D55" i="64"/>
  <c r="B55" i="64"/>
  <c r="Z54" i="64"/>
  <c r="X54" i="64"/>
  <c r="R54" i="64"/>
  <c r="N54" i="64"/>
  <c r="L54" i="64"/>
  <c r="B54" i="64"/>
  <c r="V53" i="64"/>
  <c r="T53" i="64"/>
  <c r="P53" i="64"/>
  <c r="N53" i="64"/>
  <c r="J53" i="64"/>
  <c r="H53" i="64"/>
  <c r="D53" i="64"/>
  <c r="L53" i="64" s="1"/>
  <c r="B53" i="64"/>
  <c r="X52" i="64"/>
  <c r="Z52" i="64" s="1"/>
  <c r="V52" i="64"/>
  <c r="L52" i="64"/>
  <c r="N52" i="64" s="1"/>
  <c r="J52" i="64"/>
  <c r="B52" i="64"/>
  <c r="X51" i="64"/>
  <c r="Z51" i="64" s="1"/>
  <c r="T51" i="64"/>
  <c r="R51" i="64"/>
  <c r="P51" i="64"/>
  <c r="J51" i="64"/>
  <c r="H51" i="64"/>
  <c r="D51" i="64"/>
  <c r="L51" i="64" s="1"/>
  <c r="B51" i="64"/>
  <c r="Z50" i="64"/>
  <c r="X50" i="64"/>
  <c r="R50" i="64"/>
  <c r="N50" i="64"/>
  <c r="L50" i="64"/>
  <c r="B50" i="64"/>
  <c r="V49" i="64"/>
  <c r="T49" i="64"/>
  <c r="P49" i="64"/>
  <c r="N49" i="64"/>
  <c r="L49" i="64"/>
  <c r="H49" i="64"/>
  <c r="F49" i="64"/>
  <c r="D49" i="64"/>
  <c r="B49" i="64"/>
  <c r="X48" i="64"/>
  <c r="Z48" i="64" s="1"/>
  <c r="V48" i="64"/>
  <c r="L48" i="64"/>
  <c r="N48" i="64" s="1"/>
  <c r="J48" i="64"/>
  <c r="B48" i="64"/>
  <c r="Z47" i="64"/>
  <c r="X47" i="64"/>
  <c r="V47" i="64"/>
  <c r="N47" i="64"/>
  <c r="L47" i="64"/>
  <c r="B47" i="64"/>
  <c r="T46" i="64"/>
  <c r="P46" i="64"/>
  <c r="J46" i="64"/>
  <c r="H46" i="64"/>
  <c r="N46" i="64" s="1"/>
  <c r="D46" i="64"/>
  <c r="L46" i="64" s="1"/>
  <c r="B46" i="64"/>
  <c r="Z45" i="64"/>
  <c r="X45" i="64"/>
  <c r="V45" i="64"/>
  <c r="N45" i="64"/>
  <c r="L45" i="64"/>
  <c r="J45" i="64"/>
  <c r="F45" i="64"/>
  <c r="B45" i="64"/>
  <c r="X44" i="64"/>
  <c r="Z44" i="64" s="1"/>
  <c r="V44" i="64"/>
  <c r="L44" i="64"/>
  <c r="N44" i="64" s="1"/>
  <c r="J44" i="64"/>
  <c r="B44" i="64"/>
  <c r="T43" i="64"/>
  <c r="R43" i="64"/>
  <c r="P43" i="64"/>
  <c r="X43" i="64" s="1"/>
  <c r="Z43" i="64" s="1"/>
  <c r="J43" i="64"/>
  <c r="H43" i="64"/>
  <c r="N43" i="64" s="1"/>
  <c r="D43" i="64"/>
  <c r="L43" i="64" s="1"/>
  <c r="B43" i="64"/>
  <c r="Z42" i="64"/>
  <c r="X42" i="64"/>
  <c r="R42" i="64"/>
  <c r="N42" i="64"/>
  <c r="L42" i="64"/>
  <c r="B42" i="64"/>
  <c r="V41" i="64"/>
  <c r="T41" i="64"/>
  <c r="P41" i="64"/>
  <c r="L41" i="64"/>
  <c r="N41" i="64" s="1"/>
  <c r="H41" i="64"/>
  <c r="D41" i="64"/>
  <c r="B41" i="64"/>
  <c r="Z40" i="64"/>
  <c r="X40" i="64"/>
  <c r="V40" i="64"/>
  <c r="N40" i="64"/>
  <c r="L40" i="64"/>
  <c r="J40" i="64"/>
  <c r="B40" i="64"/>
  <c r="Z39" i="64"/>
  <c r="X39" i="64"/>
  <c r="V39" i="64"/>
  <c r="L39" i="64"/>
  <c r="N39" i="64" s="1"/>
  <c r="J39" i="64"/>
  <c r="B39" i="64"/>
  <c r="T38" i="64"/>
  <c r="P38" i="64"/>
  <c r="J38" i="64"/>
  <c r="H38" i="64"/>
  <c r="N38" i="64" s="1"/>
  <c r="D38" i="64"/>
  <c r="L38" i="64" s="1"/>
  <c r="B38" i="64"/>
  <c r="Z37" i="64"/>
  <c r="X37" i="64"/>
  <c r="V37" i="64"/>
  <c r="N37" i="64"/>
  <c r="L37" i="64"/>
  <c r="J37" i="64"/>
  <c r="F37" i="64"/>
  <c r="B37" i="64"/>
  <c r="X36" i="64"/>
  <c r="V36" i="64"/>
  <c r="T36" i="64"/>
  <c r="P36" i="64"/>
  <c r="H36" i="64"/>
  <c r="L36" i="64" s="1"/>
  <c r="N36" i="64" s="1"/>
  <c r="D36" i="64"/>
  <c r="B36" i="64"/>
  <c r="Z35" i="64"/>
  <c r="X35" i="64"/>
  <c r="N35" i="64"/>
  <c r="L35" i="64"/>
  <c r="J35" i="64"/>
  <c r="B35" i="64"/>
  <c r="Z34" i="64"/>
  <c r="X34" i="64"/>
  <c r="R34" i="64"/>
  <c r="N34" i="64"/>
  <c r="L34" i="64"/>
  <c r="F34" i="64"/>
  <c r="B34" i="64"/>
  <c r="Z33" i="64"/>
  <c r="X33" i="64"/>
  <c r="V33" i="64"/>
  <c r="R33" i="64"/>
  <c r="N33" i="64"/>
  <c r="L33" i="64"/>
  <c r="J33" i="64"/>
  <c r="F33" i="64"/>
  <c r="B33" i="64"/>
  <c r="X32" i="64"/>
  <c r="Z32" i="64" s="1"/>
  <c r="V32" i="64"/>
  <c r="L32" i="64"/>
  <c r="N32" i="64" s="1"/>
  <c r="J32" i="64"/>
  <c r="B32" i="64"/>
  <c r="X31" i="64"/>
  <c r="Z31" i="64" s="1"/>
  <c r="V31" i="64"/>
  <c r="N31" i="64"/>
  <c r="L31" i="64"/>
  <c r="J31" i="64"/>
  <c r="B31" i="64"/>
  <c r="Z30" i="64"/>
  <c r="X30" i="64"/>
  <c r="R30" i="64"/>
  <c r="N30" i="64"/>
  <c r="L30" i="64"/>
  <c r="F30" i="64"/>
  <c r="B30" i="64"/>
  <c r="Z29" i="64"/>
  <c r="X29" i="64"/>
  <c r="V29" i="64"/>
  <c r="R29" i="64"/>
  <c r="N29" i="64"/>
  <c r="L29" i="64"/>
  <c r="J29" i="64"/>
  <c r="F29" i="64"/>
  <c r="B29" i="64"/>
  <c r="X28" i="64"/>
  <c r="V28" i="64"/>
  <c r="T28" i="64"/>
  <c r="Z28" i="64" s="1"/>
  <c r="P28" i="64"/>
  <c r="H28" i="64"/>
  <c r="L28" i="64" s="1"/>
  <c r="F28" i="64"/>
  <c r="D28" i="64"/>
  <c r="B28" i="64"/>
  <c r="Z27" i="64"/>
  <c r="X27" i="64"/>
  <c r="V27" i="64"/>
  <c r="L27" i="64"/>
  <c r="N27" i="64" s="1"/>
  <c r="J27" i="64"/>
  <c r="B27" i="64"/>
  <c r="Z26" i="64"/>
  <c r="X26" i="64"/>
  <c r="R26" i="64"/>
  <c r="N26" i="64"/>
  <c r="L26" i="64"/>
  <c r="B26" i="64"/>
  <c r="Z25" i="64"/>
  <c r="X25" i="64"/>
  <c r="V25" i="64"/>
  <c r="R25" i="64"/>
  <c r="N25" i="64"/>
  <c r="L25" i="64"/>
  <c r="J25" i="64"/>
  <c r="B25" i="64"/>
  <c r="X24" i="64"/>
  <c r="Z24" i="64" s="1"/>
  <c r="V24" i="64"/>
  <c r="L24" i="64"/>
  <c r="N24" i="64" s="1"/>
  <c r="J24" i="64"/>
  <c r="B24" i="64"/>
  <c r="Z23" i="64"/>
  <c r="X23" i="64"/>
  <c r="V23" i="64"/>
  <c r="L23" i="64"/>
  <c r="N23" i="64" s="1"/>
  <c r="J23" i="64"/>
  <c r="B23" i="64"/>
  <c r="Z22" i="64"/>
  <c r="X22" i="64"/>
  <c r="R22" i="64"/>
  <c r="N22" i="64"/>
  <c r="L22" i="64"/>
  <c r="B22" i="64"/>
  <c r="Z21" i="64"/>
  <c r="X21" i="64"/>
  <c r="V21" i="64"/>
  <c r="R21" i="64"/>
  <c r="N21" i="64"/>
  <c r="L21" i="64"/>
  <c r="J21" i="64"/>
  <c r="B21" i="64"/>
  <c r="X20" i="64"/>
  <c r="Z20" i="64" s="1"/>
  <c r="V20" i="64"/>
  <c r="L20" i="64"/>
  <c r="N20" i="64" s="1"/>
  <c r="J20" i="64"/>
  <c r="B20" i="64"/>
  <c r="V19" i="64"/>
  <c r="T19" i="64"/>
  <c r="P19" i="64"/>
  <c r="X19" i="64" s="1"/>
  <c r="Z19" i="64" s="1"/>
  <c r="J19" i="64"/>
  <c r="H19" i="64"/>
  <c r="D19" i="64"/>
  <c r="L19" i="64" s="1"/>
  <c r="B19" i="64"/>
  <c r="T18" i="64"/>
  <c r="R18" i="64"/>
  <c r="P18" i="64"/>
  <c r="X18" i="64" s="1"/>
  <c r="Z18" i="64" s="1"/>
  <c r="J18" i="64"/>
  <c r="H18" i="64"/>
  <c r="D18" i="64"/>
  <c r="L18" i="64" s="1"/>
  <c r="R16" i="64"/>
  <c r="J16" i="64"/>
  <c r="Z14" i="64"/>
  <c r="T14" i="64"/>
  <c r="T16" i="64" s="1"/>
  <c r="R14" i="64"/>
  <c r="P14" i="64"/>
  <c r="X14" i="64" s="1"/>
  <c r="J14" i="64"/>
  <c r="H14" i="64"/>
  <c r="H16" i="64" s="1"/>
  <c r="D14" i="64"/>
  <c r="L14" i="64" s="1"/>
  <c r="Z12" i="64"/>
  <c r="T12" i="64"/>
  <c r="V96" i="64" s="1"/>
  <c r="P12" i="64"/>
  <c r="R96" i="64" s="1"/>
  <c r="N12" i="64"/>
  <c r="H12" i="64"/>
  <c r="D12" i="64"/>
  <c r="F58" i="64" s="1"/>
  <c r="D6" i="64"/>
  <c r="D4" i="64"/>
  <c r="V58" i="61"/>
  <c r="F58" i="61"/>
  <c r="V55" i="61"/>
  <c r="F55" i="61"/>
  <c r="Z53" i="61"/>
  <c r="X53" i="61"/>
  <c r="V53" i="61"/>
  <c r="N53" i="61"/>
  <c r="L53" i="61"/>
  <c r="J53" i="61"/>
  <c r="F53" i="61"/>
  <c r="V51" i="61"/>
  <c r="P51" i="61"/>
  <c r="F51" i="61"/>
  <c r="X49" i="61"/>
  <c r="V49" i="61"/>
  <c r="T49" i="61"/>
  <c r="Z49" i="61" s="1"/>
  <c r="P49" i="61"/>
  <c r="H49" i="61"/>
  <c r="N49" i="61" s="1"/>
  <c r="F49" i="61"/>
  <c r="D49" i="61"/>
  <c r="L49" i="61" s="1"/>
  <c r="X47" i="61"/>
  <c r="Z47" i="61" s="1"/>
  <c r="V47" i="61"/>
  <c r="R47" i="61"/>
  <c r="L47" i="61"/>
  <c r="N47" i="61" s="1"/>
  <c r="F47" i="61"/>
  <c r="B47" i="61"/>
  <c r="V46" i="61"/>
  <c r="T46" i="61"/>
  <c r="R46" i="61"/>
  <c r="P46" i="61"/>
  <c r="X46" i="61" s="1"/>
  <c r="Z46" i="61" s="1"/>
  <c r="H46" i="61"/>
  <c r="F46" i="61"/>
  <c r="D46" i="61"/>
  <c r="L46" i="61" s="1"/>
  <c r="B46" i="61"/>
  <c r="Z45" i="61"/>
  <c r="X45" i="61"/>
  <c r="R45" i="61"/>
  <c r="N45" i="61"/>
  <c r="L45" i="61"/>
  <c r="F45" i="61"/>
  <c r="B45" i="61"/>
  <c r="V44" i="61"/>
  <c r="T44" i="61"/>
  <c r="R44" i="61"/>
  <c r="P44" i="61"/>
  <c r="L44" i="61"/>
  <c r="N44" i="61" s="1"/>
  <c r="H44" i="61"/>
  <c r="F44" i="61"/>
  <c r="D44" i="61"/>
  <c r="B44" i="61"/>
  <c r="Z43" i="61"/>
  <c r="X43" i="61"/>
  <c r="V43" i="61"/>
  <c r="R43" i="61"/>
  <c r="N43" i="61"/>
  <c r="L43" i="61"/>
  <c r="J43" i="61"/>
  <c r="F43" i="61"/>
  <c r="B43" i="61"/>
  <c r="Z42" i="61"/>
  <c r="X42" i="61"/>
  <c r="L42" i="61"/>
  <c r="N42" i="61" s="1"/>
  <c r="B42" i="61"/>
  <c r="T41" i="61"/>
  <c r="R41" i="61"/>
  <c r="P41" i="61"/>
  <c r="H41" i="61"/>
  <c r="N41" i="61" s="1"/>
  <c r="D41" i="61"/>
  <c r="L41" i="61" s="1"/>
  <c r="B41" i="61"/>
  <c r="Z40" i="61"/>
  <c r="X40" i="61"/>
  <c r="V40" i="61"/>
  <c r="R40" i="61"/>
  <c r="N40" i="61"/>
  <c r="L40" i="61"/>
  <c r="F40" i="61"/>
  <c r="B40" i="61"/>
  <c r="V39" i="61"/>
  <c r="T39" i="61"/>
  <c r="Z39" i="61" s="1"/>
  <c r="P39" i="61"/>
  <c r="X39" i="61" s="1"/>
  <c r="N39" i="61"/>
  <c r="H39" i="61"/>
  <c r="F39" i="61"/>
  <c r="D39" i="61"/>
  <c r="L39" i="61" s="1"/>
  <c r="B39" i="61"/>
  <c r="Z38" i="61"/>
  <c r="X38" i="61"/>
  <c r="V38" i="61"/>
  <c r="N38" i="61"/>
  <c r="L38" i="61"/>
  <c r="B38" i="61"/>
  <c r="T37" i="61"/>
  <c r="X37" i="61" s="1"/>
  <c r="Z37" i="61" s="1"/>
  <c r="R37" i="61"/>
  <c r="P37" i="61"/>
  <c r="L37" i="61"/>
  <c r="H37" i="61"/>
  <c r="N37" i="61" s="1"/>
  <c r="D37" i="61"/>
  <c r="B37" i="61"/>
  <c r="Z36" i="61"/>
  <c r="X36" i="61"/>
  <c r="V36" i="61"/>
  <c r="R36" i="61"/>
  <c r="N36" i="61"/>
  <c r="L36" i="61"/>
  <c r="J36" i="61"/>
  <c r="F36" i="61"/>
  <c r="B36" i="61"/>
  <c r="V35" i="61"/>
  <c r="T35" i="61"/>
  <c r="P35" i="61"/>
  <c r="N35" i="61"/>
  <c r="H35" i="61"/>
  <c r="L35" i="61" s="1"/>
  <c r="F35" i="61"/>
  <c r="D35" i="61"/>
  <c r="B35" i="61"/>
  <c r="Z34" i="61"/>
  <c r="X34" i="61"/>
  <c r="V34" i="61"/>
  <c r="N34" i="61"/>
  <c r="L34" i="61"/>
  <c r="B34" i="61"/>
  <c r="Z33" i="61"/>
  <c r="X33" i="61"/>
  <c r="R33" i="61"/>
  <c r="L33" i="61"/>
  <c r="N33" i="61" s="1"/>
  <c r="F33" i="61"/>
  <c r="B33" i="61"/>
  <c r="Z32" i="61"/>
  <c r="X32" i="61"/>
  <c r="V32" i="61"/>
  <c r="R32" i="61"/>
  <c r="N32" i="61"/>
  <c r="L32" i="61"/>
  <c r="F32" i="61"/>
  <c r="B32" i="61"/>
  <c r="X31" i="61"/>
  <c r="Z31" i="61" s="1"/>
  <c r="V31" i="61"/>
  <c r="R31" i="61"/>
  <c r="L31" i="61"/>
  <c r="N31" i="61" s="1"/>
  <c r="F31" i="61"/>
  <c r="B31" i="61"/>
  <c r="X30" i="61"/>
  <c r="Z30" i="61" s="1"/>
  <c r="V30" i="61"/>
  <c r="N30" i="61"/>
  <c r="L30" i="61"/>
  <c r="B30" i="61"/>
  <c r="Z29" i="61"/>
  <c r="X29" i="61"/>
  <c r="R29" i="61"/>
  <c r="L29" i="61"/>
  <c r="N29" i="61" s="1"/>
  <c r="F29" i="61"/>
  <c r="B29" i="61"/>
  <c r="V28" i="61"/>
  <c r="T28" i="61"/>
  <c r="Z28" i="61" s="1"/>
  <c r="R28" i="61"/>
  <c r="P28" i="61"/>
  <c r="X28" i="61" s="1"/>
  <c r="L28" i="61"/>
  <c r="N28" i="61" s="1"/>
  <c r="H28" i="61"/>
  <c r="F28" i="61"/>
  <c r="D28" i="61"/>
  <c r="B28" i="61"/>
  <c r="X27" i="61"/>
  <c r="Z27" i="61" s="1"/>
  <c r="V27" i="61"/>
  <c r="R27" i="61"/>
  <c r="L27" i="61"/>
  <c r="N27" i="61" s="1"/>
  <c r="F27" i="61"/>
  <c r="B27" i="61"/>
  <c r="Z26" i="61"/>
  <c r="X26" i="61"/>
  <c r="V26" i="61"/>
  <c r="N26" i="61"/>
  <c r="L26" i="61"/>
  <c r="B26" i="61"/>
  <c r="Z25" i="61"/>
  <c r="X25" i="61"/>
  <c r="R25" i="61"/>
  <c r="N25" i="61"/>
  <c r="L25" i="61"/>
  <c r="F25" i="61"/>
  <c r="B25" i="61"/>
  <c r="Z24" i="61"/>
  <c r="X24" i="61"/>
  <c r="V24" i="61"/>
  <c r="R24" i="61"/>
  <c r="N24" i="61"/>
  <c r="L24" i="61"/>
  <c r="F24" i="61"/>
  <c r="B24" i="61"/>
  <c r="X23" i="61"/>
  <c r="Z23" i="61" s="1"/>
  <c r="V23" i="61"/>
  <c r="R23" i="61"/>
  <c r="L23" i="61"/>
  <c r="N23" i="61" s="1"/>
  <c r="F23" i="61"/>
  <c r="B23" i="61"/>
  <c r="Z22" i="61"/>
  <c r="X22" i="61"/>
  <c r="V22" i="61"/>
  <c r="N22" i="61"/>
  <c r="L22" i="61"/>
  <c r="F22" i="61"/>
  <c r="B22" i="61"/>
  <c r="X21" i="61"/>
  <c r="Z21" i="61" s="1"/>
  <c r="R21" i="61"/>
  <c r="N21" i="61"/>
  <c r="L21" i="61"/>
  <c r="F21" i="61"/>
  <c r="B21" i="61"/>
  <c r="Z20" i="61"/>
  <c r="X20" i="61"/>
  <c r="V20" i="61"/>
  <c r="R20" i="61"/>
  <c r="N20" i="61"/>
  <c r="L20" i="61"/>
  <c r="J20" i="61"/>
  <c r="F20" i="61"/>
  <c r="B20" i="61"/>
  <c r="X19" i="61"/>
  <c r="V19" i="61"/>
  <c r="T19" i="61"/>
  <c r="Z19" i="61" s="1"/>
  <c r="P19" i="61"/>
  <c r="N19" i="61"/>
  <c r="L19" i="61"/>
  <c r="H19" i="61"/>
  <c r="F19" i="61"/>
  <c r="D19" i="61"/>
  <c r="B19" i="61"/>
  <c r="T18" i="61"/>
  <c r="R18" i="61"/>
  <c r="P18" i="61"/>
  <c r="X18" i="61" s="1"/>
  <c r="Z18" i="61" s="1"/>
  <c r="H18" i="61"/>
  <c r="F18" i="61"/>
  <c r="D18" i="61"/>
  <c r="R16" i="61"/>
  <c r="P16" i="61"/>
  <c r="F16" i="61"/>
  <c r="Z14" i="61"/>
  <c r="T14" i="61"/>
  <c r="R14" i="61"/>
  <c r="P14" i="61"/>
  <c r="X14" i="61" s="1"/>
  <c r="H14" i="61"/>
  <c r="N14" i="61" s="1"/>
  <c r="F14" i="61"/>
  <c r="D14" i="61"/>
  <c r="D16" i="61" s="1"/>
  <c r="Z12" i="61"/>
  <c r="X12" i="61"/>
  <c r="T12" i="61"/>
  <c r="V41" i="61" s="1"/>
  <c r="P12" i="61"/>
  <c r="R51" i="61" s="1"/>
  <c r="H12" i="61"/>
  <c r="J46" i="61" s="1"/>
  <c r="D12" i="61"/>
  <c r="F34" i="61" s="1"/>
  <c r="D6" i="61"/>
  <c r="D4" i="61"/>
  <c r="V56" i="60"/>
  <c r="J56" i="60"/>
  <c r="F56" i="60"/>
  <c r="V53" i="60"/>
  <c r="J53" i="60"/>
  <c r="F53" i="60"/>
  <c r="Z51" i="60"/>
  <c r="X51" i="60"/>
  <c r="V51" i="60"/>
  <c r="N51" i="60"/>
  <c r="L51" i="60"/>
  <c r="J51" i="60"/>
  <c r="F51" i="60"/>
  <c r="V49" i="60"/>
  <c r="V47" i="60"/>
  <c r="T47" i="60"/>
  <c r="Z47" i="60" s="1"/>
  <c r="P47" i="60"/>
  <c r="X47" i="60" s="1"/>
  <c r="N47" i="60"/>
  <c r="H47" i="60"/>
  <c r="D47" i="60"/>
  <c r="L47" i="60" s="1"/>
  <c r="Z45" i="60"/>
  <c r="X45" i="60"/>
  <c r="V45" i="60"/>
  <c r="R45" i="60"/>
  <c r="N45" i="60"/>
  <c r="L45" i="60"/>
  <c r="J45" i="60"/>
  <c r="B45" i="60"/>
  <c r="V44" i="60"/>
  <c r="T44" i="60"/>
  <c r="P44" i="60"/>
  <c r="H44" i="60"/>
  <c r="D44" i="60"/>
  <c r="B44" i="60"/>
  <c r="X43" i="60"/>
  <c r="Z43" i="60" s="1"/>
  <c r="V43" i="60"/>
  <c r="L43" i="60"/>
  <c r="N43" i="60" s="1"/>
  <c r="J43" i="60"/>
  <c r="B43" i="60"/>
  <c r="T42" i="60"/>
  <c r="Z42" i="60" s="1"/>
  <c r="P42" i="60"/>
  <c r="X42" i="60" s="1"/>
  <c r="J42" i="60"/>
  <c r="H42" i="60"/>
  <c r="D42" i="60"/>
  <c r="L42" i="60" s="1"/>
  <c r="B42" i="60"/>
  <c r="Z41" i="60"/>
  <c r="X41" i="60"/>
  <c r="V41" i="60"/>
  <c r="R41" i="60"/>
  <c r="N41" i="60"/>
  <c r="L41" i="60"/>
  <c r="J41" i="60"/>
  <c r="F41" i="60"/>
  <c r="B41" i="60"/>
  <c r="X40" i="60"/>
  <c r="Z40" i="60" s="1"/>
  <c r="V40" i="60"/>
  <c r="N40" i="60"/>
  <c r="L40" i="60"/>
  <c r="J40" i="60"/>
  <c r="F40" i="60"/>
  <c r="B40" i="60"/>
  <c r="Z39" i="60"/>
  <c r="X39" i="60"/>
  <c r="V39" i="60"/>
  <c r="T39" i="60"/>
  <c r="R39" i="60"/>
  <c r="P39" i="60"/>
  <c r="J39" i="60"/>
  <c r="H39" i="60"/>
  <c r="F39" i="60"/>
  <c r="D39" i="60"/>
  <c r="B39" i="60"/>
  <c r="Z38" i="60"/>
  <c r="X38" i="60"/>
  <c r="N38" i="60"/>
  <c r="L38" i="60"/>
  <c r="B38" i="60"/>
  <c r="V37" i="60"/>
  <c r="T37" i="60"/>
  <c r="X37" i="60" s="1"/>
  <c r="P37" i="60"/>
  <c r="H37" i="60"/>
  <c r="D37" i="60"/>
  <c r="L37" i="60" s="1"/>
  <c r="N37" i="60" s="1"/>
  <c r="B37" i="60"/>
  <c r="X36" i="60"/>
  <c r="Z36" i="60" s="1"/>
  <c r="V36" i="60"/>
  <c r="N36" i="60"/>
  <c r="L36" i="60"/>
  <c r="J36" i="60"/>
  <c r="B36" i="60"/>
  <c r="X35" i="60"/>
  <c r="Z35" i="60" s="1"/>
  <c r="V35" i="60"/>
  <c r="L35" i="60"/>
  <c r="N35" i="60" s="1"/>
  <c r="J35" i="60"/>
  <c r="B35" i="60"/>
  <c r="T34" i="60"/>
  <c r="R34" i="60"/>
  <c r="P34" i="60"/>
  <c r="X34" i="60" s="1"/>
  <c r="J34" i="60"/>
  <c r="H34" i="60"/>
  <c r="N34" i="60" s="1"/>
  <c r="D34" i="60"/>
  <c r="L34" i="60" s="1"/>
  <c r="B34" i="60"/>
  <c r="Z33" i="60"/>
  <c r="X33" i="60"/>
  <c r="V33" i="60"/>
  <c r="R33" i="60"/>
  <c r="N33" i="60"/>
  <c r="L33" i="60"/>
  <c r="J33" i="60"/>
  <c r="F33" i="60"/>
  <c r="B33" i="60"/>
  <c r="X32" i="60"/>
  <c r="V32" i="60"/>
  <c r="T32" i="60"/>
  <c r="P32" i="60"/>
  <c r="H32" i="60"/>
  <c r="F32" i="60"/>
  <c r="D32" i="60"/>
  <c r="B32" i="60"/>
  <c r="Z31" i="60"/>
  <c r="X31" i="60"/>
  <c r="V31" i="60"/>
  <c r="L31" i="60"/>
  <c r="N31" i="60" s="1"/>
  <c r="J31" i="60"/>
  <c r="B31" i="60"/>
  <c r="T30" i="60"/>
  <c r="P30" i="60"/>
  <c r="J30" i="60"/>
  <c r="H30" i="60"/>
  <c r="D30" i="60"/>
  <c r="L30" i="60" s="1"/>
  <c r="B30" i="60"/>
  <c r="Z29" i="60"/>
  <c r="X29" i="60"/>
  <c r="V29" i="60"/>
  <c r="N29" i="60"/>
  <c r="L29" i="60"/>
  <c r="J29" i="60"/>
  <c r="F29" i="60"/>
  <c r="B29" i="60"/>
  <c r="V28" i="60"/>
  <c r="T28" i="60"/>
  <c r="Z28" i="60" s="1"/>
  <c r="P28" i="60"/>
  <c r="X28" i="60" s="1"/>
  <c r="H28" i="60"/>
  <c r="F28" i="60"/>
  <c r="D28" i="60"/>
  <c r="L28" i="60" s="1"/>
  <c r="B28" i="60"/>
  <c r="X27" i="60"/>
  <c r="Z27" i="60" s="1"/>
  <c r="V27" i="60"/>
  <c r="N27" i="60"/>
  <c r="L27" i="60"/>
  <c r="J27" i="60"/>
  <c r="B27" i="60"/>
  <c r="Z26" i="60"/>
  <c r="X26" i="60"/>
  <c r="R26" i="60"/>
  <c r="N26" i="60"/>
  <c r="L26" i="60"/>
  <c r="F26" i="60"/>
  <c r="B26" i="60"/>
  <c r="Z25" i="60"/>
  <c r="X25" i="60"/>
  <c r="V25" i="60"/>
  <c r="R25" i="60"/>
  <c r="N25" i="60"/>
  <c r="L25" i="60"/>
  <c r="J25" i="60"/>
  <c r="F25" i="60"/>
  <c r="B25" i="60"/>
  <c r="X24" i="60"/>
  <c r="Z24" i="60" s="1"/>
  <c r="V24" i="60"/>
  <c r="L24" i="60"/>
  <c r="N24" i="60" s="1"/>
  <c r="J24" i="60"/>
  <c r="F24" i="60"/>
  <c r="B24" i="60"/>
  <c r="X23" i="60"/>
  <c r="Z23" i="60" s="1"/>
  <c r="V23" i="60"/>
  <c r="N23" i="60"/>
  <c r="L23" i="60"/>
  <c r="J23" i="60"/>
  <c r="B23" i="60"/>
  <c r="X22" i="60"/>
  <c r="Z22" i="60" s="1"/>
  <c r="R22" i="60"/>
  <c r="N22" i="60"/>
  <c r="L22" i="60"/>
  <c r="F22" i="60"/>
  <c r="B22" i="60"/>
  <c r="Z21" i="60"/>
  <c r="X21" i="60"/>
  <c r="V21" i="60"/>
  <c r="R21" i="60"/>
  <c r="N21" i="60"/>
  <c r="L21" i="60"/>
  <c r="J21" i="60"/>
  <c r="F21" i="60"/>
  <c r="B21" i="60"/>
  <c r="X20" i="60"/>
  <c r="Z20" i="60" s="1"/>
  <c r="V20" i="60"/>
  <c r="L20" i="60"/>
  <c r="N20" i="60" s="1"/>
  <c r="J20" i="60"/>
  <c r="F20" i="60"/>
  <c r="B20" i="60"/>
  <c r="Z19" i="60"/>
  <c r="X19" i="60"/>
  <c r="V19" i="60"/>
  <c r="T19" i="60"/>
  <c r="R19" i="60"/>
  <c r="P19" i="60"/>
  <c r="J19" i="60"/>
  <c r="H19" i="60"/>
  <c r="F19" i="60"/>
  <c r="D19" i="60"/>
  <c r="B19" i="60"/>
  <c r="Z18" i="60"/>
  <c r="T18" i="60"/>
  <c r="X18" i="60" s="1"/>
  <c r="P18" i="60"/>
  <c r="J18" i="60"/>
  <c r="H18" i="60"/>
  <c r="D18" i="60"/>
  <c r="L18" i="60" s="1"/>
  <c r="J16" i="60"/>
  <c r="H16" i="60"/>
  <c r="T14" i="60"/>
  <c r="P14" i="60"/>
  <c r="J14" i="60"/>
  <c r="H14" i="60"/>
  <c r="N14" i="60" s="1"/>
  <c r="D14" i="60"/>
  <c r="Z12" i="60"/>
  <c r="T12" i="60"/>
  <c r="V38" i="60" s="1"/>
  <c r="P12" i="60"/>
  <c r="N12" i="60"/>
  <c r="H12" i="60"/>
  <c r="J44" i="60" s="1"/>
  <c r="D12" i="60"/>
  <c r="F43" i="60" s="1"/>
  <c r="D6" i="60"/>
  <c r="D4" i="60"/>
  <c r="F72" i="59"/>
  <c r="Z67" i="59"/>
  <c r="X67" i="59"/>
  <c r="N67" i="59"/>
  <c r="L67" i="59"/>
  <c r="V65" i="59"/>
  <c r="V63" i="59"/>
  <c r="T63" i="59"/>
  <c r="Z63" i="59" s="1"/>
  <c r="P63" i="59"/>
  <c r="N63" i="59"/>
  <c r="H63" i="59"/>
  <c r="L63" i="59" s="1"/>
  <c r="D63" i="59"/>
  <c r="Z61" i="59"/>
  <c r="X61" i="59"/>
  <c r="R61" i="59"/>
  <c r="N61" i="59"/>
  <c r="L61" i="59"/>
  <c r="J61" i="59"/>
  <c r="B61" i="59"/>
  <c r="Z60" i="59"/>
  <c r="X60" i="59"/>
  <c r="N60" i="59"/>
  <c r="L60" i="59"/>
  <c r="B60" i="59"/>
  <c r="T59" i="59"/>
  <c r="P59" i="59"/>
  <c r="J59" i="59"/>
  <c r="H59" i="59"/>
  <c r="N59" i="59" s="1"/>
  <c r="D59" i="59"/>
  <c r="B59" i="59"/>
  <c r="Z58" i="59"/>
  <c r="X58" i="59"/>
  <c r="V58" i="59"/>
  <c r="N58" i="59"/>
  <c r="L58" i="59"/>
  <c r="B58" i="59"/>
  <c r="T57" i="59"/>
  <c r="P57" i="59"/>
  <c r="X57" i="59" s="1"/>
  <c r="H57" i="59"/>
  <c r="F57" i="59"/>
  <c r="D57" i="59"/>
  <c r="B57" i="59"/>
  <c r="X56" i="59"/>
  <c r="Z56" i="59" s="1"/>
  <c r="N56" i="59"/>
  <c r="L56" i="59"/>
  <c r="B56" i="59"/>
  <c r="Z55" i="59"/>
  <c r="X55" i="59"/>
  <c r="R55" i="59"/>
  <c r="N55" i="59"/>
  <c r="L55" i="59"/>
  <c r="F55" i="59"/>
  <c r="B55" i="59"/>
  <c r="T54" i="59"/>
  <c r="P54" i="59"/>
  <c r="N54" i="59"/>
  <c r="L54" i="59"/>
  <c r="H54" i="59"/>
  <c r="F54" i="59"/>
  <c r="D54" i="59"/>
  <c r="B54" i="59"/>
  <c r="X53" i="59"/>
  <c r="Z53" i="59" s="1"/>
  <c r="L53" i="59"/>
  <c r="N53" i="59" s="1"/>
  <c r="B53" i="59"/>
  <c r="Z52" i="59"/>
  <c r="X52" i="59"/>
  <c r="N52" i="59"/>
  <c r="L52" i="59"/>
  <c r="B52" i="59"/>
  <c r="Z51" i="59"/>
  <c r="T51" i="59"/>
  <c r="X51" i="59" s="1"/>
  <c r="P51" i="59"/>
  <c r="H51" i="59"/>
  <c r="D51" i="59"/>
  <c r="L51" i="59" s="1"/>
  <c r="B51" i="59"/>
  <c r="Z50" i="59"/>
  <c r="X50" i="59"/>
  <c r="N50" i="59"/>
  <c r="L50" i="59"/>
  <c r="B50" i="59"/>
  <c r="X49" i="59"/>
  <c r="Z49" i="59" s="1"/>
  <c r="L49" i="59"/>
  <c r="N49" i="59" s="1"/>
  <c r="B49" i="59"/>
  <c r="X48" i="59"/>
  <c r="Z48" i="59" s="1"/>
  <c r="V48" i="59"/>
  <c r="N48" i="59"/>
  <c r="L48" i="59"/>
  <c r="B48" i="59"/>
  <c r="Z47" i="59"/>
  <c r="X47" i="59"/>
  <c r="L47" i="59"/>
  <c r="N47" i="59" s="1"/>
  <c r="B47" i="59"/>
  <c r="T46" i="59"/>
  <c r="P46" i="59"/>
  <c r="X46" i="59" s="1"/>
  <c r="N46" i="59"/>
  <c r="H46" i="59"/>
  <c r="D46" i="59"/>
  <c r="L46" i="59" s="1"/>
  <c r="B46" i="59"/>
  <c r="X45" i="59"/>
  <c r="Z45" i="59" s="1"/>
  <c r="L45" i="59"/>
  <c r="N45" i="59" s="1"/>
  <c r="F45" i="59"/>
  <c r="B45" i="59"/>
  <c r="T44" i="59"/>
  <c r="R44" i="59"/>
  <c r="P44" i="59"/>
  <c r="X44" i="59" s="1"/>
  <c r="Z44" i="59" s="1"/>
  <c r="H44" i="59"/>
  <c r="D44" i="59"/>
  <c r="B44" i="59"/>
  <c r="Z43" i="59"/>
  <c r="X43" i="59"/>
  <c r="R43" i="59"/>
  <c r="N43" i="59"/>
  <c r="L43" i="59"/>
  <c r="F43" i="59"/>
  <c r="B43" i="59"/>
  <c r="V42" i="59"/>
  <c r="T42" i="59"/>
  <c r="P42" i="59"/>
  <c r="N42" i="59"/>
  <c r="L42" i="59"/>
  <c r="H42" i="59"/>
  <c r="F42" i="59"/>
  <c r="D42" i="59"/>
  <c r="B42" i="59"/>
  <c r="X41" i="59"/>
  <c r="Z41" i="59" s="1"/>
  <c r="L41" i="59"/>
  <c r="N41" i="59" s="1"/>
  <c r="J41" i="59"/>
  <c r="B41" i="59"/>
  <c r="X40" i="59"/>
  <c r="Z40" i="59" s="1"/>
  <c r="V40" i="59"/>
  <c r="N40" i="59"/>
  <c r="L40" i="59"/>
  <c r="B40" i="59"/>
  <c r="T39" i="59"/>
  <c r="P39" i="59"/>
  <c r="L39" i="59"/>
  <c r="H39" i="59"/>
  <c r="D39" i="59"/>
  <c r="B39" i="59"/>
  <c r="Z38" i="59"/>
  <c r="X38" i="59"/>
  <c r="N38" i="59"/>
  <c r="L38" i="59"/>
  <c r="F38" i="59"/>
  <c r="B38" i="59"/>
  <c r="T37" i="59"/>
  <c r="P37" i="59"/>
  <c r="X37" i="59" s="1"/>
  <c r="N37" i="59"/>
  <c r="H37" i="59"/>
  <c r="L37" i="59" s="1"/>
  <c r="F37" i="59"/>
  <c r="D37" i="59"/>
  <c r="B37" i="59"/>
  <c r="Z36" i="59"/>
  <c r="X36" i="59"/>
  <c r="N36" i="59"/>
  <c r="L36" i="59"/>
  <c r="B36" i="59"/>
  <c r="Z35" i="59"/>
  <c r="X35" i="59"/>
  <c r="N35" i="59"/>
  <c r="L35" i="59"/>
  <c r="B35" i="59"/>
  <c r="Z34" i="59"/>
  <c r="X34" i="59"/>
  <c r="V34" i="59"/>
  <c r="R34" i="59"/>
  <c r="N34" i="59"/>
  <c r="L34" i="59"/>
  <c r="B34" i="59"/>
  <c r="X33" i="59"/>
  <c r="Z33" i="59" s="1"/>
  <c r="R33" i="59"/>
  <c r="L33" i="59"/>
  <c r="N33" i="59" s="1"/>
  <c r="B33" i="59"/>
  <c r="X32" i="59"/>
  <c r="Z32" i="59" s="1"/>
  <c r="N32" i="59"/>
  <c r="L32" i="59"/>
  <c r="B32" i="59"/>
  <c r="Z31" i="59"/>
  <c r="X31" i="59"/>
  <c r="R31" i="59"/>
  <c r="N31" i="59"/>
  <c r="L31" i="59"/>
  <c r="F31" i="59"/>
  <c r="B31" i="59"/>
  <c r="Z30" i="59"/>
  <c r="V30" i="59"/>
  <c r="T30" i="59"/>
  <c r="P30" i="59"/>
  <c r="X30" i="59" s="1"/>
  <c r="H30" i="59"/>
  <c r="F30" i="59"/>
  <c r="D30" i="59"/>
  <c r="L30" i="59" s="1"/>
  <c r="N30" i="59" s="1"/>
  <c r="B30" i="59"/>
  <c r="X29" i="59"/>
  <c r="Z29" i="59" s="1"/>
  <c r="L29" i="59"/>
  <c r="N29" i="59" s="1"/>
  <c r="J29" i="59"/>
  <c r="B29" i="59"/>
  <c r="X28" i="59"/>
  <c r="Z28" i="59" s="1"/>
  <c r="L28" i="59"/>
  <c r="N28" i="59" s="1"/>
  <c r="B28" i="59"/>
  <c r="Z27" i="59"/>
  <c r="X27" i="59"/>
  <c r="R27" i="59"/>
  <c r="L27" i="59"/>
  <c r="N27" i="59" s="1"/>
  <c r="B27" i="59"/>
  <c r="Z26" i="59"/>
  <c r="X26" i="59"/>
  <c r="R26" i="59"/>
  <c r="N26" i="59"/>
  <c r="L26" i="59"/>
  <c r="F26" i="59"/>
  <c r="B26" i="59"/>
  <c r="Z25" i="59"/>
  <c r="X25" i="59"/>
  <c r="N25" i="59"/>
  <c r="L25" i="59"/>
  <c r="B25" i="59"/>
  <c r="Z24" i="59"/>
  <c r="X24" i="59"/>
  <c r="V24" i="59"/>
  <c r="N24" i="59"/>
  <c r="L24" i="59"/>
  <c r="B24" i="59"/>
  <c r="Z23" i="59"/>
  <c r="X23" i="59"/>
  <c r="R23" i="59"/>
  <c r="N23" i="59"/>
  <c r="L23" i="59"/>
  <c r="F23" i="59"/>
  <c r="B23" i="59"/>
  <c r="Z22" i="59"/>
  <c r="X22" i="59"/>
  <c r="V22" i="59"/>
  <c r="R22" i="59"/>
  <c r="N22" i="59"/>
  <c r="L22" i="59"/>
  <c r="F22" i="59"/>
  <c r="B22" i="59"/>
  <c r="X21" i="59"/>
  <c r="Z21" i="59" s="1"/>
  <c r="L21" i="59"/>
  <c r="N21" i="59" s="1"/>
  <c r="B21" i="59"/>
  <c r="Z20" i="59"/>
  <c r="X20" i="59"/>
  <c r="V20" i="59"/>
  <c r="L20" i="59"/>
  <c r="N20" i="59" s="1"/>
  <c r="B20" i="59"/>
  <c r="T19" i="59"/>
  <c r="R19" i="59"/>
  <c r="P19" i="59"/>
  <c r="X19" i="59" s="1"/>
  <c r="Z19" i="59" s="1"/>
  <c r="J19" i="59"/>
  <c r="H19" i="59"/>
  <c r="D19" i="59"/>
  <c r="L19" i="59" s="1"/>
  <c r="B19" i="59"/>
  <c r="T18" i="59"/>
  <c r="R18" i="59"/>
  <c r="P18" i="59"/>
  <c r="X18" i="59" s="1"/>
  <c r="H18" i="59"/>
  <c r="D18" i="59"/>
  <c r="L18" i="59" s="1"/>
  <c r="N18" i="59" s="1"/>
  <c r="R16" i="59"/>
  <c r="V14" i="59"/>
  <c r="T14" i="59"/>
  <c r="Z14" i="59" s="1"/>
  <c r="P14" i="59"/>
  <c r="X14" i="59" s="1"/>
  <c r="N14" i="59"/>
  <c r="L14" i="59"/>
  <c r="H14" i="59"/>
  <c r="D14" i="59"/>
  <c r="T12" i="59"/>
  <c r="V16" i="59" s="1"/>
  <c r="P12" i="59"/>
  <c r="R14" i="59" s="1"/>
  <c r="H12" i="59"/>
  <c r="H16" i="59" s="1"/>
  <c r="D12" i="59"/>
  <c r="F18" i="59" s="1"/>
  <c r="D6" i="59"/>
  <c r="D4" i="59"/>
  <c r="R80" i="58"/>
  <c r="J80" i="58"/>
  <c r="R77" i="58"/>
  <c r="J77" i="58"/>
  <c r="Z75" i="58"/>
  <c r="X75" i="58"/>
  <c r="N75" i="58"/>
  <c r="L75" i="58"/>
  <c r="V73" i="58"/>
  <c r="J73" i="58"/>
  <c r="T71" i="58"/>
  <c r="Z71" i="58" s="1"/>
  <c r="R71" i="58"/>
  <c r="P71" i="58"/>
  <c r="J71" i="58"/>
  <c r="H71" i="58"/>
  <c r="N71" i="58" s="1"/>
  <c r="D71" i="58"/>
  <c r="L71" i="58" s="1"/>
  <c r="Z69" i="58"/>
  <c r="X69" i="58"/>
  <c r="V69" i="58"/>
  <c r="N69" i="58"/>
  <c r="L69" i="58"/>
  <c r="B69" i="58"/>
  <c r="T68" i="58"/>
  <c r="P68" i="58"/>
  <c r="X68" i="58" s="1"/>
  <c r="Z68" i="58" s="1"/>
  <c r="N68" i="58"/>
  <c r="L68" i="58"/>
  <c r="J68" i="58"/>
  <c r="H68" i="58"/>
  <c r="D68" i="58"/>
  <c r="B68" i="58"/>
  <c r="Z67" i="58"/>
  <c r="X67" i="58"/>
  <c r="V67" i="58"/>
  <c r="L67" i="58"/>
  <c r="N67" i="58" s="1"/>
  <c r="B67" i="58"/>
  <c r="T66" i="58"/>
  <c r="P66" i="58"/>
  <c r="X66" i="58" s="1"/>
  <c r="L66" i="58"/>
  <c r="N66" i="58" s="1"/>
  <c r="H66" i="58"/>
  <c r="D66" i="58"/>
  <c r="B66" i="58"/>
  <c r="Z65" i="58"/>
  <c r="X65" i="58"/>
  <c r="N65" i="58"/>
  <c r="L65" i="58"/>
  <c r="J65" i="58"/>
  <c r="B65" i="58"/>
  <c r="T64" i="58"/>
  <c r="P64" i="58"/>
  <c r="J64" i="58"/>
  <c r="H64" i="58"/>
  <c r="D64" i="58"/>
  <c r="L64" i="58" s="1"/>
  <c r="B64" i="58"/>
  <c r="Z63" i="58"/>
  <c r="X63" i="58"/>
  <c r="V63" i="58"/>
  <c r="R63" i="58"/>
  <c r="N63" i="58"/>
  <c r="L63" i="58"/>
  <c r="J63" i="58"/>
  <c r="B63" i="58"/>
  <c r="Z62" i="58"/>
  <c r="X62" i="58"/>
  <c r="V62" i="58"/>
  <c r="L62" i="58"/>
  <c r="N62" i="58" s="1"/>
  <c r="B62" i="58"/>
  <c r="Z61" i="58"/>
  <c r="X61" i="58"/>
  <c r="V61" i="58"/>
  <c r="L61" i="58"/>
  <c r="N61" i="58" s="1"/>
  <c r="B61" i="58"/>
  <c r="X60" i="58"/>
  <c r="Z60" i="58" s="1"/>
  <c r="T60" i="58"/>
  <c r="P60" i="58"/>
  <c r="N60" i="58"/>
  <c r="L60" i="58"/>
  <c r="J60" i="58"/>
  <c r="H60" i="58"/>
  <c r="D60" i="58"/>
  <c r="B60" i="58"/>
  <c r="Z59" i="58"/>
  <c r="X59" i="58"/>
  <c r="V59" i="58"/>
  <c r="L59" i="58"/>
  <c r="N59" i="58" s="1"/>
  <c r="B59" i="58"/>
  <c r="X58" i="58"/>
  <c r="Z58" i="58" s="1"/>
  <c r="R58" i="58"/>
  <c r="N58" i="58"/>
  <c r="L58" i="58"/>
  <c r="J58" i="58"/>
  <c r="B58" i="58"/>
  <c r="Z57" i="58"/>
  <c r="T57" i="58"/>
  <c r="R57" i="58"/>
  <c r="P57" i="58"/>
  <c r="X57" i="58" s="1"/>
  <c r="J57" i="58"/>
  <c r="H57" i="58"/>
  <c r="D57" i="58"/>
  <c r="B57" i="58"/>
  <c r="Z56" i="58"/>
  <c r="X56" i="58"/>
  <c r="L56" i="58"/>
  <c r="N56" i="58" s="1"/>
  <c r="B56" i="58"/>
  <c r="Z55" i="58"/>
  <c r="X55" i="58"/>
  <c r="V55" i="58"/>
  <c r="R55" i="58"/>
  <c r="N55" i="58"/>
  <c r="L55" i="58"/>
  <c r="J55" i="58"/>
  <c r="B55" i="58"/>
  <c r="V54" i="58"/>
  <c r="T54" i="58"/>
  <c r="R54" i="58"/>
  <c r="P54" i="58"/>
  <c r="X54" i="58" s="1"/>
  <c r="H54" i="58"/>
  <c r="D54" i="58"/>
  <c r="B54" i="58"/>
  <c r="Z53" i="58"/>
  <c r="X53" i="58"/>
  <c r="V53" i="58"/>
  <c r="N53" i="58"/>
  <c r="L53" i="58"/>
  <c r="B53" i="58"/>
  <c r="X52" i="58"/>
  <c r="Z52" i="58" s="1"/>
  <c r="N52" i="58"/>
  <c r="L52" i="58"/>
  <c r="B52" i="58"/>
  <c r="Z51" i="58"/>
  <c r="X51" i="58"/>
  <c r="V51" i="58"/>
  <c r="R51" i="58"/>
  <c r="N51" i="58"/>
  <c r="L51" i="58"/>
  <c r="B51" i="58"/>
  <c r="V50" i="58"/>
  <c r="T50" i="58"/>
  <c r="P50" i="58"/>
  <c r="L50" i="58"/>
  <c r="H50" i="58"/>
  <c r="N50" i="58" s="1"/>
  <c r="D50" i="58"/>
  <c r="B50" i="58"/>
  <c r="Z49" i="58"/>
  <c r="X49" i="58"/>
  <c r="V49" i="58"/>
  <c r="N49" i="58"/>
  <c r="L49" i="58"/>
  <c r="B49" i="58"/>
  <c r="Z48" i="58"/>
  <c r="X48" i="58"/>
  <c r="T48" i="58"/>
  <c r="R48" i="58"/>
  <c r="P48" i="58"/>
  <c r="J48" i="58"/>
  <c r="H48" i="58"/>
  <c r="D48" i="58"/>
  <c r="L48" i="58" s="1"/>
  <c r="B48" i="58"/>
  <c r="Z47" i="58"/>
  <c r="X47" i="58"/>
  <c r="N47" i="58"/>
  <c r="L47" i="58"/>
  <c r="B47" i="58"/>
  <c r="X46" i="58"/>
  <c r="V46" i="58"/>
  <c r="T46" i="58"/>
  <c r="R46" i="58"/>
  <c r="P46" i="58"/>
  <c r="N46" i="58"/>
  <c r="L46" i="58"/>
  <c r="H46" i="58"/>
  <c r="D46" i="58"/>
  <c r="B46" i="58"/>
  <c r="X45" i="58"/>
  <c r="Z45" i="58" s="1"/>
  <c r="V45" i="58"/>
  <c r="R45" i="58"/>
  <c r="N45" i="58"/>
  <c r="L45" i="58"/>
  <c r="J45" i="58"/>
  <c r="B45" i="58"/>
  <c r="V44" i="58"/>
  <c r="T44" i="58"/>
  <c r="Z44" i="58" s="1"/>
  <c r="P44" i="58"/>
  <c r="X44" i="58" s="1"/>
  <c r="L44" i="58"/>
  <c r="N44" i="58" s="1"/>
  <c r="J44" i="58"/>
  <c r="H44" i="58"/>
  <c r="D44" i="58"/>
  <c r="B44" i="58"/>
  <c r="Z43" i="58"/>
  <c r="X43" i="58"/>
  <c r="V43" i="58"/>
  <c r="L43" i="58"/>
  <c r="N43" i="58" s="1"/>
  <c r="J43" i="58"/>
  <c r="B43" i="58"/>
  <c r="V42" i="58"/>
  <c r="T42" i="58"/>
  <c r="P42" i="58"/>
  <c r="H42" i="58"/>
  <c r="N42" i="58" s="1"/>
  <c r="D42" i="58"/>
  <c r="L42" i="58" s="1"/>
  <c r="B42" i="58"/>
  <c r="X41" i="58"/>
  <c r="Z41" i="58" s="1"/>
  <c r="V41" i="58"/>
  <c r="L41" i="58"/>
  <c r="N41" i="58" s="1"/>
  <c r="J41" i="58"/>
  <c r="B41" i="58"/>
  <c r="T40" i="58"/>
  <c r="X40" i="58" s="1"/>
  <c r="Z40" i="58" s="1"/>
  <c r="P40" i="58"/>
  <c r="H40" i="58"/>
  <c r="D40" i="58"/>
  <c r="B40" i="58"/>
  <c r="Z39" i="58"/>
  <c r="X39" i="58"/>
  <c r="V39" i="58"/>
  <c r="L39" i="58"/>
  <c r="N39" i="58" s="1"/>
  <c r="J39" i="58"/>
  <c r="B39" i="58"/>
  <c r="V38" i="58"/>
  <c r="T38" i="58"/>
  <c r="R38" i="58"/>
  <c r="P38" i="58"/>
  <c r="X38" i="58" s="1"/>
  <c r="J38" i="58"/>
  <c r="H38" i="58"/>
  <c r="N38" i="58" s="1"/>
  <c r="D38" i="58"/>
  <c r="L38" i="58" s="1"/>
  <c r="B38" i="58"/>
  <c r="X37" i="58"/>
  <c r="Z37" i="58" s="1"/>
  <c r="V37" i="58"/>
  <c r="R37" i="58"/>
  <c r="N37" i="58"/>
  <c r="L37" i="58"/>
  <c r="J37" i="58"/>
  <c r="B37" i="58"/>
  <c r="X36" i="58"/>
  <c r="Z36" i="58" s="1"/>
  <c r="V36" i="58"/>
  <c r="T36" i="58"/>
  <c r="R36" i="58"/>
  <c r="P36" i="58"/>
  <c r="N36" i="58"/>
  <c r="L36" i="58"/>
  <c r="H36" i="58"/>
  <c r="D36" i="58"/>
  <c r="B36" i="58"/>
  <c r="Z35" i="58"/>
  <c r="X35" i="58"/>
  <c r="R35" i="58"/>
  <c r="N35" i="58"/>
  <c r="L35" i="58"/>
  <c r="J35" i="58"/>
  <c r="B35" i="58"/>
  <c r="Z34" i="58"/>
  <c r="X34" i="58"/>
  <c r="V34" i="58"/>
  <c r="R34" i="58"/>
  <c r="N34" i="58"/>
  <c r="L34" i="58"/>
  <c r="J34" i="58"/>
  <c r="B34" i="58"/>
  <c r="Z33" i="58"/>
  <c r="X33" i="58"/>
  <c r="V33" i="58"/>
  <c r="R33" i="58"/>
  <c r="N33" i="58"/>
  <c r="L33" i="58"/>
  <c r="J33" i="58"/>
  <c r="B33" i="58"/>
  <c r="Z32" i="58"/>
  <c r="X32" i="58"/>
  <c r="V32" i="58"/>
  <c r="R32" i="58"/>
  <c r="N32" i="58"/>
  <c r="L32" i="58"/>
  <c r="J32" i="58"/>
  <c r="B32" i="58"/>
  <c r="Z31" i="58"/>
  <c r="X31" i="58"/>
  <c r="R31" i="58"/>
  <c r="L31" i="58"/>
  <c r="N31" i="58" s="1"/>
  <c r="J31" i="58"/>
  <c r="B31" i="58"/>
  <c r="Z30" i="58"/>
  <c r="V30" i="58"/>
  <c r="T30" i="58"/>
  <c r="X30" i="58" s="1"/>
  <c r="R30" i="58"/>
  <c r="P30" i="58"/>
  <c r="L30" i="58"/>
  <c r="N30" i="58" s="1"/>
  <c r="J30" i="58"/>
  <c r="H30" i="58"/>
  <c r="D30" i="58"/>
  <c r="B30" i="58"/>
  <c r="Z29" i="58"/>
  <c r="X29" i="58"/>
  <c r="V29" i="58"/>
  <c r="R29" i="58"/>
  <c r="L29" i="58"/>
  <c r="N29" i="58" s="1"/>
  <c r="J29" i="58"/>
  <c r="B29" i="58"/>
  <c r="X28" i="58"/>
  <c r="Z28" i="58" s="1"/>
  <c r="V28" i="58"/>
  <c r="L28" i="58"/>
  <c r="N28" i="58" s="1"/>
  <c r="J28" i="58"/>
  <c r="B28" i="58"/>
  <c r="Z27" i="58"/>
  <c r="X27" i="58"/>
  <c r="V27" i="58"/>
  <c r="L27" i="58"/>
  <c r="N27" i="58" s="1"/>
  <c r="J27" i="58"/>
  <c r="B27" i="58"/>
  <c r="Z26" i="58"/>
  <c r="X26" i="58"/>
  <c r="V26" i="58"/>
  <c r="R26" i="58"/>
  <c r="L26" i="58"/>
  <c r="N26" i="58" s="1"/>
  <c r="B26" i="58"/>
  <c r="Z25" i="58"/>
  <c r="X25" i="58"/>
  <c r="V25" i="58"/>
  <c r="R25" i="58"/>
  <c r="N25" i="58"/>
  <c r="L25" i="58"/>
  <c r="J25" i="58"/>
  <c r="B25" i="58"/>
  <c r="X24" i="58"/>
  <c r="Z24" i="58" s="1"/>
  <c r="V24" i="58"/>
  <c r="L24" i="58"/>
  <c r="N24" i="58" s="1"/>
  <c r="J24" i="58"/>
  <c r="B24" i="58"/>
  <c r="Z23" i="58"/>
  <c r="X23" i="58"/>
  <c r="V23" i="58"/>
  <c r="L23" i="58"/>
  <c r="N23" i="58" s="1"/>
  <c r="J23" i="58"/>
  <c r="B23" i="58"/>
  <c r="Z22" i="58"/>
  <c r="X22" i="58"/>
  <c r="V22" i="58"/>
  <c r="R22" i="58"/>
  <c r="N22" i="58"/>
  <c r="L22" i="58"/>
  <c r="B22" i="58"/>
  <c r="Z21" i="58"/>
  <c r="X21" i="58"/>
  <c r="V21" i="58"/>
  <c r="R21" i="58"/>
  <c r="L21" i="58"/>
  <c r="N21" i="58" s="1"/>
  <c r="J21" i="58"/>
  <c r="F21" i="58"/>
  <c r="B21" i="58"/>
  <c r="X20" i="58"/>
  <c r="Z20" i="58" s="1"/>
  <c r="V20" i="58"/>
  <c r="L20" i="58"/>
  <c r="N20" i="58" s="1"/>
  <c r="J20" i="58"/>
  <c r="B20" i="58"/>
  <c r="V19" i="58"/>
  <c r="T19" i="58"/>
  <c r="P19" i="58"/>
  <c r="X19" i="58" s="1"/>
  <c r="Z19" i="58" s="1"/>
  <c r="J19" i="58"/>
  <c r="H19" i="58"/>
  <c r="D19" i="58"/>
  <c r="L19" i="58" s="1"/>
  <c r="B19" i="58"/>
  <c r="X18" i="58"/>
  <c r="Z18" i="58" s="1"/>
  <c r="T18" i="58"/>
  <c r="R18" i="58"/>
  <c r="P18" i="58"/>
  <c r="J18" i="58"/>
  <c r="H18" i="58"/>
  <c r="D18" i="58"/>
  <c r="L18" i="58" s="1"/>
  <c r="N18" i="58" s="1"/>
  <c r="Z16" i="58"/>
  <c r="R16" i="58"/>
  <c r="J16" i="58"/>
  <c r="Z14" i="58"/>
  <c r="X14" i="58"/>
  <c r="T14" i="58"/>
  <c r="T16" i="58" s="1"/>
  <c r="T73" i="58" s="1"/>
  <c r="T77" i="58" s="1"/>
  <c r="R14" i="58"/>
  <c r="P14" i="58"/>
  <c r="N14" i="58"/>
  <c r="L14" i="58"/>
  <c r="J14" i="58"/>
  <c r="H14" i="58"/>
  <c r="D14" i="58"/>
  <c r="Z12" i="58"/>
  <c r="X12" i="58"/>
  <c r="T12" i="58"/>
  <c r="V71" i="58" s="1"/>
  <c r="P12" i="58"/>
  <c r="R64" i="58" s="1"/>
  <c r="N12" i="58"/>
  <c r="H12" i="58"/>
  <c r="J75" i="58" s="1"/>
  <c r="D12" i="58"/>
  <c r="F18" i="58" s="1"/>
  <c r="D6" i="58"/>
  <c r="D4" i="58"/>
  <c r="F78" i="57"/>
  <c r="V75" i="57"/>
  <c r="F75" i="57"/>
  <c r="Z73" i="57"/>
  <c r="X73" i="57"/>
  <c r="V73" i="57"/>
  <c r="R73" i="57"/>
  <c r="N73" i="57"/>
  <c r="L73" i="57"/>
  <c r="J73" i="57"/>
  <c r="R71" i="57"/>
  <c r="F71" i="57"/>
  <c r="Z69" i="57"/>
  <c r="T69" i="57"/>
  <c r="R69" i="57"/>
  <c r="P69" i="57"/>
  <c r="X69" i="57" s="1"/>
  <c r="N69" i="57"/>
  <c r="L69" i="57"/>
  <c r="H69" i="57"/>
  <c r="F69" i="57"/>
  <c r="D69" i="57"/>
  <c r="X67" i="57"/>
  <c r="Z67" i="57" s="1"/>
  <c r="L67" i="57"/>
  <c r="N67" i="57" s="1"/>
  <c r="J67" i="57"/>
  <c r="F67" i="57"/>
  <c r="B67" i="57"/>
  <c r="X66" i="57"/>
  <c r="Z66" i="57" s="1"/>
  <c r="T66" i="57"/>
  <c r="R66" i="57"/>
  <c r="P66" i="57"/>
  <c r="J66" i="57"/>
  <c r="H66" i="57"/>
  <c r="F66" i="57"/>
  <c r="D66" i="57"/>
  <c r="B66" i="57"/>
  <c r="Z65" i="57"/>
  <c r="X65" i="57"/>
  <c r="R65" i="57"/>
  <c r="N65" i="57"/>
  <c r="L65" i="57"/>
  <c r="J65" i="57"/>
  <c r="F65" i="57"/>
  <c r="B65" i="57"/>
  <c r="T64" i="57"/>
  <c r="R64" i="57"/>
  <c r="P64" i="57"/>
  <c r="X64" i="57" s="1"/>
  <c r="Z64" i="57" s="1"/>
  <c r="H64" i="57"/>
  <c r="F64" i="57"/>
  <c r="D64" i="57"/>
  <c r="L64" i="57" s="1"/>
  <c r="B64" i="57"/>
  <c r="X63" i="57"/>
  <c r="Z63" i="57" s="1"/>
  <c r="R63" i="57"/>
  <c r="L63" i="57"/>
  <c r="N63" i="57" s="1"/>
  <c r="J63" i="57"/>
  <c r="B63" i="57"/>
  <c r="V62" i="57"/>
  <c r="T62" i="57"/>
  <c r="R62" i="57"/>
  <c r="P62" i="57"/>
  <c r="X62" i="57" s="1"/>
  <c r="Z62" i="57" s="1"/>
  <c r="J62" i="57"/>
  <c r="H62" i="57"/>
  <c r="D62" i="57"/>
  <c r="L62" i="57" s="1"/>
  <c r="B62" i="57"/>
  <c r="Z61" i="57"/>
  <c r="X61" i="57"/>
  <c r="R61" i="57"/>
  <c r="N61" i="57"/>
  <c r="L61" i="57"/>
  <c r="F61" i="57"/>
  <c r="B61" i="57"/>
  <c r="X60" i="57"/>
  <c r="Z60" i="57" s="1"/>
  <c r="V60" i="57"/>
  <c r="R60" i="57"/>
  <c r="N60" i="57"/>
  <c r="L60" i="57"/>
  <c r="F60" i="57"/>
  <c r="B60" i="57"/>
  <c r="X59" i="57"/>
  <c r="Z59" i="57" s="1"/>
  <c r="N59" i="57"/>
  <c r="L59" i="57"/>
  <c r="J59" i="57"/>
  <c r="F59" i="57"/>
  <c r="B59" i="57"/>
  <c r="X58" i="57"/>
  <c r="Z58" i="57" s="1"/>
  <c r="T58" i="57"/>
  <c r="R58" i="57"/>
  <c r="P58" i="57"/>
  <c r="J58" i="57"/>
  <c r="H58" i="57"/>
  <c r="F58" i="57"/>
  <c r="D58" i="57"/>
  <c r="B58" i="57"/>
  <c r="Z57" i="57"/>
  <c r="X57" i="57"/>
  <c r="R57" i="57"/>
  <c r="N57" i="57"/>
  <c r="L57" i="57"/>
  <c r="J57" i="57"/>
  <c r="F57" i="57"/>
  <c r="B57" i="57"/>
  <c r="Z56" i="57"/>
  <c r="T56" i="57"/>
  <c r="R56" i="57"/>
  <c r="P56" i="57"/>
  <c r="X56" i="57" s="1"/>
  <c r="N56" i="57"/>
  <c r="H56" i="57"/>
  <c r="F56" i="57"/>
  <c r="D56" i="57"/>
  <c r="B56" i="57"/>
  <c r="X55" i="57"/>
  <c r="Z55" i="57" s="1"/>
  <c r="V55" i="57"/>
  <c r="R55" i="57"/>
  <c r="L55" i="57"/>
  <c r="N55" i="57" s="1"/>
  <c r="J55" i="57"/>
  <c r="B55" i="57"/>
  <c r="X54" i="57"/>
  <c r="Z54" i="57" s="1"/>
  <c r="V54" i="57"/>
  <c r="T54" i="57"/>
  <c r="R54" i="57"/>
  <c r="P54" i="57"/>
  <c r="J54" i="57"/>
  <c r="H54" i="57"/>
  <c r="D54" i="57"/>
  <c r="L54" i="57" s="1"/>
  <c r="B54" i="57"/>
  <c r="Z53" i="57"/>
  <c r="X53" i="57"/>
  <c r="R53" i="57"/>
  <c r="N53" i="57"/>
  <c r="L53" i="57"/>
  <c r="F53" i="57"/>
  <c r="B53" i="57"/>
  <c r="X52" i="57"/>
  <c r="Z52" i="57" s="1"/>
  <c r="V52" i="57"/>
  <c r="R52" i="57"/>
  <c r="N52" i="57"/>
  <c r="L52" i="57"/>
  <c r="F52" i="57"/>
  <c r="B52" i="57"/>
  <c r="X51" i="57"/>
  <c r="Z51" i="57" s="1"/>
  <c r="V51" i="57"/>
  <c r="N51" i="57"/>
  <c r="L51" i="57"/>
  <c r="J51" i="57"/>
  <c r="F51" i="57"/>
  <c r="B51" i="57"/>
  <c r="X50" i="57"/>
  <c r="Z50" i="57" s="1"/>
  <c r="T50" i="57"/>
  <c r="R50" i="57"/>
  <c r="P50" i="57"/>
  <c r="J50" i="57"/>
  <c r="H50" i="57"/>
  <c r="F50" i="57"/>
  <c r="D50" i="57"/>
  <c r="B50" i="57"/>
  <c r="Z49" i="57"/>
  <c r="X49" i="57"/>
  <c r="R49" i="57"/>
  <c r="N49" i="57"/>
  <c r="L49" i="57"/>
  <c r="J49" i="57"/>
  <c r="F49" i="57"/>
  <c r="B49" i="57"/>
  <c r="Z48" i="57"/>
  <c r="T48" i="57"/>
  <c r="R48" i="57"/>
  <c r="P48" i="57"/>
  <c r="N48" i="57"/>
  <c r="H48" i="57"/>
  <c r="F48" i="57"/>
  <c r="D48" i="57"/>
  <c r="L48" i="57" s="1"/>
  <c r="B48" i="57"/>
  <c r="X47" i="57"/>
  <c r="Z47" i="57" s="1"/>
  <c r="V47" i="57"/>
  <c r="R47" i="57"/>
  <c r="L47" i="57"/>
  <c r="N47" i="57" s="1"/>
  <c r="J47" i="57"/>
  <c r="B47" i="57"/>
  <c r="Z46" i="57"/>
  <c r="X46" i="57"/>
  <c r="V46" i="57"/>
  <c r="T46" i="57"/>
  <c r="R46" i="57"/>
  <c r="P46" i="57"/>
  <c r="J46" i="57"/>
  <c r="H46" i="57"/>
  <c r="D46" i="57"/>
  <c r="B46" i="57"/>
  <c r="Z45" i="57"/>
  <c r="X45" i="57"/>
  <c r="R45" i="57"/>
  <c r="N45" i="57"/>
  <c r="L45" i="57"/>
  <c r="F45" i="57"/>
  <c r="B45" i="57"/>
  <c r="V44" i="57"/>
  <c r="T44" i="57"/>
  <c r="R44" i="57"/>
  <c r="P44" i="57"/>
  <c r="N44" i="57"/>
  <c r="H44" i="57"/>
  <c r="F44" i="57"/>
  <c r="D44" i="57"/>
  <c r="L44" i="57" s="1"/>
  <c r="B44" i="57"/>
  <c r="Z43" i="57"/>
  <c r="X43" i="57"/>
  <c r="V43" i="57"/>
  <c r="R43" i="57"/>
  <c r="L43" i="57"/>
  <c r="N43" i="57" s="1"/>
  <c r="J43" i="57"/>
  <c r="F43" i="57"/>
  <c r="B43" i="57"/>
  <c r="T42" i="57"/>
  <c r="R42" i="57"/>
  <c r="P42" i="57"/>
  <c r="X42" i="57" s="1"/>
  <c r="Z42" i="57" s="1"/>
  <c r="H42" i="57"/>
  <c r="F42" i="57"/>
  <c r="D42" i="57"/>
  <c r="L42" i="57" s="1"/>
  <c r="B42" i="57"/>
  <c r="Z41" i="57"/>
  <c r="X41" i="57"/>
  <c r="V41" i="57"/>
  <c r="R41" i="57"/>
  <c r="L41" i="57"/>
  <c r="N41" i="57" s="1"/>
  <c r="F41" i="57"/>
  <c r="B41" i="57"/>
  <c r="V40" i="57"/>
  <c r="T40" i="57"/>
  <c r="P40" i="57"/>
  <c r="X40" i="57" s="1"/>
  <c r="N40" i="57"/>
  <c r="L40" i="57"/>
  <c r="J40" i="57"/>
  <c r="H40" i="57"/>
  <c r="F40" i="57"/>
  <c r="D40" i="57"/>
  <c r="B40" i="57"/>
  <c r="X39" i="57"/>
  <c r="Z39" i="57" s="1"/>
  <c r="N39" i="57"/>
  <c r="L39" i="57"/>
  <c r="J39" i="57"/>
  <c r="F39" i="57"/>
  <c r="B39" i="57"/>
  <c r="T38" i="57"/>
  <c r="R38" i="57"/>
  <c r="P38" i="57"/>
  <c r="X38" i="57" s="1"/>
  <c r="Z38" i="57" s="1"/>
  <c r="L38" i="57"/>
  <c r="J38" i="57"/>
  <c r="H38" i="57"/>
  <c r="N38" i="57" s="1"/>
  <c r="F38" i="57"/>
  <c r="D38" i="57"/>
  <c r="B38" i="57"/>
  <c r="Z37" i="57"/>
  <c r="X37" i="57"/>
  <c r="R37" i="57"/>
  <c r="N37" i="57"/>
  <c r="L37" i="57"/>
  <c r="J37" i="57"/>
  <c r="F37" i="57"/>
  <c r="B37" i="57"/>
  <c r="T36" i="57"/>
  <c r="R36" i="57"/>
  <c r="P36" i="57"/>
  <c r="N36" i="57"/>
  <c r="L36" i="57"/>
  <c r="H36" i="57"/>
  <c r="F36" i="57"/>
  <c r="D36" i="57"/>
  <c r="B36" i="57"/>
  <c r="X35" i="57"/>
  <c r="Z35" i="57" s="1"/>
  <c r="V35" i="57"/>
  <c r="R35" i="57"/>
  <c r="N35" i="57"/>
  <c r="L35" i="57"/>
  <c r="J35" i="57"/>
  <c r="B35" i="57"/>
  <c r="V34" i="57"/>
  <c r="T34" i="57"/>
  <c r="R34" i="57"/>
  <c r="P34" i="57"/>
  <c r="X34" i="57" s="1"/>
  <c r="Z34" i="57" s="1"/>
  <c r="J34" i="57"/>
  <c r="H34" i="57"/>
  <c r="N34" i="57" s="1"/>
  <c r="D34" i="57"/>
  <c r="L34" i="57" s="1"/>
  <c r="B34" i="57"/>
  <c r="Z33" i="57"/>
  <c r="X33" i="57"/>
  <c r="R33" i="57"/>
  <c r="N33" i="57"/>
  <c r="L33" i="57"/>
  <c r="F33" i="57"/>
  <c r="B33" i="57"/>
  <c r="X32" i="57"/>
  <c r="Z32" i="57" s="1"/>
  <c r="V32" i="57"/>
  <c r="R32" i="57"/>
  <c r="N32" i="57"/>
  <c r="L32" i="57"/>
  <c r="J32" i="57"/>
  <c r="F32" i="57"/>
  <c r="B32" i="57"/>
  <c r="X31" i="57"/>
  <c r="Z31" i="57" s="1"/>
  <c r="V31" i="57"/>
  <c r="N31" i="57"/>
  <c r="L31" i="57"/>
  <c r="J31" i="57"/>
  <c r="F31" i="57"/>
  <c r="B31" i="57"/>
  <c r="X30" i="57"/>
  <c r="Z30" i="57" s="1"/>
  <c r="R30" i="57"/>
  <c r="N30" i="57"/>
  <c r="L30" i="57"/>
  <c r="F30" i="57"/>
  <c r="B30" i="57"/>
  <c r="Z29" i="57"/>
  <c r="X29" i="57"/>
  <c r="R29" i="57"/>
  <c r="N29" i="57"/>
  <c r="L29" i="57"/>
  <c r="F29" i="57"/>
  <c r="B29" i="57"/>
  <c r="X28" i="57"/>
  <c r="V28" i="57"/>
  <c r="T28" i="57"/>
  <c r="R28" i="57"/>
  <c r="P28" i="57"/>
  <c r="L28" i="57"/>
  <c r="N28" i="57" s="1"/>
  <c r="H28" i="57"/>
  <c r="F28" i="57"/>
  <c r="D28" i="57"/>
  <c r="B28" i="57"/>
  <c r="X27" i="57"/>
  <c r="Z27" i="57" s="1"/>
  <c r="V27" i="57"/>
  <c r="R27" i="57"/>
  <c r="L27" i="57"/>
  <c r="N27" i="57" s="1"/>
  <c r="J27" i="57"/>
  <c r="F27" i="57"/>
  <c r="B27" i="57"/>
  <c r="Z26" i="57"/>
  <c r="X26" i="57"/>
  <c r="R26" i="57"/>
  <c r="N26" i="57"/>
  <c r="L26" i="57"/>
  <c r="J26" i="57"/>
  <c r="B26" i="57"/>
  <c r="Z25" i="57"/>
  <c r="X25" i="57"/>
  <c r="R25" i="57"/>
  <c r="N25" i="57"/>
  <c r="L25" i="57"/>
  <c r="J25" i="57"/>
  <c r="F25" i="57"/>
  <c r="B25" i="57"/>
  <c r="Z24" i="57"/>
  <c r="X24" i="57"/>
  <c r="V24" i="57"/>
  <c r="R24" i="57"/>
  <c r="N24" i="57"/>
  <c r="L24" i="57"/>
  <c r="J24" i="57"/>
  <c r="F24" i="57"/>
  <c r="B24" i="57"/>
  <c r="Z23" i="57"/>
  <c r="X23" i="57"/>
  <c r="V23" i="57"/>
  <c r="R23" i="57"/>
  <c r="L23" i="57"/>
  <c r="N23" i="57" s="1"/>
  <c r="J23" i="57"/>
  <c r="F23" i="57"/>
  <c r="B23" i="57"/>
  <c r="Z22" i="57"/>
  <c r="X22" i="57"/>
  <c r="R22" i="57"/>
  <c r="N22" i="57"/>
  <c r="L22" i="57"/>
  <c r="J22" i="57"/>
  <c r="B22" i="57"/>
  <c r="Z21" i="57"/>
  <c r="X21" i="57"/>
  <c r="R21" i="57"/>
  <c r="N21" i="57"/>
  <c r="L21" i="57"/>
  <c r="J21" i="57"/>
  <c r="F21" i="57"/>
  <c r="B21" i="57"/>
  <c r="Z20" i="57"/>
  <c r="X20" i="57"/>
  <c r="V20" i="57"/>
  <c r="R20" i="57"/>
  <c r="N20" i="57"/>
  <c r="L20" i="57"/>
  <c r="J20" i="57"/>
  <c r="F20" i="57"/>
  <c r="B20" i="57"/>
  <c r="Z19" i="57"/>
  <c r="X19" i="57"/>
  <c r="T19" i="57"/>
  <c r="P19" i="57"/>
  <c r="H19" i="57"/>
  <c r="L19" i="57" s="1"/>
  <c r="F19" i="57"/>
  <c r="D19" i="57"/>
  <c r="B19" i="57"/>
  <c r="X18" i="57"/>
  <c r="Z18" i="57" s="1"/>
  <c r="V18" i="57"/>
  <c r="T18" i="57"/>
  <c r="R18" i="57"/>
  <c r="P18" i="57"/>
  <c r="J18" i="57"/>
  <c r="H18" i="57"/>
  <c r="D18" i="57"/>
  <c r="L18" i="57" s="1"/>
  <c r="V16" i="57"/>
  <c r="R16" i="57"/>
  <c r="P16" i="57"/>
  <c r="J16" i="57"/>
  <c r="Z14" i="57"/>
  <c r="X14" i="57"/>
  <c r="V14" i="57"/>
  <c r="T14" i="57"/>
  <c r="R14" i="57"/>
  <c r="P14" i="57"/>
  <c r="J14" i="57"/>
  <c r="H14" i="57"/>
  <c r="D14" i="57"/>
  <c r="Z12" i="57"/>
  <c r="X12" i="57"/>
  <c r="T12" i="57"/>
  <c r="V78" i="57" s="1"/>
  <c r="P12" i="57"/>
  <c r="R78" i="57" s="1"/>
  <c r="N12" i="57"/>
  <c r="L12" i="57"/>
  <c r="H12" i="57"/>
  <c r="J71" i="57" s="1"/>
  <c r="D12" i="57"/>
  <c r="F26" i="57" s="1"/>
  <c r="D6" i="57"/>
  <c r="D4" i="57"/>
  <c r="V80" i="56"/>
  <c r="R80" i="56"/>
  <c r="R77" i="56"/>
  <c r="F77" i="56"/>
  <c r="Z75" i="56"/>
  <c r="X75" i="56"/>
  <c r="N75" i="56"/>
  <c r="L75" i="56"/>
  <c r="F75" i="56"/>
  <c r="V73" i="56"/>
  <c r="T73" i="56"/>
  <c r="J73" i="56"/>
  <c r="T71" i="56"/>
  <c r="Z71" i="56" s="1"/>
  <c r="P71" i="56"/>
  <c r="N71" i="56"/>
  <c r="L71" i="56"/>
  <c r="J71" i="56"/>
  <c r="H71" i="56"/>
  <c r="D71" i="56"/>
  <c r="Z69" i="56"/>
  <c r="X69" i="56"/>
  <c r="N69" i="56"/>
  <c r="L69" i="56"/>
  <c r="J69" i="56"/>
  <c r="F69" i="56"/>
  <c r="B69" i="56"/>
  <c r="X68" i="56"/>
  <c r="Z68" i="56" s="1"/>
  <c r="L68" i="56"/>
  <c r="N68" i="56" s="1"/>
  <c r="J68" i="56"/>
  <c r="B68" i="56"/>
  <c r="T67" i="56"/>
  <c r="R67" i="56"/>
  <c r="P67" i="56"/>
  <c r="X67" i="56" s="1"/>
  <c r="Z67" i="56" s="1"/>
  <c r="J67" i="56"/>
  <c r="H67" i="56"/>
  <c r="D67" i="56"/>
  <c r="B67" i="56"/>
  <c r="Z66" i="56"/>
  <c r="X66" i="56"/>
  <c r="N66" i="56"/>
  <c r="L66" i="56"/>
  <c r="B66" i="56"/>
  <c r="V65" i="56"/>
  <c r="T65" i="56"/>
  <c r="R65" i="56"/>
  <c r="P65" i="56"/>
  <c r="H65" i="56"/>
  <c r="D65" i="56"/>
  <c r="L65" i="56" s="1"/>
  <c r="N65" i="56" s="1"/>
  <c r="B65" i="56"/>
  <c r="X64" i="56"/>
  <c r="Z64" i="56" s="1"/>
  <c r="V64" i="56"/>
  <c r="R64" i="56"/>
  <c r="L64" i="56"/>
  <c r="N64" i="56" s="1"/>
  <c r="B64" i="56"/>
  <c r="T63" i="56"/>
  <c r="R63" i="56"/>
  <c r="P63" i="56"/>
  <c r="J63" i="56"/>
  <c r="H63" i="56"/>
  <c r="D63" i="56"/>
  <c r="B63" i="56"/>
  <c r="Z62" i="56"/>
  <c r="X62" i="56"/>
  <c r="N62" i="56"/>
  <c r="L62" i="56"/>
  <c r="B62" i="56"/>
  <c r="Z61" i="56"/>
  <c r="X61" i="56"/>
  <c r="V61" i="56"/>
  <c r="R61" i="56"/>
  <c r="L61" i="56"/>
  <c r="N61" i="56" s="1"/>
  <c r="J61" i="56"/>
  <c r="B61" i="56"/>
  <c r="X60" i="56"/>
  <c r="Z60" i="56" s="1"/>
  <c r="N60" i="56"/>
  <c r="L60" i="56"/>
  <c r="J60" i="56"/>
  <c r="B60" i="56"/>
  <c r="Z59" i="56"/>
  <c r="X59" i="56"/>
  <c r="T59" i="56"/>
  <c r="P59" i="56"/>
  <c r="H59" i="56"/>
  <c r="D59" i="56"/>
  <c r="B59" i="56"/>
  <c r="X58" i="56"/>
  <c r="Z58" i="56" s="1"/>
  <c r="R58" i="56"/>
  <c r="N58" i="56"/>
  <c r="L58" i="56"/>
  <c r="B58" i="56"/>
  <c r="T57" i="56"/>
  <c r="P57" i="56"/>
  <c r="N57" i="56"/>
  <c r="L57" i="56"/>
  <c r="H57" i="56"/>
  <c r="F57" i="56"/>
  <c r="D57" i="56"/>
  <c r="B57" i="56"/>
  <c r="Z56" i="56"/>
  <c r="X56" i="56"/>
  <c r="R56" i="56"/>
  <c r="L56" i="56"/>
  <c r="N56" i="56" s="1"/>
  <c r="J56" i="56"/>
  <c r="B56" i="56"/>
  <c r="Z55" i="56"/>
  <c r="X55" i="56"/>
  <c r="R55" i="56"/>
  <c r="L55" i="56"/>
  <c r="N55" i="56" s="1"/>
  <c r="B55" i="56"/>
  <c r="Z54" i="56"/>
  <c r="X54" i="56"/>
  <c r="N54" i="56"/>
  <c r="L54" i="56"/>
  <c r="J54" i="56"/>
  <c r="F54" i="56"/>
  <c r="B54" i="56"/>
  <c r="T53" i="56"/>
  <c r="P53" i="56"/>
  <c r="H53" i="56"/>
  <c r="F53" i="56"/>
  <c r="D53" i="56"/>
  <c r="L53" i="56" s="1"/>
  <c r="N53" i="56" s="1"/>
  <c r="B53" i="56"/>
  <c r="X52" i="56"/>
  <c r="Z52" i="56" s="1"/>
  <c r="V52" i="56"/>
  <c r="N52" i="56"/>
  <c r="L52" i="56"/>
  <c r="B52" i="56"/>
  <c r="X51" i="56"/>
  <c r="Z51" i="56" s="1"/>
  <c r="N51" i="56"/>
  <c r="L51" i="56"/>
  <c r="J51" i="56"/>
  <c r="B51" i="56"/>
  <c r="Z50" i="56"/>
  <c r="X50" i="56"/>
  <c r="L50" i="56"/>
  <c r="N50" i="56" s="1"/>
  <c r="B50" i="56"/>
  <c r="V49" i="56"/>
  <c r="T49" i="56"/>
  <c r="P49" i="56"/>
  <c r="J49" i="56"/>
  <c r="H49" i="56"/>
  <c r="D49" i="56"/>
  <c r="L49" i="56" s="1"/>
  <c r="N49" i="56" s="1"/>
  <c r="B49" i="56"/>
  <c r="X48" i="56"/>
  <c r="Z48" i="56" s="1"/>
  <c r="V48" i="56"/>
  <c r="L48" i="56"/>
  <c r="N48" i="56" s="1"/>
  <c r="J48" i="56"/>
  <c r="F48" i="56"/>
  <c r="B48" i="56"/>
  <c r="Z47" i="56"/>
  <c r="X47" i="56"/>
  <c r="T47" i="56"/>
  <c r="R47" i="56"/>
  <c r="P47" i="56"/>
  <c r="J47" i="56"/>
  <c r="H47" i="56"/>
  <c r="F47" i="56"/>
  <c r="D47" i="56"/>
  <c r="B47" i="56"/>
  <c r="Z46" i="56"/>
  <c r="X46" i="56"/>
  <c r="N46" i="56"/>
  <c r="L46" i="56"/>
  <c r="F46" i="56"/>
  <c r="B46" i="56"/>
  <c r="V45" i="56"/>
  <c r="T45" i="56"/>
  <c r="P45" i="56"/>
  <c r="H45" i="56"/>
  <c r="N45" i="56" s="1"/>
  <c r="D45" i="56"/>
  <c r="B45" i="56"/>
  <c r="X44" i="56"/>
  <c r="Z44" i="56" s="1"/>
  <c r="V44" i="56"/>
  <c r="R44" i="56"/>
  <c r="N44" i="56"/>
  <c r="L44" i="56"/>
  <c r="J44" i="56"/>
  <c r="B44" i="56"/>
  <c r="T43" i="56"/>
  <c r="R43" i="56"/>
  <c r="P43" i="56"/>
  <c r="X43" i="56" s="1"/>
  <c r="Z43" i="56" s="1"/>
  <c r="N43" i="56"/>
  <c r="J43" i="56"/>
  <c r="H43" i="56"/>
  <c r="D43" i="56"/>
  <c r="B43" i="56"/>
  <c r="Z42" i="56"/>
  <c r="X42" i="56"/>
  <c r="N42" i="56"/>
  <c r="L42" i="56"/>
  <c r="F42" i="56"/>
  <c r="B42" i="56"/>
  <c r="X41" i="56"/>
  <c r="V41" i="56"/>
  <c r="T41" i="56"/>
  <c r="P41" i="56"/>
  <c r="H41" i="56"/>
  <c r="D41" i="56"/>
  <c r="L41" i="56" s="1"/>
  <c r="N41" i="56" s="1"/>
  <c r="B41" i="56"/>
  <c r="Z40" i="56"/>
  <c r="X40" i="56"/>
  <c r="V40" i="56"/>
  <c r="L40" i="56"/>
  <c r="N40" i="56" s="1"/>
  <c r="B40" i="56"/>
  <c r="T39" i="56"/>
  <c r="R39" i="56"/>
  <c r="P39" i="56"/>
  <c r="X39" i="56" s="1"/>
  <c r="N39" i="56"/>
  <c r="J39" i="56"/>
  <c r="H39" i="56"/>
  <c r="D39" i="56"/>
  <c r="L39" i="56" s="1"/>
  <c r="B39" i="56"/>
  <c r="Z38" i="56"/>
  <c r="X38" i="56"/>
  <c r="R38" i="56"/>
  <c r="L38" i="56"/>
  <c r="N38" i="56" s="1"/>
  <c r="F38" i="56"/>
  <c r="B38" i="56"/>
  <c r="X37" i="56"/>
  <c r="T37" i="56"/>
  <c r="Z37" i="56" s="1"/>
  <c r="P37" i="56"/>
  <c r="J37" i="56"/>
  <c r="H37" i="56"/>
  <c r="F37" i="56"/>
  <c r="D37" i="56"/>
  <c r="L37" i="56" s="1"/>
  <c r="N37" i="56" s="1"/>
  <c r="B37" i="56"/>
  <c r="X36" i="56"/>
  <c r="Z36" i="56" s="1"/>
  <c r="L36" i="56"/>
  <c r="N36" i="56" s="1"/>
  <c r="J36" i="56"/>
  <c r="B36" i="56"/>
  <c r="X35" i="56"/>
  <c r="Z35" i="56" s="1"/>
  <c r="V35" i="56"/>
  <c r="T35" i="56"/>
  <c r="P35" i="56"/>
  <c r="H35" i="56"/>
  <c r="D35" i="56"/>
  <c r="B35" i="56"/>
  <c r="X34" i="56"/>
  <c r="Z34" i="56" s="1"/>
  <c r="V34" i="56"/>
  <c r="R34" i="56"/>
  <c r="N34" i="56"/>
  <c r="L34" i="56"/>
  <c r="B34" i="56"/>
  <c r="T33" i="56"/>
  <c r="R33" i="56"/>
  <c r="P33" i="56"/>
  <c r="L33" i="56"/>
  <c r="N33" i="56" s="1"/>
  <c r="H33" i="56"/>
  <c r="D33" i="56"/>
  <c r="B33" i="56"/>
  <c r="X32" i="56"/>
  <c r="Z32" i="56" s="1"/>
  <c r="N32" i="56"/>
  <c r="L32" i="56"/>
  <c r="J32" i="56"/>
  <c r="B32" i="56"/>
  <c r="Z31" i="56"/>
  <c r="X31" i="56"/>
  <c r="N31" i="56"/>
  <c r="L31" i="56"/>
  <c r="B31" i="56"/>
  <c r="Z30" i="56"/>
  <c r="X30" i="56"/>
  <c r="V30" i="56"/>
  <c r="R30" i="56"/>
  <c r="N30" i="56"/>
  <c r="L30" i="56"/>
  <c r="B30" i="56"/>
  <c r="T29" i="56"/>
  <c r="P29" i="56"/>
  <c r="X29" i="56" s="1"/>
  <c r="Z29" i="56" s="1"/>
  <c r="L29" i="56"/>
  <c r="N29" i="56" s="1"/>
  <c r="J29" i="56"/>
  <c r="H29" i="56"/>
  <c r="D29" i="56"/>
  <c r="B29" i="56"/>
  <c r="X28" i="56"/>
  <c r="Z28" i="56" s="1"/>
  <c r="L28" i="56"/>
  <c r="N28" i="56" s="1"/>
  <c r="J28" i="56"/>
  <c r="F28" i="56"/>
  <c r="B28" i="56"/>
  <c r="Z27" i="56"/>
  <c r="X27" i="56"/>
  <c r="L27" i="56"/>
  <c r="N27" i="56" s="1"/>
  <c r="B27" i="56"/>
  <c r="Z26" i="56"/>
  <c r="X26" i="56"/>
  <c r="R26" i="56"/>
  <c r="L26" i="56"/>
  <c r="N26" i="56" s="1"/>
  <c r="B26" i="56"/>
  <c r="X25" i="56"/>
  <c r="Z25" i="56" s="1"/>
  <c r="R25" i="56"/>
  <c r="N25" i="56"/>
  <c r="L25" i="56"/>
  <c r="J25" i="56"/>
  <c r="F25" i="56"/>
  <c r="B25" i="56"/>
  <c r="Z24" i="56"/>
  <c r="X24" i="56"/>
  <c r="N24" i="56"/>
  <c r="L24" i="56"/>
  <c r="B24" i="56"/>
  <c r="X23" i="56"/>
  <c r="Z23" i="56" s="1"/>
  <c r="V23" i="56"/>
  <c r="R23" i="56"/>
  <c r="N23" i="56"/>
  <c r="L23" i="56"/>
  <c r="B23" i="56"/>
  <c r="X22" i="56"/>
  <c r="Z22" i="56" s="1"/>
  <c r="R22" i="56"/>
  <c r="L22" i="56"/>
  <c r="N22" i="56" s="1"/>
  <c r="J22" i="56"/>
  <c r="F22" i="56"/>
  <c r="B22" i="56"/>
  <c r="X21" i="56"/>
  <c r="Z21" i="56" s="1"/>
  <c r="R21" i="56"/>
  <c r="N21" i="56"/>
  <c r="L21" i="56"/>
  <c r="B21" i="56"/>
  <c r="Z20" i="56"/>
  <c r="X20" i="56"/>
  <c r="V20" i="56"/>
  <c r="L20" i="56"/>
  <c r="N20" i="56" s="1"/>
  <c r="B20" i="56"/>
  <c r="V19" i="56"/>
  <c r="T19" i="56"/>
  <c r="R19" i="56"/>
  <c r="P19" i="56"/>
  <c r="X19" i="56" s="1"/>
  <c r="Z19" i="56" s="1"/>
  <c r="J19" i="56"/>
  <c r="H19" i="56"/>
  <c r="D19" i="56"/>
  <c r="B19" i="56"/>
  <c r="X18" i="56"/>
  <c r="Z18" i="56" s="1"/>
  <c r="V18" i="56"/>
  <c r="T18" i="56"/>
  <c r="R18" i="56"/>
  <c r="P18" i="56"/>
  <c r="L18" i="56"/>
  <c r="N18" i="56" s="1"/>
  <c r="J18" i="56"/>
  <c r="H18" i="56"/>
  <c r="D18" i="56"/>
  <c r="T16" i="56"/>
  <c r="Z16" i="56" s="1"/>
  <c r="J16" i="56"/>
  <c r="X14" i="56"/>
  <c r="T14" i="56"/>
  <c r="Z14" i="56" s="1"/>
  <c r="P14" i="56"/>
  <c r="J14" i="56"/>
  <c r="H14" i="56"/>
  <c r="N14" i="56" s="1"/>
  <c r="D14" i="56"/>
  <c r="D16" i="56" s="1"/>
  <c r="Z12" i="56"/>
  <c r="T12" i="56"/>
  <c r="V75" i="56" s="1"/>
  <c r="P12" i="56"/>
  <c r="R75" i="56" s="1"/>
  <c r="H12" i="56"/>
  <c r="J75" i="56" s="1"/>
  <c r="D12" i="56"/>
  <c r="F66" i="56" s="1"/>
  <c r="D6" i="56"/>
  <c r="D4" i="56"/>
  <c r="V40" i="55"/>
  <c r="R40" i="55"/>
  <c r="V37" i="55"/>
  <c r="R37" i="55"/>
  <c r="Z35" i="55"/>
  <c r="X35" i="55"/>
  <c r="R35" i="55"/>
  <c r="N35" i="55"/>
  <c r="L35" i="55"/>
  <c r="F33" i="55"/>
  <c r="Z31" i="55"/>
  <c r="X31" i="55"/>
  <c r="V31" i="55"/>
  <c r="T31" i="55"/>
  <c r="P31" i="55"/>
  <c r="H31" i="55"/>
  <c r="N31" i="55" s="1"/>
  <c r="D31" i="55"/>
  <c r="X29" i="55"/>
  <c r="Z29" i="55" s="1"/>
  <c r="V29" i="55"/>
  <c r="R29" i="55"/>
  <c r="N29" i="55"/>
  <c r="L29" i="55"/>
  <c r="B29" i="55"/>
  <c r="Z28" i="55"/>
  <c r="X28" i="55"/>
  <c r="R28" i="55"/>
  <c r="L28" i="55"/>
  <c r="N28" i="55" s="1"/>
  <c r="B28" i="55"/>
  <c r="X27" i="55"/>
  <c r="T27" i="55"/>
  <c r="Z27" i="55" s="1"/>
  <c r="R27" i="55"/>
  <c r="P27" i="55"/>
  <c r="L27" i="55"/>
  <c r="H27" i="55"/>
  <c r="D27" i="55"/>
  <c r="B27" i="55"/>
  <c r="X26" i="55"/>
  <c r="Z26" i="55" s="1"/>
  <c r="R26" i="55"/>
  <c r="N26" i="55"/>
  <c r="L26" i="55"/>
  <c r="F26" i="55"/>
  <c r="B26" i="55"/>
  <c r="V25" i="55"/>
  <c r="T25" i="55"/>
  <c r="X25" i="55" s="1"/>
  <c r="P25" i="55"/>
  <c r="N25" i="55"/>
  <c r="H25" i="55"/>
  <c r="D25" i="55"/>
  <c r="B25" i="55"/>
  <c r="X24" i="55"/>
  <c r="Z24" i="55" s="1"/>
  <c r="V24" i="55"/>
  <c r="R24" i="55"/>
  <c r="L24" i="55"/>
  <c r="N24" i="55" s="1"/>
  <c r="B24" i="55"/>
  <c r="T23" i="55"/>
  <c r="R23" i="55"/>
  <c r="P23" i="55"/>
  <c r="X23" i="55" s="1"/>
  <c r="Z23" i="55" s="1"/>
  <c r="L23" i="55"/>
  <c r="N23" i="55" s="1"/>
  <c r="H23" i="55"/>
  <c r="D23" i="55"/>
  <c r="B23" i="55"/>
  <c r="Z22" i="55"/>
  <c r="X22" i="55"/>
  <c r="R22" i="55"/>
  <c r="N22" i="55"/>
  <c r="L22" i="55"/>
  <c r="J22" i="55"/>
  <c r="B22" i="55"/>
  <c r="T21" i="55"/>
  <c r="P21" i="55"/>
  <c r="X21" i="55" s="1"/>
  <c r="Z21" i="55" s="1"/>
  <c r="H21" i="55"/>
  <c r="D21" i="55"/>
  <c r="B21" i="55"/>
  <c r="Z20" i="55"/>
  <c r="X20" i="55"/>
  <c r="L20" i="55"/>
  <c r="N20" i="55" s="1"/>
  <c r="B20" i="55"/>
  <c r="V19" i="55"/>
  <c r="T19" i="55"/>
  <c r="P19" i="55"/>
  <c r="L19" i="55"/>
  <c r="H19" i="55"/>
  <c r="D19" i="55"/>
  <c r="B19" i="55"/>
  <c r="X18" i="55"/>
  <c r="V18" i="55"/>
  <c r="T18" i="55"/>
  <c r="R18" i="55"/>
  <c r="P18" i="55"/>
  <c r="H18" i="55"/>
  <c r="L18" i="55" s="1"/>
  <c r="N18" i="55" s="1"/>
  <c r="D18" i="55"/>
  <c r="V16" i="55"/>
  <c r="T16" i="55"/>
  <c r="R16" i="55"/>
  <c r="T14" i="55"/>
  <c r="R14" i="55"/>
  <c r="P14" i="55"/>
  <c r="N14" i="55"/>
  <c r="L14" i="55"/>
  <c r="H14" i="55"/>
  <c r="D14" i="55"/>
  <c r="T12" i="55"/>
  <c r="V35" i="55" s="1"/>
  <c r="P12" i="55"/>
  <c r="N12" i="55"/>
  <c r="H12" i="55"/>
  <c r="J28" i="55" s="1"/>
  <c r="D12" i="55"/>
  <c r="F22" i="55" s="1"/>
  <c r="D6" i="55"/>
  <c r="D4" i="55"/>
  <c r="R31" i="54"/>
  <c r="J31" i="54"/>
  <c r="F31" i="54"/>
  <c r="Z29" i="54"/>
  <c r="X29" i="54"/>
  <c r="T29" i="54"/>
  <c r="R29" i="54"/>
  <c r="P29" i="54"/>
  <c r="J29" i="54"/>
  <c r="H29" i="54"/>
  <c r="D29" i="54"/>
  <c r="L29" i="54" s="1"/>
  <c r="T28" i="54"/>
  <c r="R28" i="54"/>
  <c r="P28" i="54"/>
  <c r="J28" i="54"/>
  <c r="H28" i="54"/>
  <c r="D28" i="54"/>
  <c r="L28" i="54" s="1"/>
  <c r="N28" i="54" s="1"/>
  <c r="R26" i="54"/>
  <c r="J26" i="54"/>
  <c r="Z24" i="54"/>
  <c r="X24" i="54"/>
  <c r="N24" i="54"/>
  <c r="L24" i="54"/>
  <c r="J24" i="54"/>
  <c r="R22" i="54"/>
  <c r="J22" i="54"/>
  <c r="V20" i="54"/>
  <c r="T20" i="54"/>
  <c r="Z20" i="54" s="1"/>
  <c r="P20" i="54"/>
  <c r="J20" i="54"/>
  <c r="H20" i="54"/>
  <c r="N20" i="54" s="1"/>
  <c r="F20" i="54"/>
  <c r="D20" i="54"/>
  <c r="Z18" i="54"/>
  <c r="V18" i="54"/>
  <c r="T18" i="54"/>
  <c r="X18" i="54" s="1"/>
  <c r="R18" i="54"/>
  <c r="P18" i="54"/>
  <c r="L18" i="54"/>
  <c r="J18" i="54"/>
  <c r="H18" i="54"/>
  <c r="N18" i="54" s="1"/>
  <c r="D18" i="54"/>
  <c r="V16" i="54"/>
  <c r="T16" i="54"/>
  <c r="R16" i="54"/>
  <c r="P16" i="54"/>
  <c r="P22" i="54" s="1"/>
  <c r="P26" i="54" s="1"/>
  <c r="J16" i="54"/>
  <c r="H16" i="54"/>
  <c r="N16" i="54" s="1"/>
  <c r="X14" i="54"/>
  <c r="T14" i="54"/>
  <c r="Z14" i="54" s="1"/>
  <c r="R14" i="54"/>
  <c r="P14" i="54"/>
  <c r="L14" i="54"/>
  <c r="J14" i="54"/>
  <c r="H14" i="54"/>
  <c r="N14" i="54" s="1"/>
  <c r="D14" i="54"/>
  <c r="T12" i="54"/>
  <c r="P12" i="54"/>
  <c r="R20" i="54" s="1"/>
  <c r="N12" i="54"/>
  <c r="H12" i="54"/>
  <c r="D12" i="54"/>
  <c r="D6" i="54"/>
  <c r="D4" i="54"/>
  <c r="Z110" i="51"/>
  <c r="X110" i="51"/>
  <c r="N110" i="51"/>
  <c r="L110" i="51"/>
  <c r="T106" i="51"/>
  <c r="X106" i="51" s="1"/>
  <c r="Z106" i="51" s="1"/>
  <c r="P106" i="51"/>
  <c r="H106" i="51"/>
  <c r="D106" i="51"/>
  <c r="B106" i="51"/>
  <c r="T105" i="51"/>
  <c r="Z105" i="51" s="1"/>
  <c r="P105" i="51"/>
  <c r="X105" i="51" s="1"/>
  <c r="H105" i="51"/>
  <c r="N105" i="51" s="1"/>
  <c r="D105" i="51"/>
  <c r="B105" i="51"/>
  <c r="Z104" i="51"/>
  <c r="T104" i="51"/>
  <c r="P104" i="51"/>
  <c r="X104" i="51" s="1"/>
  <c r="N104" i="51"/>
  <c r="L104" i="51"/>
  <c r="H104" i="51"/>
  <c r="D104" i="51"/>
  <c r="B104" i="51"/>
  <c r="X103" i="51"/>
  <c r="T103" i="51"/>
  <c r="T102" i="51" s="1"/>
  <c r="P103" i="51"/>
  <c r="P102" i="51" s="1"/>
  <c r="H103" i="51"/>
  <c r="D103" i="51"/>
  <c r="B103" i="51"/>
  <c r="Z100" i="51"/>
  <c r="X100" i="51"/>
  <c r="N100" i="51"/>
  <c r="L100" i="51"/>
  <c r="B100" i="51"/>
  <c r="T99" i="51"/>
  <c r="P99" i="51"/>
  <c r="N99" i="51"/>
  <c r="L99" i="51"/>
  <c r="H99" i="51"/>
  <c r="D99" i="51"/>
  <c r="B99" i="51"/>
  <c r="Z98" i="51"/>
  <c r="X98" i="51"/>
  <c r="N98" i="51"/>
  <c r="L98" i="51"/>
  <c r="B98" i="51"/>
  <c r="T97" i="51"/>
  <c r="Z97" i="51" s="1"/>
  <c r="P97" i="51"/>
  <c r="X97" i="51" s="1"/>
  <c r="H97" i="51"/>
  <c r="N97" i="51" s="1"/>
  <c r="D97" i="51"/>
  <c r="B97" i="51"/>
  <c r="Z96" i="51"/>
  <c r="X96" i="51"/>
  <c r="N96" i="51"/>
  <c r="L96" i="51"/>
  <c r="B96" i="51"/>
  <c r="T95" i="51"/>
  <c r="P95" i="51"/>
  <c r="L95" i="51"/>
  <c r="H95" i="51"/>
  <c r="D95" i="51"/>
  <c r="B95" i="51"/>
  <c r="Z94" i="51"/>
  <c r="X94" i="51"/>
  <c r="L94" i="51"/>
  <c r="N94" i="51" s="1"/>
  <c r="B94" i="51"/>
  <c r="X93" i="51"/>
  <c r="Z93" i="51" s="1"/>
  <c r="L93" i="51"/>
  <c r="N93" i="51" s="1"/>
  <c r="B93" i="51"/>
  <c r="T92" i="51"/>
  <c r="Z92" i="51" s="1"/>
  <c r="P92" i="51"/>
  <c r="X92" i="51" s="1"/>
  <c r="N92" i="51"/>
  <c r="H92" i="51"/>
  <c r="D92" i="51"/>
  <c r="L92" i="51" s="1"/>
  <c r="B92" i="51"/>
  <c r="X91" i="51"/>
  <c r="Z91" i="51" s="1"/>
  <c r="N91" i="51"/>
  <c r="L91" i="51"/>
  <c r="B91" i="51"/>
  <c r="T90" i="51"/>
  <c r="P90" i="51"/>
  <c r="X90" i="51" s="1"/>
  <c r="Z90" i="51" s="1"/>
  <c r="N90" i="51"/>
  <c r="L90" i="51"/>
  <c r="H90" i="51"/>
  <c r="D90" i="51"/>
  <c r="B90" i="51"/>
  <c r="Z89" i="51"/>
  <c r="X89" i="51"/>
  <c r="N89" i="51"/>
  <c r="L89" i="51"/>
  <c r="B89" i="51"/>
  <c r="Z88" i="51"/>
  <c r="X88" i="51"/>
  <c r="T88" i="51"/>
  <c r="P88" i="51"/>
  <c r="N88" i="51"/>
  <c r="H88" i="51"/>
  <c r="L88" i="51" s="1"/>
  <c r="D88" i="51"/>
  <c r="B88" i="51"/>
  <c r="Z87" i="51"/>
  <c r="X87" i="51"/>
  <c r="L87" i="51"/>
  <c r="N87" i="51" s="1"/>
  <c r="B87" i="51"/>
  <c r="Z86" i="51"/>
  <c r="T86" i="51"/>
  <c r="P86" i="51"/>
  <c r="X86" i="51" s="1"/>
  <c r="H86" i="51"/>
  <c r="N86" i="51" s="1"/>
  <c r="D86" i="51"/>
  <c r="L86" i="51" s="1"/>
  <c r="B86" i="51"/>
  <c r="X85" i="51"/>
  <c r="Z85" i="51" s="1"/>
  <c r="N85" i="51"/>
  <c r="L85" i="51"/>
  <c r="B85" i="51"/>
  <c r="Z84" i="51"/>
  <c r="X84" i="51"/>
  <c r="T84" i="51"/>
  <c r="P84" i="51"/>
  <c r="N84" i="51"/>
  <c r="H84" i="51"/>
  <c r="D84" i="51"/>
  <c r="L84" i="51" s="1"/>
  <c r="B84" i="51"/>
  <c r="Z83" i="51"/>
  <c r="X83" i="51"/>
  <c r="N83" i="51"/>
  <c r="L83" i="51"/>
  <c r="B83" i="51"/>
  <c r="T82" i="51"/>
  <c r="X82" i="51" s="1"/>
  <c r="Z82" i="51" s="1"/>
  <c r="P82" i="51"/>
  <c r="N82" i="51"/>
  <c r="L82" i="51"/>
  <c r="H82" i="51"/>
  <c r="D82" i="51"/>
  <c r="B82" i="51"/>
  <c r="Z81" i="51"/>
  <c r="X81" i="51"/>
  <c r="N81" i="51"/>
  <c r="L81" i="51"/>
  <c r="B81" i="51"/>
  <c r="T80" i="51"/>
  <c r="Z80" i="51" s="1"/>
  <c r="P80" i="51"/>
  <c r="X80" i="51" s="1"/>
  <c r="N80" i="51"/>
  <c r="H80" i="51"/>
  <c r="D80" i="51"/>
  <c r="L80" i="51" s="1"/>
  <c r="B80" i="51"/>
  <c r="X79" i="51"/>
  <c r="Z79" i="51" s="1"/>
  <c r="N79" i="51"/>
  <c r="L79" i="51"/>
  <c r="B79" i="51"/>
  <c r="T78" i="51"/>
  <c r="P78" i="51"/>
  <c r="X78" i="51" s="1"/>
  <c r="Z78" i="51" s="1"/>
  <c r="L78" i="51"/>
  <c r="N78" i="51" s="1"/>
  <c r="H78" i="51"/>
  <c r="D78" i="51"/>
  <c r="B78" i="51"/>
  <c r="X77" i="51"/>
  <c r="Z77" i="51" s="1"/>
  <c r="L77" i="51"/>
  <c r="N77" i="51" s="1"/>
  <c r="B77" i="51"/>
  <c r="Z76" i="51"/>
  <c r="X76" i="51"/>
  <c r="T76" i="51"/>
  <c r="P76" i="51"/>
  <c r="L76" i="51"/>
  <c r="H76" i="51"/>
  <c r="D76" i="51"/>
  <c r="B76" i="51"/>
  <c r="Z75" i="51"/>
  <c r="X75" i="51"/>
  <c r="L75" i="51"/>
  <c r="N75" i="51" s="1"/>
  <c r="B75" i="51"/>
  <c r="T74" i="51"/>
  <c r="P74" i="51"/>
  <c r="X74" i="51" s="1"/>
  <c r="Z74" i="51" s="1"/>
  <c r="N74" i="51"/>
  <c r="H74" i="51"/>
  <c r="D74" i="51"/>
  <c r="L74" i="51" s="1"/>
  <c r="B74" i="51"/>
  <c r="X73" i="51"/>
  <c r="Z73" i="51" s="1"/>
  <c r="L73" i="51"/>
  <c r="N73" i="51" s="1"/>
  <c r="B73" i="51"/>
  <c r="Z72" i="51"/>
  <c r="X72" i="51"/>
  <c r="T72" i="51"/>
  <c r="P72" i="51"/>
  <c r="H72" i="51"/>
  <c r="D72" i="51"/>
  <c r="L72" i="51" s="1"/>
  <c r="N72" i="51" s="1"/>
  <c r="B72" i="51"/>
  <c r="Z71" i="51"/>
  <c r="X71" i="51"/>
  <c r="N71" i="51"/>
  <c r="L71" i="51"/>
  <c r="B71" i="51"/>
  <c r="Z70" i="51"/>
  <c r="X70" i="51"/>
  <c r="N70" i="51"/>
  <c r="L70" i="51"/>
  <c r="B70" i="51"/>
  <c r="X69" i="51"/>
  <c r="Z69" i="51" s="1"/>
  <c r="N69" i="51"/>
  <c r="L69" i="51"/>
  <c r="B69" i="51"/>
  <c r="X68" i="51"/>
  <c r="Z68" i="51" s="1"/>
  <c r="N68" i="51"/>
  <c r="L68" i="51"/>
  <c r="B68" i="51"/>
  <c r="T67" i="51"/>
  <c r="P67" i="51"/>
  <c r="H67" i="51"/>
  <c r="D67" i="51"/>
  <c r="B67" i="51"/>
  <c r="Z66" i="51"/>
  <c r="X66" i="51"/>
  <c r="L66" i="51"/>
  <c r="N66" i="51" s="1"/>
  <c r="B66" i="51"/>
  <c r="X65" i="51"/>
  <c r="Z65" i="51" s="1"/>
  <c r="L65" i="51"/>
  <c r="N65" i="51" s="1"/>
  <c r="B65" i="51"/>
  <c r="Z64" i="51"/>
  <c r="X64" i="51"/>
  <c r="N64" i="51"/>
  <c r="L64" i="51"/>
  <c r="B64" i="51"/>
  <c r="Z63" i="51"/>
  <c r="X63" i="51"/>
  <c r="L63" i="51"/>
  <c r="N63" i="51" s="1"/>
  <c r="B63" i="51"/>
  <c r="Z62" i="51"/>
  <c r="X62" i="51"/>
  <c r="L62" i="51"/>
  <c r="N62" i="51" s="1"/>
  <c r="B62" i="51"/>
  <c r="X61" i="51"/>
  <c r="Z61" i="51" s="1"/>
  <c r="L61" i="51"/>
  <c r="N61" i="51" s="1"/>
  <c r="B61" i="51"/>
  <c r="Z60" i="51"/>
  <c r="X60" i="51"/>
  <c r="L60" i="51"/>
  <c r="N60" i="51" s="1"/>
  <c r="B60" i="51"/>
  <c r="Z59" i="51"/>
  <c r="X59" i="51"/>
  <c r="L59" i="51"/>
  <c r="N59" i="51" s="1"/>
  <c r="B59" i="51"/>
  <c r="Z58" i="51"/>
  <c r="X58" i="51"/>
  <c r="L58" i="51"/>
  <c r="N58" i="51" s="1"/>
  <c r="B58" i="51"/>
  <c r="X57" i="51"/>
  <c r="T57" i="51"/>
  <c r="P57" i="51"/>
  <c r="H57" i="51"/>
  <c r="D57" i="51"/>
  <c r="B57" i="51"/>
  <c r="X56" i="51"/>
  <c r="Z56" i="51" s="1"/>
  <c r="T56" i="51"/>
  <c r="P56" i="51"/>
  <c r="L56" i="51"/>
  <c r="N56" i="51" s="1"/>
  <c r="H56" i="51"/>
  <c r="D56" i="51"/>
  <c r="X52" i="51"/>
  <c r="Z52" i="51" s="1"/>
  <c r="N52" i="51"/>
  <c r="L52" i="51"/>
  <c r="B52" i="51"/>
  <c r="X51" i="51"/>
  <c r="Z51" i="51" s="1"/>
  <c r="N51" i="51"/>
  <c r="L51" i="51"/>
  <c r="B51" i="51"/>
  <c r="X50" i="51"/>
  <c r="Z50" i="51" s="1"/>
  <c r="N50" i="51"/>
  <c r="L50" i="51"/>
  <c r="B50" i="51"/>
  <c r="Z49" i="51"/>
  <c r="X49" i="51"/>
  <c r="N49" i="51"/>
  <c r="L49" i="51"/>
  <c r="B49" i="51"/>
  <c r="X48" i="51"/>
  <c r="Z48" i="51" s="1"/>
  <c r="N48" i="51"/>
  <c r="L48" i="51"/>
  <c r="B48" i="51"/>
  <c r="X47" i="51"/>
  <c r="Z47" i="51" s="1"/>
  <c r="N47" i="51"/>
  <c r="L47" i="51"/>
  <c r="B47" i="51"/>
  <c r="X46" i="51"/>
  <c r="Z46" i="51" s="1"/>
  <c r="L46" i="51"/>
  <c r="N46" i="51" s="1"/>
  <c r="B46" i="51"/>
  <c r="Z45" i="51"/>
  <c r="X45" i="51"/>
  <c r="N45" i="51"/>
  <c r="L45" i="51"/>
  <c r="B45" i="51"/>
  <c r="Z44" i="51"/>
  <c r="X44" i="51"/>
  <c r="L44" i="51"/>
  <c r="N44" i="51" s="1"/>
  <c r="B44" i="51"/>
  <c r="X43" i="51"/>
  <c r="Z43" i="51" s="1"/>
  <c r="L43" i="51"/>
  <c r="N43" i="51" s="1"/>
  <c r="B43" i="51"/>
  <c r="X42" i="51"/>
  <c r="Z42" i="51" s="1"/>
  <c r="N42" i="51"/>
  <c r="L42" i="51"/>
  <c r="B42" i="51"/>
  <c r="X41" i="51"/>
  <c r="Z41" i="51" s="1"/>
  <c r="N41" i="51"/>
  <c r="L41" i="51"/>
  <c r="B41" i="51"/>
  <c r="Z40" i="51"/>
  <c r="X40" i="51"/>
  <c r="N40" i="51"/>
  <c r="L40" i="51"/>
  <c r="B40" i="51"/>
  <c r="X39" i="51"/>
  <c r="Z39" i="51" s="1"/>
  <c r="L39" i="51"/>
  <c r="N39" i="51" s="1"/>
  <c r="B39" i="51"/>
  <c r="T38" i="51"/>
  <c r="P38" i="51"/>
  <c r="X38" i="51" s="1"/>
  <c r="Z38" i="51" s="1"/>
  <c r="L38" i="51"/>
  <c r="N38" i="51" s="1"/>
  <c r="H38" i="51"/>
  <c r="D38" i="51"/>
  <c r="T36" i="51"/>
  <c r="X36" i="51" s="1"/>
  <c r="Z36" i="51" s="1"/>
  <c r="P36" i="51"/>
  <c r="N36" i="51"/>
  <c r="H36" i="51"/>
  <c r="D36" i="51"/>
  <c r="L36" i="51" s="1"/>
  <c r="B36" i="51"/>
  <c r="X35" i="51"/>
  <c r="T35" i="51"/>
  <c r="P35" i="51"/>
  <c r="H35" i="51"/>
  <c r="D35" i="51"/>
  <c r="L35" i="51" s="1"/>
  <c r="N35" i="51" s="1"/>
  <c r="B35" i="51"/>
  <c r="T34" i="51"/>
  <c r="P34" i="51"/>
  <c r="H34" i="51"/>
  <c r="D34" i="51"/>
  <c r="L34" i="51" s="1"/>
  <c r="N34" i="51" s="1"/>
  <c r="B34" i="51"/>
  <c r="T33" i="51"/>
  <c r="Z33" i="51" s="1"/>
  <c r="P33" i="51"/>
  <c r="X33" i="51" s="1"/>
  <c r="N33" i="51"/>
  <c r="L33" i="51"/>
  <c r="H33" i="51"/>
  <c r="D33" i="51"/>
  <c r="B33" i="51"/>
  <c r="T32" i="51"/>
  <c r="P32" i="51"/>
  <c r="H32" i="51"/>
  <c r="D32" i="51"/>
  <c r="L32" i="51" s="1"/>
  <c r="B32" i="51"/>
  <c r="T31" i="51"/>
  <c r="Z31" i="51" s="1"/>
  <c r="P31" i="51"/>
  <c r="X31" i="51" s="1"/>
  <c r="N31" i="51"/>
  <c r="L31" i="51"/>
  <c r="H31" i="51"/>
  <c r="D31" i="51"/>
  <c r="B31" i="51"/>
  <c r="T30" i="51"/>
  <c r="Z30" i="51" s="1"/>
  <c r="P30" i="51"/>
  <c r="N30" i="51"/>
  <c r="H30" i="51"/>
  <c r="D30" i="51"/>
  <c r="L30" i="51" s="1"/>
  <c r="B30" i="51"/>
  <c r="X29" i="51"/>
  <c r="T29" i="51"/>
  <c r="P29" i="51"/>
  <c r="N29" i="51"/>
  <c r="L29" i="51"/>
  <c r="H29" i="51"/>
  <c r="D29" i="51"/>
  <c r="B29" i="51"/>
  <c r="X28" i="51"/>
  <c r="T28" i="51"/>
  <c r="P28" i="51"/>
  <c r="H28" i="51"/>
  <c r="D28" i="51"/>
  <c r="L28" i="51" s="1"/>
  <c r="N28" i="51" s="1"/>
  <c r="B28" i="51"/>
  <c r="T27" i="51"/>
  <c r="P27" i="51"/>
  <c r="X27" i="51" s="1"/>
  <c r="L27" i="51"/>
  <c r="N27" i="51" s="1"/>
  <c r="H27" i="51"/>
  <c r="D27" i="51"/>
  <c r="B27" i="51"/>
  <c r="T26" i="51"/>
  <c r="P26" i="51"/>
  <c r="H26" i="51"/>
  <c r="D26" i="51"/>
  <c r="B26" i="51"/>
  <c r="T25" i="51"/>
  <c r="P25" i="51"/>
  <c r="X25" i="51" s="1"/>
  <c r="H25" i="51"/>
  <c r="D25" i="51"/>
  <c r="L25" i="51" s="1"/>
  <c r="N25" i="51" s="1"/>
  <c r="B25" i="51"/>
  <c r="X24" i="51"/>
  <c r="Z24" i="51" s="1"/>
  <c r="T24" i="51"/>
  <c r="P24" i="51"/>
  <c r="H24" i="51"/>
  <c r="D24" i="51"/>
  <c r="B24" i="51"/>
  <c r="T23" i="51"/>
  <c r="P23" i="51"/>
  <c r="X23" i="51" s="1"/>
  <c r="N23" i="51"/>
  <c r="H23" i="51"/>
  <c r="D23" i="51"/>
  <c r="L23" i="51" s="1"/>
  <c r="B23" i="51"/>
  <c r="X22" i="51"/>
  <c r="Z22" i="51" s="1"/>
  <c r="T22" i="51"/>
  <c r="P22" i="51"/>
  <c r="H22" i="51"/>
  <c r="D22" i="51"/>
  <c r="B22" i="51"/>
  <c r="T21" i="51"/>
  <c r="P21" i="51"/>
  <c r="X21" i="51" s="1"/>
  <c r="L21" i="51"/>
  <c r="N21" i="51" s="1"/>
  <c r="H21" i="51"/>
  <c r="D21" i="51"/>
  <c r="B21" i="51"/>
  <c r="X20" i="51"/>
  <c r="Z20" i="51" s="1"/>
  <c r="T20" i="51"/>
  <c r="P20" i="51"/>
  <c r="L20" i="51"/>
  <c r="H20" i="51"/>
  <c r="N20" i="51" s="1"/>
  <c r="D20" i="51"/>
  <c r="B20" i="51"/>
  <c r="T19" i="51"/>
  <c r="P19" i="51"/>
  <c r="X19" i="51" s="1"/>
  <c r="H19" i="51"/>
  <c r="D19" i="51"/>
  <c r="L19" i="51" s="1"/>
  <c r="N19" i="51" s="1"/>
  <c r="B19" i="51"/>
  <c r="T18" i="51"/>
  <c r="X18" i="51" s="1"/>
  <c r="Z18" i="51" s="1"/>
  <c r="P18" i="51"/>
  <c r="H18" i="51"/>
  <c r="D18" i="51"/>
  <c r="L18" i="51" s="1"/>
  <c r="B18" i="51"/>
  <c r="T17" i="51"/>
  <c r="P17" i="51"/>
  <c r="H17" i="51"/>
  <c r="D17" i="51"/>
  <c r="L17" i="51" s="1"/>
  <c r="N17" i="51" s="1"/>
  <c r="B17" i="51"/>
  <c r="X16" i="51"/>
  <c r="T16" i="51"/>
  <c r="Z16" i="51" s="1"/>
  <c r="P16" i="51"/>
  <c r="N16" i="51"/>
  <c r="L16" i="51"/>
  <c r="H16" i="51"/>
  <c r="D16" i="51"/>
  <c r="B16" i="51"/>
  <c r="T15" i="51"/>
  <c r="P15" i="51"/>
  <c r="H15" i="51"/>
  <c r="D15" i="51"/>
  <c r="L15" i="51" s="1"/>
  <c r="N15" i="51" s="1"/>
  <c r="B15" i="51"/>
  <c r="Z14" i="51"/>
  <c r="T14" i="51"/>
  <c r="X14" i="51" s="1"/>
  <c r="P14" i="51"/>
  <c r="L14" i="51"/>
  <c r="N14" i="51" s="1"/>
  <c r="H14" i="51"/>
  <c r="D14" i="51"/>
  <c r="B14" i="51"/>
  <c r="T13" i="51"/>
  <c r="P13" i="51"/>
  <c r="N13" i="51"/>
  <c r="H13" i="51"/>
  <c r="D13" i="51"/>
  <c r="L13" i="51" s="1"/>
  <c r="B13" i="51"/>
  <c r="D4" i="51"/>
  <c r="X74" i="48"/>
  <c r="Z74" i="48" s="1"/>
  <c r="L74" i="48"/>
  <c r="N74" i="48" s="1"/>
  <c r="X70" i="48"/>
  <c r="Z70" i="48" s="1"/>
  <c r="T70" i="48"/>
  <c r="P70" i="48"/>
  <c r="N70" i="48"/>
  <c r="L70" i="48"/>
  <c r="H70" i="48"/>
  <c r="D70" i="48"/>
  <c r="B70" i="48"/>
  <c r="V69" i="48"/>
  <c r="T69" i="48"/>
  <c r="P69" i="48"/>
  <c r="X69" i="48" s="1"/>
  <c r="Z69" i="48" s="1"/>
  <c r="L69" i="48"/>
  <c r="N69" i="48" s="1"/>
  <c r="H69" i="48"/>
  <c r="F69" i="48"/>
  <c r="D69" i="48"/>
  <c r="B69" i="48"/>
  <c r="T68" i="48"/>
  <c r="P68" i="48"/>
  <c r="H68" i="48"/>
  <c r="D68" i="48"/>
  <c r="L68" i="48" s="1"/>
  <c r="N68" i="48" s="1"/>
  <c r="X66" i="48"/>
  <c r="Z66" i="48" s="1"/>
  <c r="L66" i="48"/>
  <c r="N66" i="48" s="1"/>
  <c r="B66" i="48"/>
  <c r="Z65" i="48"/>
  <c r="V65" i="48"/>
  <c r="T65" i="48"/>
  <c r="X65" i="48" s="1"/>
  <c r="P65" i="48"/>
  <c r="H65" i="48"/>
  <c r="L65" i="48" s="1"/>
  <c r="D65" i="48"/>
  <c r="B65" i="48"/>
  <c r="X64" i="48"/>
  <c r="Z64" i="48" s="1"/>
  <c r="L64" i="48"/>
  <c r="N64" i="48" s="1"/>
  <c r="B64" i="48"/>
  <c r="V63" i="48"/>
  <c r="T63" i="48"/>
  <c r="P63" i="48"/>
  <c r="X63" i="48" s="1"/>
  <c r="H63" i="48"/>
  <c r="D63" i="48"/>
  <c r="L63" i="48" s="1"/>
  <c r="N63" i="48" s="1"/>
  <c r="B63" i="48"/>
  <c r="Z62" i="48"/>
  <c r="X62" i="48"/>
  <c r="N62" i="48"/>
  <c r="L62" i="48"/>
  <c r="F62" i="48"/>
  <c r="B62" i="48"/>
  <c r="X61" i="48"/>
  <c r="Z61" i="48" s="1"/>
  <c r="N61" i="48"/>
  <c r="L61" i="48"/>
  <c r="B61" i="48"/>
  <c r="X60" i="48"/>
  <c r="Z60" i="48" s="1"/>
  <c r="N60" i="48"/>
  <c r="L60" i="48"/>
  <c r="B60" i="48"/>
  <c r="Z59" i="48"/>
  <c r="X59" i="48"/>
  <c r="N59" i="48"/>
  <c r="L59" i="48"/>
  <c r="F59" i="48"/>
  <c r="B59" i="48"/>
  <c r="T58" i="48"/>
  <c r="P58" i="48"/>
  <c r="L58" i="48"/>
  <c r="H58" i="48"/>
  <c r="N58" i="48" s="1"/>
  <c r="D58" i="48"/>
  <c r="B58" i="48"/>
  <c r="Z57" i="48"/>
  <c r="X57" i="48"/>
  <c r="V57" i="48"/>
  <c r="N57" i="48"/>
  <c r="L57" i="48"/>
  <c r="F57" i="48"/>
  <c r="B57" i="48"/>
  <c r="T56" i="48"/>
  <c r="Z56" i="48" s="1"/>
  <c r="P56" i="48"/>
  <c r="N56" i="48"/>
  <c r="L56" i="48"/>
  <c r="H56" i="48"/>
  <c r="F56" i="48"/>
  <c r="D56" i="48"/>
  <c r="B56" i="48"/>
  <c r="X55" i="48"/>
  <c r="Z55" i="48" s="1"/>
  <c r="V55" i="48"/>
  <c r="N55" i="48"/>
  <c r="L55" i="48"/>
  <c r="B55" i="48"/>
  <c r="Z54" i="48"/>
  <c r="X54" i="48"/>
  <c r="V54" i="48"/>
  <c r="N54" i="48"/>
  <c r="L54" i="48"/>
  <c r="F54" i="48"/>
  <c r="B54" i="48"/>
  <c r="T53" i="48"/>
  <c r="V53" i="48" s="1"/>
  <c r="P53" i="48"/>
  <c r="X53" i="48" s="1"/>
  <c r="Z53" i="48" s="1"/>
  <c r="H53" i="48"/>
  <c r="N53" i="48" s="1"/>
  <c r="D53" i="48"/>
  <c r="B53" i="48"/>
  <c r="X52" i="48"/>
  <c r="Z52" i="48" s="1"/>
  <c r="N52" i="48"/>
  <c r="L52" i="48"/>
  <c r="B52" i="48"/>
  <c r="X51" i="48"/>
  <c r="Z51" i="48" s="1"/>
  <c r="V51" i="48"/>
  <c r="T51" i="48"/>
  <c r="P51" i="48"/>
  <c r="L51" i="48"/>
  <c r="N51" i="48" s="1"/>
  <c r="H51" i="48"/>
  <c r="F51" i="48"/>
  <c r="D51" i="48"/>
  <c r="B51" i="48"/>
  <c r="X50" i="48"/>
  <c r="Z50" i="48" s="1"/>
  <c r="N50" i="48"/>
  <c r="L50" i="48"/>
  <c r="B50" i="48"/>
  <c r="V49" i="48"/>
  <c r="T49" i="48"/>
  <c r="X49" i="48" s="1"/>
  <c r="Z49" i="48" s="1"/>
  <c r="P49" i="48"/>
  <c r="N49" i="48"/>
  <c r="H49" i="48"/>
  <c r="L49" i="48" s="1"/>
  <c r="D49" i="48"/>
  <c r="B49" i="48"/>
  <c r="Z48" i="48"/>
  <c r="X48" i="48"/>
  <c r="V48" i="48"/>
  <c r="L48" i="48"/>
  <c r="N48" i="48" s="1"/>
  <c r="F48" i="48"/>
  <c r="B48" i="48"/>
  <c r="T47" i="48"/>
  <c r="P47" i="48"/>
  <c r="H47" i="48"/>
  <c r="D47" i="48"/>
  <c r="L47" i="48" s="1"/>
  <c r="N47" i="48" s="1"/>
  <c r="B47" i="48"/>
  <c r="X46" i="48"/>
  <c r="Z46" i="48" s="1"/>
  <c r="V46" i="48"/>
  <c r="N46" i="48"/>
  <c r="L46" i="48"/>
  <c r="B46" i="48"/>
  <c r="X45" i="48"/>
  <c r="Z45" i="48" s="1"/>
  <c r="T45" i="48"/>
  <c r="P45" i="48"/>
  <c r="N45" i="48"/>
  <c r="L45" i="48"/>
  <c r="H45" i="48"/>
  <c r="F45" i="48"/>
  <c r="D45" i="48"/>
  <c r="B45" i="48"/>
  <c r="Z44" i="48"/>
  <c r="X44" i="48"/>
  <c r="N44" i="48"/>
  <c r="L44" i="48"/>
  <c r="J44" i="48"/>
  <c r="B44" i="48"/>
  <c r="Z43" i="48"/>
  <c r="X43" i="48"/>
  <c r="N43" i="48"/>
  <c r="L43" i="48"/>
  <c r="F43" i="48"/>
  <c r="B43" i="48"/>
  <c r="Z42" i="48"/>
  <c r="T42" i="48"/>
  <c r="P42" i="48"/>
  <c r="X42" i="48" s="1"/>
  <c r="H42" i="48"/>
  <c r="D42" i="48"/>
  <c r="B42" i="48"/>
  <c r="Z41" i="48"/>
  <c r="X41" i="48"/>
  <c r="V41" i="48"/>
  <c r="N41" i="48"/>
  <c r="L41" i="48"/>
  <c r="B41" i="48"/>
  <c r="X40" i="48"/>
  <c r="T40" i="48"/>
  <c r="Z40" i="48" s="1"/>
  <c r="P40" i="48"/>
  <c r="N40" i="48"/>
  <c r="J40" i="48"/>
  <c r="H40" i="48"/>
  <c r="D40" i="48"/>
  <c r="L40" i="48" s="1"/>
  <c r="B40" i="48"/>
  <c r="Z39" i="48"/>
  <c r="X39" i="48"/>
  <c r="V39" i="48"/>
  <c r="L39" i="48"/>
  <c r="N39" i="48" s="1"/>
  <c r="F39" i="48"/>
  <c r="B39" i="48"/>
  <c r="X38" i="48"/>
  <c r="T38" i="48"/>
  <c r="P38" i="48"/>
  <c r="H38" i="48"/>
  <c r="F38" i="48"/>
  <c r="D38" i="48"/>
  <c r="B38" i="48"/>
  <c r="X37" i="48"/>
  <c r="Z37" i="48" s="1"/>
  <c r="V37" i="48"/>
  <c r="N37" i="48"/>
  <c r="L37" i="48"/>
  <c r="F37" i="48"/>
  <c r="B37" i="48"/>
  <c r="T36" i="48"/>
  <c r="P36" i="48"/>
  <c r="N36" i="48"/>
  <c r="H36" i="48"/>
  <c r="F36" i="48"/>
  <c r="D36" i="48"/>
  <c r="L36" i="48" s="1"/>
  <c r="B36" i="48"/>
  <c r="X35" i="48"/>
  <c r="Z35" i="48" s="1"/>
  <c r="V35" i="48"/>
  <c r="L35" i="48"/>
  <c r="N35" i="48" s="1"/>
  <c r="B35" i="48"/>
  <c r="X34" i="48"/>
  <c r="Z34" i="48" s="1"/>
  <c r="V34" i="48"/>
  <c r="N34" i="48"/>
  <c r="L34" i="48"/>
  <c r="F34" i="48"/>
  <c r="B34" i="48"/>
  <c r="Z33" i="48"/>
  <c r="X33" i="48"/>
  <c r="L33" i="48"/>
  <c r="N33" i="48" s="1"/>
  <c r="F33" i="48"/>
  <c r="B33" i="48"/>
  <c r="X32" i="48"/>
  <c r="Z32" i="48" s="1"/>
  <c r="V32" i="48"/>
  <c r="L32" i="48"/>
  <c r="N32" i="48" s="1"/>
  <c r="J32" i="48"/>
  <c r="B32" i="48"/>
  <c r="X31" i="48"/>
  <c r="Z31" i="48" s="1"/>
  <c r="V31" i="48"/>
  <c r="N31" i="48"/>
  <c r="L31" i="48"/>
  <c r="B31" i="48"/>
  <c r="Z30" i="48"/>
  <c r="X30" i="48"/>
  <c r="V30" i="48"/>
  <c r="L30" i="48"/>
  <c r="N30" i="48" s="1"/>
  <c r="F30" i="48"/>
  <c r="B30" i="48"/>
  <c r="T29" i="48"/>
  <c r="P29" i="48"/>
  <c r="J29" i="48"/>
  <c r="H29" i="48"/>
  <c r="F29" i="48"/>
  <c r="D29" i="48"/>
  <c r="L29" i="48" s="1"/>
  <c r="B29" i="48"/>
  <c r="X28" i="48"/>
  <c r="Z28" i="48" s="1"/>
  <c r="V28" i="48"/>
  <c r="N28" i="48"/>
  <c r="L28" i="48"/>
  <c r="B28" i="48"/>
  <c r="X27" i="48"/>
  <c r="Z27" i="48" s="1"/>
  <c r="V27" i="48"/>
  <c r="L27" i="48"/>
  <c r="N27" i="48" s="1"/>
  <c r="B27" i="48"/>
  <c r="X26" i="48"/>
  <c r="Z26" i="48" s="1"/>
  <c r="V26" i="48"/>
  <c r="L26" i="48"/>
  <c r="N26" i="48" s="1"/>
  <c r="B26" i="48"/>
  <c r="Z25" i="48"/>
  <c r="X25" i="48"/>
  <c r="N25" i="48"/>
  <c r="L25" i="48"/>
  <c r="B25" i="48"/>
  <c r="X24" i="48"/>
  <c r="Z24" i="48" s="1"/>
  <c r="V24" i="48"/>
  <c r="N24" i="48"/>
  <c r="L24" i="48"/>
  <c r="B24" i="48"/>
  <c r="X23" i="48"/>
  <c r="Z23" i="48" s="1"/>
  <c r="V23" i="48"/>
  <c r="N23" i="48"/>
  <c r="L23" i="48"/>
  <c r="J23" i="48"/>
  <c r="B23" i="48"/>
  <c r="Z22" i="48"/>
  <c r="X22" i="48"/>
  <c r="L22" i="48"/>
  <c r="N22" i="48" s="1"/>
  <c r="B22" i="48"/>
  <c r="X21" i="48"/>
  <c r="Z21" i="48" s="1"/>
  <c r="L21" i="48"/>
  <c r="N21" i="48" s="1"/>
  <c r="B21" i="48"/>
  <c r="X20" i="48"/>
  <c r="V20" i="48"/>
  <c r="T20" i="48"/>
  <c r="P20" i="48"/>
  <c r="N20" i="48"/>
  <c r="H20" i="48"/>
  <c r="L20" i="48" s="1"/>
  <c r="F20" i="48"/>
  <c r="D20" i="48"/>
  <c r="B20" i="48"/>
  <c r="T19" i="48"/>
  <c r="P19" i="48"/>
  <c r="H19" i="48"/>
  <c r="L19" i="48" s="1"/>
  <c r="N19" i="48" s="1"/>
  <c r="F19" i="48"/>
  <c r="D19" i="48"/>
  <c r="Z15" i="48"/>
  <c r="V15" i="48"/>
  <c r="T15" i="48"/>
  <c r="T17" i="48" s="1"/>
  <c r="P15" i="48"/>
  <c r="X15" i="48" s="1"/>
  <c r="H15" i="48"/>
  <c r="D15" i="48"/>
  <c r="T13" i="48"/>
  <c r="T12" i="48" s="1"/>
  <c r="V74" i="48" s="1"/>
  <c r="P13" i="48"/>
  <c r="P12" i="48" s="1"/>
  <c r="R62" i="48" s="1"/>
  <c r="H13" i="48"/>
  <c r="D13" i="48"/>
  <c r="D12" i="48" s="1"/>
  <c r="F32" i="48" s="1"/>
  <c r="B13" i="48"/>
  <c r="L12" i="48"/>
  <c r="H12" i="48"/>
  <c r="J37" i="48" s="1"/>
  <c r="D4" i="48"/>
  <c r="Z94" i="45"/>
  <c r="X94" i="45"/>
  <c r="N94" i="45"/>
  <c r="L94" i="45"/>
  <c r="T90" i="45"/>
  <c r="Z90" i="45" s="1"/>
  <c r="P90" i="45"/>
  <c r="X90" i="45" s="1"/>
  <c r="H90" i="45"/>
  <c r="N90" i="45" s="1"/>
  <c r="D90" i="45"/>
  <c r="X88" i="45"/>
  <c r="Z88" i="45" s="1"/>
  <c r="N88" i="45"/>
  <c r="L88" i="45"/>
  <c r="B88" i="45"/>
  <c r="Z87" i="45"/>
  <c r="X87" i="45"/>
  <c r="L87" i="45"/>
  <c r="N87" i="45" s="1"/>
  <c r="B87" i="45"/>
  <c r="T86" i="45"/>
  <c r="P86" i="45"/>
  <c r="X86" i="45" s="1"/>
  <c r="Z86" i="45" s="1"/>
  <c r="H86" i="45"/>
  <c r="D86" i="45"/>
  <c r="L86" i="45" s="1"/>
  <c r="B86" i="45"/>
  <c r="X85" i="45"/>
  <c r="Z85" i="45" s="1"/>
  <c r="N85" i="45"/>
  <c r="L85" i="45"/>
  <c r="B85" i="45"/>
  <c r="T84" i="45"/>
  <c r="P84" i="45"/>
  <c r="X84" i="45" s="1"/>
  <c r="Z84" i="45" s="1"/>
  <c r="L84" i="45"/>
  <c r="N84" i="45" s="1"/>
  <c r="H84" i="45"/>
  <c r="D84" i="45"/>
  <c r="B84" i="45"/>
  <c r="X83" i="45"/>
  <c r="Z83" i="45" s="1"/>
  <c r="N83" i="45"/>
  <c r="L83" i="45"/>
  <c r="B83" i="45"/>
  <c r="Z82" i="45"/>
  <c r="X82" i="45"/>
  <c r="T82" i="45"/>
  <c r="P82" i="45"/>
  <c r="L82" i="45"/>
  <c r="N82" i="45" s="1"/>
  <c r="H82" i="45"/>
  <c r="D82" i="45"/>
  <c r="B82" i="45"/>
  <c r="Z81" i="45"/>
  <c r="X81" i="45"/>
  <c r="N81" i="45"/>
  <c r="L81" i="45"/>
  <c r="B81" i="45"/>
  <c r="X80" i="45"/>
  <c r="Z80" i="45" s="1"/>
  <c r="N80" i="45"/>
  <c r="L80" i="45"/>
  <c r="B80" i="45"/>
  <c r="Z79" i="45"/>
  <c r="X79" i="45"/>
  <c r="N79" i="45"/>
  <c r="L79" i="45"/>
  <c r="B79" i="45"/>
  <c r="Z78" i="45"/>
  <c r="X78" i="45"/>
  <c r="N78" i="45"/>
  <c r="L78" i="45"/>
  <c r="B78" i="45"/>
  <c r="Z77" i="45"/>
  <c r="X77" i="45"/>
  <c r="L77" i="45"/>
  <c r="N77" i="45" s="1"/>
  <c r="B77" i="45"/>
  <c r="X76" i="45"/>
  <c r="Z76" i="45" s="1"/>
  <c r="N76" i="45"/>
  <c r="L76" i="45"/>
  <c r="B76" i="45"/>
  <c r="Z75" i="45"/>
  <c r="X75" i="45"/>
  <c r="N75" i="45"/>
  <c r="L75" i="45"/>
  <c r="B75" i="45"/>
  <c r="Z74" i="45"/>
  <c r="X74" i="45"/>
  <c r="N74" i="45"/>
  <c r="L74" i="45"/>
  <c r="B74" i="45"/>
  <c r="X73" i="45"/>
  <c r="T73" i="45"/>
  <c r="Z73" i="45" s="1"/>
  <c r="P73" i="45"/>
  <c r="H73" i="45"/>
  <c r="D73" i="45"/>
  <c r="L73" i="45" s="1"/>
  <c r="N73" i="45" s="1"/>
  <c r="B73" i="45"/>
  <c r="X72" i="45"/>
  <c r="Z72" i="45" s="1"/>
  <c r="L72" i="45"/>
  <c r="N72" i="45" s="1"/>
  <c r="B72" i="45"/>
  <c r="Z71" i="45"/>
  <c r="X71" i="45"/>
  <c r="L71" i="45"/>
  <c r="N71" i="45" s="1"/>
  <c r="B71" i="45"/>
  <c r="Z70" i="45"/>
  <c r="X70" i="45"/>
  <c r="N70" i="45"/>
  <c r="L70" i="45"/>
  <c r="B70" i="45"/>
  <c r="T69" i="45"/>
  <c r="X69" i="45" s="1"/>
  <c r="P69" i="45"/>
  <c r="H69" i="45"/>
  <c r="D69" i="45"/>
  <c r="L69" i="45" s="1"/>
  <c r="N69" i="45" s="1"/>
  <c r="B69" i="45"/>
  <c r="X68" i="45"/>
  <c r="Z68" i="45" s="1"/>
  <c r="N68" i="45"/>
  <c r="L68" i="45"/>
  <c r="B68" i="45"/>
  <c r="Z67" i="45"/>
  <c r="X67" i="45"/>
  <c r="L67" i="45"/>
  <c r="N67" i="45" s="1"/>
  <c r="B67" i="45"/>
  <c r="Z66" i="45"/>
  <c r="X66" i="45"/>
  <c r="N66" i="45"/>
  <c r="L66" i="45"/>
  <c r="B66" i="45"/>
  <c r="T65" i="45"/>
  <c r="P65" i="45"/>
  <c r="X65" i="45" s="1"/>
  <c r="H65" i="45"/>
  <c r="D65" i="45"/>
  <c r="B65" i="45"/>
  <c r="X64" i="45"/>
  <c r="Z64" i="45" s="1"/>
  <c r="N64" i="45"/>
  <c r="L64" i="45"/>
  <c r="B64" i="45"/>
  <c r="X63" i="45"/>
  <c r="T63" i="45"/>
  <c r="Z63" i="45" s="1"/>
  <c r="P63" i="45"/>
  <c r="H63" i="45"/>
  <c r="D63" i="45"/>
  <c r="L63" i="45" s="1"/>
  <c r="B63" i="45"/>
  <c r="Z62" i="45"/>
  <c r="X62" i="45"/>
  <c r="N62" i="45"/>
  <c r="L62" i="45"/>
  <c r="B62" i="45"/>
  <c r="X61" i="45"/>
  <c r="T61" i="45"/>
  <c r="P61" i="45"/>
  <c r="N61" i="45"/>
  <c r="L61" i="45"/>
  <c r="H61" i="45"/>
  <c r="D61" i="45"/>
  <c r="B61" i="45"/>
  <c r="Z60" i="45"/>
  <c r="X60" i="45"/>
  <c r="L60" i="45"/>
  <c r="N60" i="45" s="1"/>
  <c r="B60" i="45"/>
  <c r="T59" i="45"/>
  <c r="P59" i="45"/>
  <c r="X59" i="45" s="1"/>
  <c r="H59" i="45"/>
  <c r="N59" i="45" s="1"/>
  <c r="D59" i="45"/>
  <c r="L59" i="45" s="1"/>
  <c r="B59" i="45"/>
  <c r="Z58" i="45"/>
  <c r="X58" i="45"/>
  <c r="N58" i="45"/>
  <c r="L58" i="45"/>
  <c r="F58" i="45"/>
  <c r="B58" i="45"/>
  <c r="T57" i="45"/>
  <c r="P57" i="45"/>
  <c r="X57" i="45" s="1"/>
  <c r="L57" i="45"/>
  <c r="H57" i="45"/>
  <c r="D57" i="45"/>
  <c r="B57" i="45"/>
  <c r="Z56" i="45"/>
  <c r="X56" i="45"/>
  <c r="N56" i="45"/>
  <c r="L56" i="45"/>
  <c r="B56" i="45"/>
  <c r="Z55" i="45"/>
  <c r="X55" i="45"/>
  <c r="T55" i="45"/>
  <c r="P55" i="45"/>
  <c r="H55" i="45"/>
  <c r="D55" i="45"/>
  <c r="B55" i="45"/>
  <c r="Z54" i="45"/>
  <c r="X54" i="45"/>
  <c r="N54" i="45"/>
  <c r="L54" i="45"/>
  <c r="B54" i="45"/>
  <c r="T53" i="45"/>
  <c r="P53" i="45"/>
  <c r="X53" i="45" s="1"/>
  <c r="H53" i="45"/>
  <c r="D53" i="45"/>
  <c r="B53" i="45"/>
  <c r="X52" i="45"/>
  <c r="Z52" i="45" s="1"/>
  <c r="N52" i="45"/>
  <c r="L52" i="45"/>
  <c r="B52" i="45"/>
  <c r="X51" i="45"/>
  <c r="T51" i="45"/>
  <c r="Z51" i="45" s="1"/>
  <c r="P51" i="45"/>
  <c r="H51" i="45"/>
  <c r="D51" i="45"/>
  <c r="L51" i="45" s="1"/>
  <c r="B51" i="45"/>
  <c r="Z50" i="45"/>
  <c r="X50" i="45"/>
  <c r="N50" i="45"/>
  <c r="L50" i="45"/>
  <c r="B50" i="45"/>
  <c r="X49" i="45"/>
  <c r="T49" i="45"/>
  <c r="P49" i="45"/>
  <c r="N49" i="45"/>
  <c r="L49" i="45"/>
  <c r="H49" i="45"/>
  <c r="D49" i="45"/>
  <c r="B49" i="45"/>
  <c r="Z48" i="45"/>
  <c r="X48" i="45"/>
  <c r="L48" i="45"/>
  <c r="N48" i="45" s="1"/>
  <c r="B48" i="45"/>
  <c r="T47" i="45"/>
  <c r="P47" i="45"/>
  <c r="X47" i="45" s="1"/>
  <c r="H47" i="45"/>
  <c r="N47" i="45" s="1"/>
  <c r="D47" i="45"/>
  <c r="L47" i="45" s="1"/>
  <c r="B47" i="45"/>
  <c r="Z46" i="45"/>
  <c r="X46" i="45"/>
  <c r="N46" i="45"/>
  <c r="L46" i="45"/>
  <c r="B46" i="45"/>
  <c r="T45" i="45"/>
  <c r="P45" i="45"/>
  <c r="X45" i="45" s="1"/>
  <c r="L45" i="45"/>
  <c r="H45" i="45"/>
  <c r="D45" i="45"/>
  <c r="B45" i="45"/>
  <c r="X44" i="45"/>
  <c r="Z44" i="45" s="1"/>
  <c r="N44" i="45"/>
  <c r="L44" i="45"/>
  <c r="B44" i="45"/>
  <c r="Z43" i="45"/>
  <c r="X43" i="45"/>
  <c r="N43" i="45"/>
  <c r="L43" i="45"/>
  <c r="B43" i="45"/>
  <c r="Z42" i="45"/>
  <c r="X42" i="45"/>
  <c r="N42" i="45"/>
  <c r="L42" i="45"/>
  <c r="B42" i="45"/>
  <c r="X41" i="45"/>
  <c r="Z41" i="45" s="1"/>
  <c r="L41" i="45"/>
  <c r="N41" i="45" s="1"/>
  <c r="B41" i="45"/>
  <c r="X40" i="45"/>
  <c r="Z40" i="45" s="1"/>
  <c r="N40" i="45"/>
  <c r="L40" i="45"/>
  <c r="B40" i="45"/>
  <c r="Z39" i="45"/>
  <c r="X39" i="45"/>
  <c r="N39" i="45"/>
  <c r="L39" i="45"/>
  <c r="B39" i="45"/>
  <c r="Z38" i="45"/>
  <c r="X38" i="45"/>
  <c r="N38" i="45"/>
  <c r="L38" i="45"/>
  <c r="B38" i="45"/>
  <c r="X37" i="45"/>
  <c r="T37" i="45"/>
  <c r="P37" i="45"/>
  <c r="N37" i="45"/>
  <c r="L37" i="45"/>
  <c r="H37" i="45"/>
  <c r="D37" i="45"/>
  <c r="B37" i="45"/>
  <c r="Z36" i="45"/>
  <c r="X36" i="45"/>
  <c r="L36" i="45"/>
  <c r="N36" i="45" s="1"/>
  <c r="B36" i="45"/>
  <c r="Z35" i="45"/>
  <c r="X35" i="45"/>
  <c r="L35" i="45"/>
  <c r="N35" i="45" s="1"/>
  <c r="B35" i="45"/>
  <c r="Z34" i="45"/>
  <c r="X34" i="45"/>
  <c r="N34" i="45"/>
  <c r="L34" i="45"/>
  <c r="B34" i="45"/>
  <c r="X33" i="45"/>
  <c r="Z33" i="45" s="1"/>
  <c r="L33" i="45"/>
  <c r="N33" i="45" s="1"/>
  <c r="B33" i="45"/>
  <c r="Z32" i="45"/>
  <c r="X32" i="45"/>
  <c r="L32" i="45"/>
  <c r="N32" i="45" s="1"/>
  <c r="B32" i="45"/>
  <c r="Z31" i="45"/>
  <c r="X31" i="45"/>
  <c r="L31" i="45"/>
  <c r="N31" i="45" s="1"/>
  <c r="B31" i="45"/>
  <c r="Z30" i="45"/>
  <c r="X30" i="45"/>
  <c r="N30" i="45"/>
  <c r="L30" i="45"/>
  <c r="B30" i="45"/>
  <c r="X29" i="45"/>
  <c r="Z29" i="45" s="1"/>
  <c r="L29" i="45"/>
  <c r="N29" i="45" s="1"/>
  <c r="B29" i="45"/>
  <c r="Z28" i="45"/>
  <c r="X28" i="45"/>
  <c r="L28" i="45"/>
  <c r="N28" i="45" s="1"/>
  <c r="B28" i="45"/>
  <c r="T27" i="45"/>
  <c r="P27" i="45"/>
  <c r="H27" i="45"/>
  <c r="D27" i="45"/>
  <c r="L27" i="45" s="1"/>
  <c r="B27" i="45"/>
  <c r="T26" i="45"/>
  <c r="P26" i="45"/>
  <c r="X26" i="45" s="1"/>
  <c r="Z26" i="45" s="1"/>
  <c r="L26" i="45"/>
  <c r="N26" i="45" s="1"/>
  <c r="H26" i="45"/>
  <c r="D26" i="45"/>
  <c r="D24" i="45"/>
  <c r="Z22" i="45"/>
  <c r="X22" i="45"/>
  <c r="N22" i="45"/>
  <c r="L22" i="45"/>
  <c r="B22" i="45"/>
  <c r="X21" i="45"/>
  <c r="Z21" i="45" s="1"/>
  <c r="L21" i="45"/>
  <c r="N21" i="45" s="1"/>
  <c r="B21" i="45"/>
  <c r="X20" i="45"/>
  <c r="Z20" i="45" s="1"/>
  <c r="T20" i="45"/>
  <c r="P20" i="45"/>
  <c r="H20" i="45"/>
  <c r="D20" i="45"/>
  <c r="L20" i="45" s="1"/>
  <c r="N20" i="45" s="1"/>
  <c r="X18" i="45"/>
  <c r="T18" i="45"/>
  <c r="Z18" i="45" s="1"/>
  <c r="P18" i="45"/>
  <c r="N18" i="45"/>
  <c r="L18" i="45"/>
  <c r="H18" i="45"/>
  <c r="D18" i="45"/>
  <c r="B18" i="45"/>
  <c r="X17" i="45"/>
  <c r="T17" i="45"/>
  <c r="P17" i="45"/>
  <c r="L17" i="45"/>
  <c r="N17" i="45" s="1"/>
  <c r="H17" i="45"/>
  <c r="D17" i="45"/>
  <c r="B17" i="45"/>
  <c r="Z16" i="45"/>
  <c r="T16" i="45"/>
  <c r="X16" i="45" s="1"/>
  <c r="P16" i="45"/>
  <c r="H16" i="45"/>
  <c r="D16" i="45"/>
  <c r="B16" i="45"/>
  <c r="T15" i="45"/>
  <c r="P15" i="45"/>
  <c r="H15" i="45"/>
  <c r="D15" i="45"/>
  <c r="L15" i="45" s="1"/>
  <c r="N15" i="45" s="1"/>
  <c r="B15" i="45"/>
  <c r="T14" i="45"/>
  <c r="P14" i="45"/>
  <c r="H14" i="45"/>
  <c r="D14" i="45"/>
  <c r="B14" i="45"/>
  <c r="X13" i="45"/>
  <c r="T13" i="45"/>
  <c r="Z13" i="45" s="1"/>
  <c r="P13" i="45"/>
  <c r="L13" i="45"/>
  <c r="N13" i="45" s="1"/>
  <c r="H13" i="45"/>
  <c r="D13" i="45"/>
  <c r="B13" i="45"/>
  <c r="D12" i="45"/>
  <c r="F77" i="45" s="1"/>
  <c r="D4" i="45"/>
  <c r="X125" i="42"/>
  <c r="Z125" i="42" s="1"/>
  <c r="L125" i="42"/>
  <c r="N125" i="42" s="1"/>
  <c r="X121" i="42"/>
  <c r="Z121" i="42" s="1"/>
  <c r="T121" i="42"/>
  <c r="P121" i="42"/>
  <c r="H121" i="42"/>
  <c r="D121" i="42"/>
  <c r="L121" i="42" s="1"/>
  <c r="B121" i="42"/>
  <c r="Z120" i="42"/>
  <c r="T120" i="42"/>
  <c r="P120" i="42"/>
  <c r="X120" i="42" s="1"/>
  <c r="H120" i="42"/>
  <c r="D120" i="42"/>
  <c r="L120" i="42" s="1"/>
  <c r="N120" i="42" s="1"/>
  <c r="B120" i="42"/>
  <c r="V119" i="42"/>
  <c r="T119" i="42"/>
  <c r="P119" i="42"/>
  <c r="P118" i="42" s="1"/>
  <c r="H119" i="42"/>
  <c r="D119" i="42"/>
  <c r="B119" i="42"/>
  <c r="X116" i="42"/>
  <c r="Z116" i="42" s="1"/>
  <c r="N116" i="42"/>
  <c r="L116" i="42"/>
  <c r="B116" i="42"/>
  <c r="T115" i="42"/>
  <c r="P115" i="42"/>
  <c r="H115" i="42"/>
  <c r="D115" i="42"/>
  <c r="B115" i="42"/>
  <c r="Z114" i="42"/>
  <c r="X114" i="42"/>
  <c r="N114" i="42"/>
  <c r="L114" i="42"/>
  <c r="B114" i="42"/>
  <c r="X113" i="42"/>
  <c r="Z113" i="42" s="1"/>
  <c r="N113" i="42"/>
  <c r="L113" i="42"/>
  <c r="B113" i="42"/>
  <c r="Z112" i="42"/>
  <c r="X112" i="42"/>
  <c r="N112" i="42"/>
  <c r="L112" i="42"/>
  <c r="B112" i="42"/>
  <c r="T111" i="42"/>
  <c r="P111" i="42"/>
  <c r="X111" i="42" s="1"/>
  <c r="Z111" i="42" s="1"/>
  <c r="H111" i="42"/>
  <c r="D111" i="42"/>
  <c r="L111" i="42" s="1"/>
  <c r="N111" i="42" s="1"/>
  <c r="B111" i="42"/>
  <c r="Z110" i="42"/>
  <c r="X110" i="42"/>
  <c r="V110" i="42"/>
  <c r="L110" i="42"/>
  <c r="N110" i="42" s="1"/>
  <c r="B110" i="42"/>
  <c r="T109" i="42"/>
  <c r="P109" i="42"/>
  <c r="H109" i="42"/>
  <c r="D109" i="42"/>
  <c r="B109" i="42"/>
  <c r="Z108" i="42"/>
  <c r="X108" i="42"/>
  <c r="N108" i="42"/>
  <c r="L108" i="42"/>
  <c r="B108" i="42"/>
  <c r="T107" i="42"/>
  <c r="P107" i="42"/>
  <c r="X107" i="42" s="1"/>
  <c r="Z107" i="42" s="1"/>
  <c r="H107" i="42"/>
  <c r="D107" i="42"/>
  <c r="L107" i="42" s="1"/>
  <c r="B107" i="42"/>
  <c r="Z106" i="42"/>
  <c r="X106" i="42"/>
  <c r="V106" i="42"/>
  <c r="N106" i="42"/>
  <c r="L106" i="42"/>
  <c r="B106" i="42"/>
  <c r="X105" i="42"/>
  <c r="Z105" i="42" s="1"/>
  <c r="N105" i="42"/>
  <c r="L105" i="42"/>
  <c r="J105" i="42"/>
  <c r="B105" i="42"/>
  <c r="Z104" i="42"/>
  <c r="X104" i="42"/>
  <c r="L104" i="42"/>
  <c r="N104" i="42" s="1"/>
  <c r="B104" i="42"/>
  <c r="X103" i="42"/>
  <c r="Z103" i="42" s="1"/>
  <c r="L103" i="42"/>
  <c r="N103" i="42" s="1"/>
  <c r="B103" i="42"/>
  <c r="Z102" i="42"/>
  <c r="X102" i="42"/>
  <c r="L102" i="42"/>
  <c r="N102" i="42" s="1"/>
  <c r="B102" i="42"/>
  <c r="X101" i="42"/>
  <c r="Z101" i="42" s="1"/>
  <c r="L101" i="42"/>
  <c r="N101" i="42" s="1"/>
  <c r="B101" i="42"/>
  <c r="Z100" i="42"/>
  <c r="X100" i="42"/>
  <c r="L100" i="42"/>
  <c r="N100" i="42" s="1"/>
  <c r="B100" i="42"/>
  <c r="X99" i="42"/>
  <c r="Z99" i="42" s="1"/>
  <c r="L99" i="42"/>
  <c r="N99" i="42" s="1"/>
  <c r="J99" i="42"/>
  <c r="B99" i="42"/>
  <c r="Z98" i="42"/>
  <c r="T98" i="42"/>
  <c r="P98" i="42"/>
  <c r="X98" i="42" s="1"/>
  <c r="H98" i="42"/>
  <c r="D98" i="42"/>
  <c r="L98" i="42" s="1"/>
  <c r="B98" i="42"/>
  <c r="X97" i="42"/>
  <c r="Z97" i="42" s="1"/>
  <c r="L97" i="42"/>
  <c r="N97" i="42" s="1"/>
  <c r="B97" i="42"/>
  <c r="Z96" i="42"/>
  <c r="X96" i="42"/>
  <c r="N96" i="42"/>
  <c r="L96" i="42"/>
  <c r="B96" i="42"/>
  <c r="T95" i="42"/>
  <c r="P95" i="42"/>
  <c r="X95" i="42" s="1"/>
  <c r="H95" i="42"/>
  <c r="D95" i="42"/>
  <c r="B95" i="42"/>
  <c r="Z94" i="42"/>
  <c r="X94" i="42"/>
  <c r="N94" i="42"/>
  <c r="L94" i="42"/>
  <c r="B94" i="42"/>
  <c r="X93" i="42"/>
  <c r="Z93" i="42" s="1"/>
  <c r="N93" i="42"/>
  <c r="L93" i="42"/>
  <c r="B93" i="42"/>
  <c r="X92" i="42"/>
  <c r="Z92" i="42" s="1"/>
  <c r="N92" i="42"/>
  <c r="L92" i="42"/>
  <c r="B92" i="42"/>
  <c r="X91" i="42"/>
  <c r="Z91" i="42" s="1"/>
  <c r="L91" i="42"/>
  <c r="N91" i="42" s="1"/>
  <c r="B91" i="42"/>
  <c r="Z90" i="42"/>
  <c r="X90" i="42"/>
  <c r="N90" i="42"/>
  <c r="L90" i="42"/>
  <c r="B90" i="42"/>
  <c r="X89" i="42"/>
  <c r="T89" i="42"/>
  <c r="P89" i="42"/>
  <c r="H89" i="42"/>
  <c r="D89" i="42"/>
  <c r="L89" i="42" s="1"/>
  <c r="N89" i="42" s="1"/>
  <c r="B89" i="42"/>
  <c r="Z88" i="42"/>
  <c r="X88" i="42"/>
  <c r="V88" i="42"/>
  <c r="L88" i="42"/>
  <c r="N88" i="42" s="1"/>
  <c r="B88" i="42"/>
  <c r="X87" i="42"/>
  <c r="Z87" i="42" s="1"/>
  <c r="L87" i="42"/>
  <c r="N87" i="42" s="1"/>
  <c r="B87" i="42"/>
  <c r="T86" i="42"/>
  <c r="P86" i="42"/>
  <c r="H86" i="42"/>
  <c r="D86" i="42"/>
  <c r="B86" i="42"/>
  <c r="X85" i="42"/>
  <c r="Z85" i="42" s="1"/>
  <c r="N85" i="42"/>
  <c r="L85" i="42"/>
  <c r="B85" i="42"/>
  <c r="Z84" i="42"/>
  <c r="X84" i="42"/>
  <c r="L84" i="42"/>
  <c r="N84" i="42" s="1"/>
  <c r="B84" i="42"/>
  <c r="X83" i="42"/>
  <c r="Z83" i="42" s="1"/>
  <c r="L83" i="42"/>
  <c r="N83" i="42" s="1"/>
  <c r="B83" i="42"/>
  <c r="X82" i="42"/>
  <c r="Z82" i="42" s="1"/>
  <c r="N82" i="42"/>
  <c r="L82" i="42"/>
  <c r="B82" i="42"/>
  <c r="X81" i="42"/>
  <c r="T81" i="42"/>
  <c r="P81" i="42"/>
  <c r="L81" i="42"/>
  <c r="H81" i="42"/>
  <c r="D81" i="42"/>
  <c r="B81" i="42"/>
  <c r="X80" i="42"/>
  <c r="Z80" i="42" s="1"/>
  <c r="N80" i="42"/>
  <c r="L80" i="42"/>
  <c r="B80" i="42"/>
  <c r="X79" i="42"/>
  <c r="Z79" i="42" s="1"/>
  <c r="T79" i="42"/>
  <c r="P79" i="42"/>
  <c r="H79" i="42"/>
  <c r="N79" i="42" s="1"/>
  <c r="D79" i="42"/>
  <c r="L79" i="42" s="1"/>
  <c r="B79" i="42"/>
  <c r="Z78" i="42"/>
  <c r="X78" i="42"/>
  <c r="N78" i="42"/>
  <c r="L78" i="42"/>
  <c r="B78" i="42"/>
  <c r="Z77" i="42"/>
  <c r="V77" i="42"/>
  <c r="T77" i="42"/>
  <c r="P77" i="42"/>
  <c r="X77" i="42" s="1"/>
  <c r="N77" i="42"/>
  <c r="L77" i="42"/>
  <c r="H77" i="42"/>
  <c r="D77" i="42"/>
  <c r="B77" i="42"/>
  <c r="X76" i="42"/>
  <c r="Z76" i="42" s="1"/>
  <c r="N76" i="42"/>
  <c r="L76" i="42"/>
  <c r="B76" i="42"/>
  <c r="T75" i="42"/>
  <c r="P75" i="42"/>
  <c r="X75" i="42" s="1"/>
  <c r="H75" i="42"/>
  <c r="D75" i="42"/>
  <c r="B75" i="42"/>
  <c r="Z74" i="42"/>
  <c r="X74" i="42"/>
  <c r="N74" i="42"/>
  <c r="L74" i="42"/>
  <c r="B74" i="42"/>
  <c r="X73" i="42"/>
  <c r="T73" i="42"/>
  <c r="Z73" i="42" s="1"/>
  <c r="P73" i="42"/>
  <c r="H73" i="42"/>
  <c r="N73" i="42" s="1"/>
  <c r="D73" i="42"/>
  <c r="L73" i="42" s="1"/>
  <c r="B73" i="42"/>
  <c r="Z72" i="42"/>
  <c r="X72" i="42"/>
  <c r="N72" i="42"/>
  <c r="L72" i="42"/>
  <c r="B72" i="42"/>
  <c r="Z71" i="42"/>
  <c r="X71" i="42"/>
  <c r="L71" i="42"/>
  <c r="N71" i="42" s="1"/>
  <c r="B71" i="42"/>
  <c r="Z70" i="42"/>
  <c r="T70" i="42"/>
  <c r="P70" i="42"/>
  <c r="X70" i="42" s="1"/>
  <c r="N70" i="42"/>
  <c r="H70" i="42"/>
  <c r="D70" i="42"/>
  <c r="L70" i="42" s="1"/>
  <c r="B70" i="42"/>
  <c r="X69" i="42"/>
  <c r="Z69" i="42" s="1"/>
  <c r="N69" i="42"/>
  <c r="L69" i="42"/>
  <c r="B69" i="42"/>
  <c r="V68" i="42"/>
  <c r="T68" i="42"/>
  <c r="P68" i="42"/>
  <c r="X68" i="42" s="1"/>
  <c r="Z68" i="42" s="1"/>
  <c r="N68" i="42"/>
  <c r="H68" i="42"/>
  <c r="D68" i="42"/>
  <c r="L68" i="42" s="1"/>
  <c r="B68" i="42"/>
  <c r="X67" i="42"/>
  <c r="Z67" i="42" s="1"/>
  <c r="N67" i="42"/>
  <c r="L67" i="42"/>
  <c r="B67" i="42"/>
  <c r="T66" i="42"/>
  <c r="P66" i="42"/>
  <c r="X66" i="42" s="1"/>
  <c r="H66" i="42"/>
  <c r="D66" i="42"/>
  <c r="B66" i="42"/>
  <c r="Z65" i="42"/>
  <c r="X65" i="42"/>
  <c r="N65" i="42"/>
  <c r="L65" i="42"/>
  <c r="B65" i="42"/>
  <c r="T64" i="42"/>
  <c r="P64" i="42"/>
  <c r="J64" i="42"/>
  <c r="H64" i="42"/>
  <c r="D64" i="42"/>
  <c r="L64" i="42" s="1"/>
  <c r="N64" i="42" s="1"/>
  <c r="B64" i="42"/>
  <c r="X63" i="42"/>
  <c r="Z63" i="42" s="1"/>
  <c r="N63" i="42"/>
  <c r="L63" i="42"/>
  <c r="B63" i="42"/>
  <c r="X62" i="42"/>
  <c r="Z62" i="42" s="1"/>
  <c r="T62" i="42"/>
  <c r="P62" i="42"/>
  <c r="H62" i="42"/>
  <c r="N62" i="42" s="1"/>
  <c r="D62" i="42"/>
  <c r="L62" i="42" s="1"/>
  <c r="B62" i="42"/>
  <c r="Z61" i="42"/>
  <c r="X61" i="42"/>
  <c r="N61" i="42"/>
  <c r="L61" i="42"/>
  <c r="B61" i="42"/>
  <c r="Z60" i="42"/>
  <c r="V60" i="42"/>
  <c r="T60" i="42"/>
  <c r="X60" i="42" s="1"/>
  <c r="P60" i="42"/>
  <c r="N60" i="42"/>
  <c r="H60" i="42"/>
  <c r="D60" i="42"/>
  <c r="L60" i="42" s="1"/>
  <c r="B60" i="42"/>
  <c r="X59" i="42"/>
  <c r="Z59" i="42" s="1"/>
  <c r="L59" i="42"/>
  <c r="N59" i="42" s="1"/>
  <c r="B59" i="42"/>
  <c r="Z58" i="42"/>
  <c r="X58" i="42"/>
  <c r="L58" i="42"/>
  <c r="N58" i="42" s="1"/>
  <c r="B58" i="42"/>
  <c r="X57" i="42"/>
  <c r="Z57" i="42" s="1"/>
  <c r="N57" i="42"/>
  <c r="L57" i="42"/>
  <c r="B57" i="42"/>
  <c r="Z56" i="42"/>
  <c r="T56" i="42"/>
  <c r="P56" i="42"/>
  <c r="X56" i="42" s="1"/>
  <c r="H56" i="42"/>
  <c r="N56" i="42" s="1"/>
  <c r="D56" i="42"/>
  <c r="L56" i="42" s="1"/>
  <c r="B56" i="42"/>
  <c r="Z55" i="42"/>
  <c r="X55" i="42"/>
  <c r="N55" i="42"/>
  <c r="L55" i="42"/>
  <c r="B55" i="42"/>
  <c r="T54" i="42"/>
  <c r="P54" i="42"/>
  <c r="L54" i="42"/>
  <c r="N54" i="42" s="1"/>
  <c r="H54" i="42"/>
  <c r="D54" i="42"/>
  <c r="B54" i="42"/>
  <c r="Z53" i="42"/>
  <c r="X53" i="42"/>
  <c r="V53" i="42"/>
  <c r="N53" i="42"/>
  <c r="L53" i="42"/>
  <c r="B53" i="42"/>
  <c r="T52" i="42"/>
  <c r="Z52" i="42" s="1"/>
  <c r="P52" i="42"/>
  <c r="X52" i="42" s="1"/>
  <c r="H52" i="42"/>
  <c r="D52" i="42"/>
  <c r="B52" i="42"/>
  <c r="Z51" i="42"/>
  <c r="X51" i="42"/>
  <c r="N51" i="42"/>
  <c r="L51" i="42"/>
  <c r="B51" i="42"/>
  <c r="T50" i="42"/>
  <c r="P50" i="42"/>
  <c r="X50" i="42" s="1"/>
  <c r="L50" i="42"/>
  <c r="H50" i="42"/>
  <c r="D50" i="42"/>
  <c r="B50" i="42"/>
  <c r="X49" i="42"/>
  <c r="Z49" i="42" s="1"/>
  <c r="N49" i="42"/>
  <c r="L49" i="42"/>
  <c r="J49" i="42"/>
  <c r="B49" i="42"/>
  <c r="X48" i="42"/>
  <c r="Z48" i="42" s="1"/>
  <c r="N48" i="42"/>
  <c r="L48" i="42"/>
  <c r="B48" i="42"/>
  <c r="Z47" i="42"/>
  <c r="X47" i="42"/>
  <c r="N47" i="42"/>
  <c r="L47" i="42"/>
  <c r="B47" i="42"/>
  <c r="X46" i="42"/>
  <c r="Z46" i="42" s="1"/>
  <c r="L46" i="42"/>
  <c r="N46" i="42" s="1"/>
  <c r="B46" i="42"/>
  <c r="X45" i="42"/>
  <c r="Z45" i="42" s="1"/>
  <c r="N45" i="42"/>
  <c r="L45" i="42"/>
  <c r="J45" i="42"/>
  <c r="B45" i="42"/>
  <c r="X44" i="42"/>
  <c r="Z44" i="42" s="1"/>
  <c r="L44" i="42"/>
  <c r="N44" i="42" s="1"/>
  <c r="B44" i="42"/>
  <c r="Z43" i="42"/>
  <c r="X43" i="42"/>
  <c r="N43" i="42"/>
  <c r="L43" i="42"/>
  <c r="B43" i="42"/>
  <c r="T42" i="42"/>
  <c r="P42" i="42"/>
  <c r="L42" i="42"/>
  <c r="N42" i="42" s="1"/>
  <c r="H42" i="42"/>
  <c r="D42" i="42"/>
  <c r="B42" i="42"/>
  <c r="Z41" i="42"/>
  <c r="X41" i="42"/>
  <c r="V41" i="42"/>
  <c r="N41" i="42"/>
  <c r="L41" i="42"/>
  <c r="B41" i="42"/>
  <c r="X40" i="42"/>
  <c r="Z40" i="42" s="1"/>
  <c r="L40" i="42"/>
  <c r="N40" i="42" s="1"/>
  <c r="B40" i="42"/>
  <c r="Z39" i="42"/>
  <c r="X39" i="42"/>
  <c r="N39" i="42"/>
  <c r="L39" i="42"/>
  <c r="B39" i="42"/>
  <c r="X38" i="42"/>
  <c r="Z38" i="42" s="1"/>
  <c r="L38" i="42"/>
  <c r="N38" i="42" s="1"/>
  <c r="B38" i="42"/>
  <c r="Z37" i="42"/>
  <c r="X37" i="42"/>
  <c r="V37" i="42"/>
  <c r="N37" i="42"/>
  <c r="L37" i="42"/>
  <c r="B37" i="42"/>
  <c r="X36" i="42"/>
  <c r="Z36" i="42" s="1"/>
  <c r="L36" i="42"/>
  <c r="N36" i="42" s="1"/>
  <c r="B36" i="42"/>
  <c r="Z35" i="42"/>
  <c r="X35" i="42"/>
  <c r="N35" i="42"/>
  <c r="L35" i="42"/>
  <c r="B35" i="42"/>
  <c r="X34" i="42"/>
  <c r="Z34" i="42" s="1"/>
  <c r="L34" i="42"/>
  <c r="N34" i="42" s="1"/>
  <c r="B34" i="42"/>
  <c r="Z33" i="42"/>
  <c r="X33" i="42"/>
  <c r="V33" i="42"/>
  <c r="N33" i="42"/>
  <c r="L33" i="42"/>
  <c r="B33" i="42"/>
  <c r="T32" i="42"/>
  <c r="P32" i="42"/>
  <c r="X32" i="42" s="1"/>
  <c r="L32" i="42"/>
  <c r="H32" i="42"/>
  <c r="N32" i="42" s="1"/>
  <c r="D32" i="42"/>
  <c r="B32" i="42"/>
  <c r="T31" i="42"/>
  <c r="R31" i="42"/>
  <c r="P31" i="42"/>
  <c r="X31" i="42" s="1"/>
  <c r="Z31" i="42" s="1"/>
  <c r="H31" i="42"/>
  <c r="D31" i="42"/>
  <c r="L31" i="42" s="1"/>
  <c r="N31" i="42" s="1"/>
  <c r="Z27" i="42"/>
  <c r="X27" i="42"/>
  <c r="N27" i="42"/>
  <c r="L27" i="42"/>
  <c r="B27" i="42"/>
  <c r="X26" i="42"/>
  <c r="Z26" i="42" s="1"/>
  <c r="L26" i="42"/>
  <c r="N26" i="42" s="1"/>
  <c r="F26" i="42"/>
  <c r="B26" i="42"/>
  <c r="T25" i="42"/>
  <c r="P25" i="42"/>
  <c r="X25" i="42" s="1"/>
  <c r="Z25" i="42" s="1"/>
  <c r="H25" i="42"/>
  <c r="D25" i="42"/>
  <c r="L25" i="42" s="1"/>
  <c r="N25" i="42" s="1"/>
  <c r="T23" i="42"/>
  <c r="P23" i="42"/>
  <c r="L23" i="42"/>
  <c r="H23" i="42"/>
  <c r="N23" i="42" s="1"/>
  <c r="D23" i="42"/>
  <c r="B23" i="42"/>
  <c r="X22" i="42"/>
  <c r="T22" i="42"/>
  <c r="Z22" i="42" s="1"/>
  <c r="P22" i="42"/>
  <c r="L22" i="42"/>
  <c r="N22" i="42" s="1"/>
  <c r="H22" i="42"/>
  <c r="D22" i="42"/>
  <c r="B22" i="42"/>
  <c r="T21" i="42"/>
  <c r="P21" i="42"/>
  <c r="N21" i="42"/>
  <c r="H21" i="42"/>
  <c r="D21" i="42"/>
  <c r="L21" i="42" s="1"/>
  <c r="B21" i="42"/>
  <c r="T20" i="42"/>
  <c r="P20" i="42"/>
  <c r="X20" i="42" s="1"/>
  <c r="H20" i="42"/>
  <c r="D20" i="42"/>
  <c r="L20" i="42" s="1"/>
  <c r="N20" i="42" s="1"/>
  <c r="B20" i="42"/>
  <c r="T19" i="42"/>
  <c r="P19" i="42"/>
  <c r="L19" i="42"/>
  <c r="H19" i="42"/>
  <c r="N19" i="42" s="1"/>
  <c r="D19" i="42"/>
  <c r="B19" i="42"/>
  <c r="X18" i="42"/>
  <c r="T18" i="42"/>
  <c r="Z18" i="42" s="1"/>
  <c r="P18" i="42"/>
  <c r="L18" i="42"/>
  <c r="N18" i="42" s="1"/>
  <c r="H18" i="42"/>
  <c r="D18" i="42"/>
  <c r="B18" i="42"/>
  <c r="T17" i="42"/>
  <c r="P17" i="42"/>
  <c r="N17" i="42"/>
  <c r="H17" i="42"/>
  <c r="D17" i="42"/>
  <c r="L17" i="42" s="1"/>
  <c r="B17" i="42"/>
  <c r="T16" i="42"/>
  <c r="P16" i="42"/>
  <c r="X16" i="42" s="1"/>
  <c r="H16" i="42"/>
  <c r="D16" i="42"/>
  <c r="L16" i="42" s="1"/>
  <c r="N16" i="42" s="1"/>
  <c r="B16" i="42"/>
  <c r="T15" i="42"/>
  <c r="P15" i="42"/>
  <c r="L15" i="42"/>
  <c r="H15" i="42"/>
  <c r="N15" i="42" s="1"/>
  <c r="D15" i="42"/>
  <c r="B15" i="42"/>
  <c r="X14" i="42"/>
  <c r="T14" i="42"/>
  <c r="Z14" i="42" s="1"/>
  <c r="P14" i="42"/>
  <c r="P12" i="42" s="1"/>
  <c r="L14" i="42"/>
  <c r="N14" i="42" s="1"/>
  <c r="H14" i="42"/>
  <c r="D14" i="42"/>
  <c r="B14" i="42"/>
  <c r="T13" i="42"/>
  <c r="P13" i="42"/>
  <c r="H13" i="42"/>
  <c r="H12" i="42" s="1"/>
  <c r="D13" i="42"/>
  <c r="L13" i="42" s="1"/>
  <c r="N13" i="42" s="1"/>
  <c r="B13" i="42"/>
  <c r="T12" i="42"/>
  <c r="V105" i="42" s="1"/>
  <c r="D12" i="42"/>
  <c r="F25" i="42" s="1"/>
  <c r="D4" i="42"/>
  <c r="Z134" i="39"/>
  <c r="X134" i="39"/>
  <c r="N134" i="39"/>
  <c r="L134" i="39"/>
  <c r="Z130" i="39"/>
  <c r="T130" i="39"/>
  <c r="X130" i="39" s="1"/>
  <c r="P130" i="39"/>
  <c r="L130" i="39"/>
  <c r="N130" i="39" s="1"/>
  <c r="H130" i="39"/>
  <c r="D130" i="39"/>
  <c r="B130" i="39"/>
  <c r="T129" i="39"/>
  <c r="P129" i="39"/>
  <c r="H129" i="39"/>
  <c r="D129" i="39"/>
  <c r="B129" i="39"/>
  <c r="T128" i="39"/>
  <c r="P128" i="39"/>
  <c r="X128" i="39" s="1"/>
  <c r="Z128" i="39" s="1"/>
  <c r="H128" i="39"/>
  <c r="D128" i="39"/>
  <c r="L128" i="39" s="1"/>
  <c r="N128" i="39" s="1"/>
  <c r="B128" i="39"/>
  <c r="H127" i="39"/>
  <c r="X125" i="39"/>
  <c r="Z125" i="39" s="1"/>
  <c r="N125" i="39"/>
  <c r="L125" i="39"/>
  <c r="B125" i="39"/>
  <c r="T124" i="39"/>
  <c r="X124" i="39" s="1"/>
  <c r="Z124" i="39" s="1"/>
  <c r="P124" i="39"/>
  <c r="L124" i="39"/>
  <c r="N124" i="39" s="1"/>
  <c r="H124" i="39"/>
  <c r="D124" i="39"/>
  <c r="B124" i="39"/>
  <c r="X123" i="39"/>
  <c r="Z123" i="39" s="1"/>
  <c r="N123" i="39"/>
  <c r="L123" i="39"/>
  <c r="B123" i="39"/>
  <c r="Z122" i="39"/>
  <c r="X122" i="39"/>
  <c r="N122" i="39"/>
  <c r="L122" i="39"/>
  <c r="B122" i="39"/>
  <c r="Z121" i="39"/>
  <c r="X121" i="39"/>
  <c r="L121" i="39"/>
  <c r="N121" i="39" s="1"/>
  <c r="B121" i="39"/>
  <c r="T120" i="39"/>
  <c r="Z120" i="39" s="1"/>
  <c r="P120" i="39"/>
  <c r="X120" i="39" s="1"/>
  <c r="H120" i="39"/>
  <c r="D120" i="39"/>
  <c r="L120" i="39" s="1"/>
  <c r="N120" i="39" s="1"/>
  <c r="B120" i="39"/>
  <c r="X119" i="39"/>
  <c r="Z119" i="39" s="1"/>
  <c r="L119" i="39"/>
  <c r="N119" i="39" s="1"/>
  <c r="F119" i="39"/>
  <c r="B119" i="39"/>
  <c r="T118" i="39"/>
  <c r="P118" i="39"/>
  <c r="X118" i="39" s="1"/>
  <c r="Z118" i="39" s="1"/>
  <c r="H118" i="39"/>
  <c r="D118" i="39"/>
  <c r="L118" i="39" s="1"/>
  <c r="N118" i="39" s="1"/>
  <c r="B118" i="39"/>
  <c r="X117" i="39"/>
  <c r="Z117" i="39" s="1"/>
  <c r="N117" i="39"/>
  <c r="L117" i="39"/>
  <c r="B117" i="39"/>
  <c r="Z116" i="39"/>
  <c r="T116" i="39"/>
  <c r="X116" i="39" s="1"/>
  <c r="P116" i="39"/>
  <c r="L116" i="39"/>
  <c r="N116" i="39" s="1"/>
  <c r="H116" i="39"/>
  <c r="D116" i="39"/>
  <c r="B116" i="39"/>
  <c r="X115" i="39"/>
  <c r="Z115" i="39" s="1"/>
  <c r="L115" i="39"/>
  <c r="N115" i="39" s="1"/>
  <c r="B115" i="39"/>
  <c r="Z114" i="39"/>
  <c r="X114" i="39"/>
  <c r="V114" i="39"/>
  <c r="N114" i="39"/>
  <c r="L114" i="39"/>
  <c r="B114" i="39"/>
  <c r="Z113" i="39"/>
  <c r="X113" i="39"/>
  <c r="L113" i="39"/>
  <c r="N113" i="39" s="1"/>
  <c r="B113" i="39"/>
  <c r="Z112" i="39"/>
  <c r="X112" i="39"/>
  <c r="N112" i="39"/>
  <c r="L112" i="39"/>
  <c r="B112" i="39"/>
  <c r="X111" i="39"/>
  <c r="Z111" i="39" s="1"/>
  <c r="L111" i="39"/>
  <c r="N111" i="39" s="1"/>
  <c r="B111" i="39"/>
  <c r="Z110" i="39"/>
  <c r="X110" i="39"/>
  <c r="N110" i="39"/>
  <c r="L110" i="39"/>
  <c r="B110" i="39"/>
  <c r="Z109" i="39"/>
  <c r="X109" i="39"/>
  <c r="L109" i="39"/>
  <c r="N109" i="39" s="1"/>
  <c r="B109" i="39"/>
  <c r="Z108" i="39"/>
  <c r="X108" i="39"/>
  <c r="N108" i="39"/>
  <c r="L108" i="39"/>
  <c r="B108" i="39"/>
  <c r="T107" i="39"/>
  <c r="P107" i="39"/>
  <c r="X107" i="39" s="1"/>
  <c r="H107" i="39"/>
  <c r="D107" i="39"/>
  <c r="L107" i="39" s="1"/>
  <c r="N107" i="39" s="1"/>
  <c r="B107" i="39"/>
  <c r="Z106" i="39"/>
  <c r="X106" i="39"/>
  <c r="L106" i="39"/>
  <c r="N106" i="39" s="1"/>
  <c r="B106" i="39"/>
  <c r="X105" i="39"/>
  <c r="Z105" i="39" s="1"/>
  <c r="L105" i="39"/>
  <c r="N105" i="39" s="1"/>
  <c r="B105" i="39"/>
  <c r="T104" i="39"/>
  <c r="P104" i="39"/>
  <c r="X104" i="39" s="1"/>
  <c r="Z104" i="39" s="1"/>
  <c r="H104" i="39"/>
  <c r="D104" i="39"/>
  <c r="L104" i="39" s="1"/>
  <c r="N104" i="39" s="1"/>
  <c r="B104" i="39"/>
  <c r="X103" i="39"/>
  <c r="Z103" i="39" s="1"/>
  <c r="L103" i="39"/>
  <c r="N103" i="39" s="1"/>
  <c r="B103" i="39"/>
  <c r="X102" i="39"/>
  <c r="Z102" i="39" s="1"/>
  <c r="N102" i="39"/>
  <c r="L102" i="39"/>
  <c r="B102" i="39"/>
  <c r="X101" i="39"/>
  <c r="Z101" i="39" s="1"/>
  <c r="N101" i="39"/>
  <c r="L101" i="39"/>
  <c r="B101" i="39"/>
  <c r="Z100" i="39"/>
  <c r="X100" i="39"/>
  <c r="N100" i="39"/>
  <c r="L100" i="39"/>
  <c r="B100" i="39"/>
  <c r="X99" i="39"/>
  <c r="Z99" i="39" s="1"/>
  <c r="L99" i="39"/>
  <c r="N99" i="39" s="1"/>
  <c r="B99" i="39"/>
  <c r="X98" i="39"/>
  <c r="Z98" i="39" s="1"/>
  <c r="T98" i="39"/>
  <c r="P98" i="39"/>
  <c r="H98" i="39"/>
  <c r="L98" i="39" s="1"/>
  <c r="N98" i="39" s="1"/>
  <c r="D98" i="39"/>
  <c r="B98" i="39"/>
  <c r="Z97" i="39"/>
  <c r="X97" i="39"/>
  <c r="L97" i="39"/>
  <c r="N97" i="39" s="1"/>
  <c r="B97" i="39"/>
  <c r="Z96" i="39"/>
  <c r="X96" i="39"/>
  <c r="N96" i="39"/>
  <c r="L96" i="39"/>
  <c r="B96" i="39"/>
  <c r="T95" i="39"/>
  <c r="Z95" i="39" s="1"/>
  <c r="P95" i="39"/>
  <c r="X95" i="39" s="1"/>
  <c r="H95" i="39"/>
  <c r="D95" i="39"/>
  <c r="L95" i="39" s="1"/>
  <c r="N95" i="39" s="1"/>
  <c r="B95" i="39"/>
  <c r="Z94" i="39"/>
  <c r="X94" i="39"/>
  <c r="L94" i="39"/>
  <c r="N94" i="39" s="1"/>
  <c r="B94" i="39"/>
  <c r="X93" i="39"/>
  <c r="Z93" i="39" s="1"/>
  <c r="L93" i="39"/>
  <c r="N93" i="39" s="1"/>
  <c r="B93" i="39"/>
  <c r="Z92" i="39"/>
  <c r="X92" i="39"/>
  <c r="N92" i="39"/>
  <c r="L92" i="39"/>
  <c r="B92" i="39"/>
  <c r="X91" i="39"/>
  <c r="Z91" i="39" s="1"/>
  <c r="N91" i="39"/>
  <c r="L91" i="39"/>
  <c r="B91" i="39"/>
  <c r="T90" i="39"/>
  <c r="P90" i="39"/>
  <c r="X90" i="39" s="1"/>
  <c r="Z90" i="39" s="1"/>
  <c r="H90" i="39"/>
  <c r="F90" i="39"/>
  <c r="D90" i="39"/>
  <c r="L90" i="39" s="1"/>
  <c r="N90" i="39" s="1"/>
  <c r="B90" i="39"/>
  <c r="X89" i="39"/>
  <c r="Z89" i="39" s="1"/>
  <c r="N89" i="39"/>
  <c r="L89" i="39"/>
  <c r="B89" i="39"/>
  <c r="T88" i="39"/>
  <c r="X88" i="39" s="1"/>
  <c r="Z88" i="39" s="1"/>
  <c r="P88" i="39"/>
  <c r="L88" i="39"/>
  <c r="N88" i="39" s="1"/>
  <c r="H88" i="39"/>
  <c r="D88" i="39"/>
  <c r="B88" i="39"/>
  <c r="Z87" i="39"/>
  <c r="X87" i="39"/>
  <c r="N87" i="39"/>
  <c r="L87" i="39"/>
  <c r="B87" i="39"/>
  <c r="Z86" i="39"/>
  <c r="V86" i="39"/>
  <c r="T86" i="39"/>
  <c r="P86" i="39"/>
  <c r="X86" i="39" s="1"/>
  <c r="H86" i="39"/>
  <c r="N86" i="39" s="1"/>
  <c r="D86" i="39"/>
  <c r="L86" i="39" s="1"/>
  <c r="B86" i="39"/>
  <c r="X85" i="39"/>
  <c r="Z85" i="39" s="1"/>
  <c r="L85" i="39"/>
  <c r="N85" i="39" s="1"/>
  <c r="B85" i="39"/>
  <c r="T84" i="39"/>
  <c r="P84" i="39"/>
  <c r="X84" i="39" s="1"/>
  <c r="Z84" i="39" s="1"/>
  <c r="H84" i="39"/>
  <c r="D84" i="39"/>
  <c r="L84" i="39" s="1"/>
  <c r="N84" i="39" s="1"/>
  <c r="B84" i="39"/>
  <c r="X83" i="39"/>
  <c r="Z83" i="39" s="1"/>
  <c r="L83" i="39"/>
  <c r="N83" i="39" s="1"/>
  <c r="B83" i="39"/>
  <c r="X82" i="39"/>
  <c r="Z82" i="39" s="1"/>
  <c r="T82" i="39"/>
  <c r="P82" i="39"/>
  <c r="N82" i="39"/>
  <c r="H82" i="39"/>
  <c r="L82" i="39" s="1"/>
  <c r="D82" i="39"/>
  <c r="B82" i="39"/>
  <c r="Z81" i="39"/>
  <c r="X81" i="39"/>
  <c r="L81" i="39"/>
  <c r="N81" i="39" s="1"/>
  <c r="B81" i="39"/>
  <c r="Z80" i="39"/>
  <c r="X80" i="39"/>
  <c r="N80" i="39"/>
  <c r="L80" i="39"/>
  <c r="B80" i="39"/>
  <c r="T79" i="39"/>
  <c r="P79" i="39"/>
  <c r="X79" i="39" s="1"/>
  <c r="H79" i="39"/>
  <c r="D79" i="39"/>
  <c r="L79" i="39" s="1"/>
  <c r="N79" i="39" s="1"/>
  <c r="B79" i="39"/>
  <c r="Z78" i="39"/>
  <c r="X78" i="39"/>
  <c r="L78" i="39"/>
  <c r="N78" i="39" s="1"/>
  <c r="B78" i="39"/>
  <c r="X77" i="39"/>
  <c r="Z77" i="39" s="1"/>
  <c r="L77" i="39"/>
  <c r="N77" i="39" s="1"/>
  <c r="B77" i="39"/>
  <c r="T76" i="39"/>
  <c r="P76" i="39"/>
  <c r="X76" i="39" s="1"/>
  <c r="Z76" i="39" s="1"/>
  <c r="H76" i="39"/>
  <c r="D76" i="39"/>
  <c r="L76" i="39" s="1"/>
  <c r="N76" i="39" s="1"/>
  <c r="B76" i="39"/>
  <c r="X75" i="39"/>
  <c r="Z75" i="39" s="1"/>
  <c r="L75" i="39"/>
  <c r="N75" i="39" s="1"/>
  <c r="B75" i="39"/>
  <c r="X74" i="39"/>
  <c r="Z74" i="39" s="1"/>
  <c r="T74" i="39"/>
  <c r="P74" i="39"/>
  <c r="N74" i="39"/>
  <c r="H74" i="39"/>
  <c r="L74" i="39" s="1"/>
  <c r="D74" i="39"/>
  <c r="B74" i="39"/>
  <c r="Z73" i="39"/>
  <c r="X73" i="39"/>
  <c r="L73" i="39"/>
  <c r="N73" i="39" s="1"/>
  <c r="B73" i="39"/>
  <c r="T72" i="39"/>
  <c r="Z72" i="39" s="1"/>
  <c r="P72" i="39"/>
  <c r="X72" i="39" s="1"/>
  <c r="H72" i="39"/>
  <c r="D72" i="39"/>
  <c r="L72" i="39" s="1"/>
  <c r="N72" i="39" s="1"/>
  <c r="B72" i="39"/>
  <c r="X71" i="39"/>
  <c r="Z71" i="39" s="1"/>
  <c r="N71" i="39"/>
  <c r="L71" i="39"/>
  <c r="B71" i="39"/>
  <c r="T70" i="39"/>
  <c r="P70" i="39"/>
  <c r="X70" i="39" s="1"/>
  <c r="Z70" i="39" s="1"/>
  <c r="N70" i="39"/>
  <c r="H70" i="39"/>
  <c r="D70" i="39"/>
  <c r="L70" i="39" s="1"/>
  <c r="B70" i="39"/>
  <c r="Z69" i="39"/>
  <c r="X69" i="39"/>
  <c r="N69" i="39"/>
  <c r="L69" i="39"/>
  <c r="B69" i="39"/>
  <c r="T68" i="39"/>
  <c r="X68" i="39" s="1"/>
  <c r="Z68" i="39" s="1"/>
  <c r="P68" i="39"/>
  <c r="L68" i="39"/>
  <c r="N68" i="39" s="1"/>
  <c r="H68" i="39"/>
  <c r="D68" i="39"/>
  <c r="B68" i="39"/>
  <c r="X67" i="39"/>
  <c r="Z67" i="39" s="1"/>
  <c r="L67" i="39"/>
  <c r="N67" i="39" s="1"/>
  <c r="B67" i="39"/>
  <c r="Z66" i="39"/>
  <c r="X66" i="39"/>
  <c r="N66" i="39"/>
  <c r="L66" i="39"/>
  <c r="B66" i="39"/>
  <c r="Z65" i="39"/>
  <c r="X65" i="39"/>
  <c r="L65" i="39"/>
  <c r="N65" i="39" s="1"/>
  <c r="B65" i="39"/>
  <c r="T64" i="39"/>
  <c r="Z64" i="39" s="1"/>
  <c r="P64" i="39"/>
  <c r="X64" i="39" s="1"/>
  <c r="H64" i="39"/>
  <c r="D64" i="39"/>
  <c r="L64" i="39" s="1"/>
  <c r="N64" i="39" s="1"/>
  <c r="B64" i="39"/>
  <c r="X63" i="39"/>
  <c r="Z63" i="39" s="1"/>
  <c r="L63" i="39"/>
  <c r="N63" i="39" s="1"/>
  <c r="B63" i="39"/>
  <c r="T62" i="39"/>
  <c r="P62" i="39"/>
  <c r="X62" i="39" s="1"/>
  <c r="Z62" i="39" s="1"/>
  <c r="H62" i="39"/>
  <c r="F62" i="39"/>
  <c r="D62" i="39"/>
  <c r="L62" i="39" s="1"/>
  <c r="N62" i="39" s="1"/>
  <c r="B62" i="39"/>
  <c r="Z61" i="39"/>
  <c r="X61" i="39"/>
  <c r="N61" i="39"/>
  <c r="L61" i="39"/>
  <c r="B61" i="39"/>
  <c r="Z60" i="39"/>
  <c r="T60" i="39"/>
  <c r="X60" i="39" s="1"/>
  <c r="P60" i="39"/>
  <c r="L60" i="39"/>
  <c r="N60" i="39" s="1"/>
  <c r="H60" i="39"/>
  <c r="D60" i="39"/>
  <c r="B60" i="39"/>
  <c r="X59" i="39"/>
  <c r="Z59" i="39" s="1"/>
  <c r="L59" i="39"/>
  <c r="N59" i="39" s="1"/>
  <c r="B59" i="39"/>
  <c r="T58" i="39"/>
  <c r="P58" i="39"/>
  <c r="X58" i="39" s="1"/>
  <c r="Z58" i="39" s="1"/>
  <c r="H58" i="39"/>
  <c r="D58" i="39"/>
  <c r="L58" i="39" s="1"/>
  <c r="B58" i="39"/>
  <c r="X57" i="39"/>
  <c r="Z57" i="39" s="1"/>
  <c r="N57" i="39"/>
  <c r="L57" i="39"/>
  <c r="B57" i="39"/>
  <c r="Z56" i="39"/>
  <c r="X56" i="39"/>
  <c r="N56" i="39"/>
  <c r="L56" i="39"/>
  <c r="B56" i="39"/>
  <c r="X55" i="39"/>
  <c r="Z55" i="39" s="1"/>
  <c r="L55" i="39"/>
  <c r="N55" i="39" s="1"/>
  <c r="F55" i="39"/>
  <c r="B55" i="39"/>
  <c r="Z54" i="39"/>
  <c r="X54" i="39"/>
  <c r="L54" i="39"/>
  <c r="N54" i="39" s="1"/>
  <c r="B54" i="39"/>
  <c r="X53" i="39"/>
  <c r="Z53" i="39" s="1"/>
  <c r="N53" i="39"/>
  <c r="L53" i="39"/>
  <c r="B53" i="39"/>
  <c r="Z52" i="39"/>
  <c r="X52" i="39"/>
  <c r="N52" i="39"/>
  <c r="L52" i="39"/>
  <c r="B52" i="39"/>
  <c r="X51" i="39"/>
  <c r="Z51" i="39" s="1"/>
  <c r="L51" i="39"/>
  <c r="N51" i="39" s="1"/>
  <c r="F51" i="39"/>
  <c r="B51" i="39"/>
  <c r="T50" i="39"/>
  <c r="P50" i="39"/>
  <c r="X50" i="39" s="1"/>
  <c r="Z50" i="39" s="1"/>
  <c r="H50" i="39"/>
  <c r="D50" i="39"/>
  <c r="L50" i="39" s="1"/>
  <c r="N50" i="39" s="1"/>
  <c r="B50" i="39"/>
  <c r="Z49" i="39"/>
  <c r="X49" i="39"/>
  <c r="N49" i="39"/>
  <c r="L49" i="39"/>
  <c r="B49" i="39"/>
  <c r="Z48" i="39"/>
  <c r="X48" i="39"/>
  <c r="N48" i="39"/>
  <c r="L48" i="39"/>
  <c r="B48" i="39"/>
  <c r="X47" i="39"/>
  <c r="Z47" i="39" s="1"/>
  <c r="L47" i="39"/>
  <c r="N47" i="39" s="1"/>
  <c r="B47" i="39"/>
  <c r="X46" i="39"/>
  <c r="Z46" i="39" s="1"/>
  <c r="N46" i="39"/>
  <c r="L46" i="39"/>
  <c r="B46" i="39"/>
  <c r="Z45" i="39"/>
  <c r="X45" i="39"/>
  <c r="N45" i="39"/>
  <c r="L45" i="39"/>
  <c r="B45" i="39"/>
  <c r="Z44" i="39"/>
  <c r="X44" i="39"/>
  <c r="N44" i="39"/>
  <c r="L44" i="39"/>
  <c r="B44" i="39"/>
  <c r="X43" i="39"/>
  <c r="Z43" i="39" s="1"/>
  <c r="L43" i="39"/>
  <c r="N43" i="39" s="1"/>
  <c r="B43" i="39"/>
  <c r="X42" i="39"/>
  <c r="Z42" i="39" s="1"/>
  <c r="N42" i="39"/>
  <c r="L42" i="39"/>
  <c r="B42" i="39"/>
  <c r="Z41" i="39"/>
  <c r="X41" i="39"/>
  <c r="N41" i="39"/>
  <c r="L41" i="39"/>
  <c r="B41" i="39"/>
  <c r="T40" i="39"/>
  <c r="X40" i="39" s="1"/>
  <c r="Z40" i="39" s="1"/>
  <c r="P40" i="39"/>
  <c r="L40" i="39"/>
  <c r="N40" i="39" s="1"/>
  <c r="H40" i="39"/>
  <c r="D40" i="39"/>
  <c r="B40" i="39"/>
  <c r="T39" i="39"/>
  <c r="P39" i="39"/>
  <c r="X39" i="39" s="1"/>
  <c r="H39" i="39"/>
  <c r="D39" i="39"/>
  <c r="L39" i="39" s="1"/>
  <c r="N39" i="39" s="1"/>
  <c r="X35" i="39"/>
  <c r="Z35" i="39" s="1"/>
  <c r="L35" i="39"/>
  <c r="N35" i="39" s="1"/>
  <c r="B35" i="39"/>
  <c r="Z34" i="39"/>
  <c r="X34" i="39"/>
  <c r="N34" i="39"/>
  <c r="L34" i="39"/>
  <c r="B34" i="39"/>
  <c r="T33" i="39"/>
  <c r="P33" i="39"/>
  <c r="X33" i="39" s="1"/>
  <c r="Z33" i="39" s="1"/>
  <c r="H33" i="39"/>
  <c r="D33" i="39"/>
  <c r="L33" i="39" s="1"/>
  <c r="T31" i="39"/>
  <c r="P31" i="39"/>
  <c r="X31" i="39" s="1"/>
  <c r="Z31" i="39" s="1"/>
  <c r="L31" i="39"/>
  <c r="H31" i="39"/>
  <c r="N31" i="39" s="1"/>
  <c r="D31" i="39"/>
  <c r="B31" i="39"/>
  <c r="T30" i="39"/>
  <c r="P30" i="39"/>
  <c r="X30" i="39" s="1"/>
  <c r="H30" i="39"/>
  <c r="D30" i="39"/>
  <c r="B30" i="39"/>
  <c r="T29" i="39"/>
  <c r="Z29" i="39" s="1"/>
  <c r="P29" i="39"/>
  <c r="X29" i="39" s="1"/>
  <c r="L29" i="39"/>
  <c r="H29" i="39"/>
  <c r="D29" i="39"/>
  <c r="B29" i="39"/>
  <c r="T28" i="39"/>
  <c r="P28" i="39"/>
  <c r="X28" i="39" s="1"/>
  <c r="H28" i="39"/>
  <c r="D28" i="39"/>
  <c r="B28" i="39"/>
  <c r="T27" i="39"/>
  <c r="P27" i="39"/>
  <c r="X27" i="39" s="1"/>
  <c r="Z27" i="39" s="1"/>
  <c r="L27" i="39"/>
  <c r="H27" i="39"/>
  <c r="D27" i="39"/>
  <c r="B27" i="39"/>
  <c r="T26" i="39"/>
  <c r="P26" i="39"/>
  <c r="X26" i="39" s="1"/>
  <c r="H26" i="39"/>
  <c r="D26" i="39"/>
  <c r="B26" i="39"/>
  <c r="T25" i="39"/>
  <c r="P25" i="39"/>
  <c r="X25" i="39" s="1"/>
  <c r="H25" i="39"/>
  <c r="D25" i="39"/>
  <c r="B25" i="39"/>
  <c r="T24" i="39"/>
  <c r="P24" i="39"/>
  <c r="X24" i="39" s="1"/>
  <c r="H24" i="39"/>
  <c r="N24" i="39" s="1"/>
  <c r="D24" i="39"/>
  <c r="B24" i="39"/>
  <c r="Z23" i="39"/>
  <c r="T23" i="39"/>
  <c r="P23" i="39"/>
  <c r="X23" i="39" s="1"/>
  <c r="L23" i="39"/>
  <c r="H23" i="39"/>
  <c r="N23" i="39" s="1"/>
  <c r="D23" i="39"/>
  <c r="B23" i="39"/>
  <c r="T22" i="39"/>
  <c r="P22" i="39"/>
  <c r="X22" i="39" s="1"/>
  <c r="H22" i="39"/>
  <c r="D22" i="39"/>
  <c r="B22" i="39"/>
  <c r="T21" i="39"/>
  <c r="Z21" i="39" s="1"/>
  <c r="P21" i="39"/>
  <c r="X21" i="39" s="1"/>
  <c r="L21" i="39"/>
  <c r="H21" i="39"/>
  <c r="D21" i="39"/>
  <c r="B21" i="39"/>
  <c r="T20" i="39"/>
  <c r="P20" i="39"/>
  <c r="H20" i="39"/>
  <c r="N20" i="39" s="1"/>
  <c r="D20" i="39"/>
  <c r="B20" i="39"/>
  <c r="Z19" i="39"/>
  <c r="T19" i="39"/>
  <c r="P19" i="39"/>
  <c r="X19" i="39" s="1"/>
  <c r="L19" i="39"/>
  <c r="H19" i="39"/>
  <c r="D19" i="39"/>
  <c r="B19" i="39"/>
  <c r="T18" i="39"/>
  <c r="P18" i="39"/>
  <c r="H18" i="39"/>
  <c r="D18" i="39"/>
  <c r="B18" i="39"/>
  <c r="T17" i="39"/>
  <c r="P17" i="39"/>
  <c r="X17" i="39" s="1"/>
  <c r="H17" i="39"/>
  <c r="D17" i="39"/>
  <c r="B17" i="39"/>
  <c r="T16" i="39"/>
  <c r="P16" i="39"/>
  <c r="H16" i="39"/>
  <c r="D16" i="39"/>
  <c r="B16" i="39"/>
  <c r="Z15" i="39"/>
  <c r="T15" i="39"/>
  <c r="P15" i="39"/>
  <c r="X15" i="39" s="1"/>
  <c r="L15" i="39"/>
  <c r="H15" i="39"/>
  <c r="N15" i="39" s="1"/>
  <c r="D15" i="39"/>
  <c r="B15" i="39"/>
  <c r="T14" i="39"/>
  <c r="P14" i="39"/>
  <c r="H14" i="39"/>
  <c r="N14" i="39" s="1"/>
  <c r="D14" i="39"/>
  <c r="B14" i="39"/>
  <c r="T13" i="39"/>
  <c r="P13" i="39"/>
  <c r="H13" i="39"/>
  <c r="D13" i="39"/>
  <c r="D12" i="39" s="1"/>
  <c r="F118" i="39" s="1"/>
  <c r="B13" i="39"/>
  <c r="T12" i="39"/>
  <c r="V34" i="39" s="1"/>
  <c r="D4" i="39"/>
  <c r="X128" i="36"/>
  <c r="Z128" i="36" s="1"/>
  <c r="L128" i="36"/>
  <c r="N128" i="36" s="1"/>
  <c r="T124" i="36"/>
  <c r="P124" i="36"/>
  <c r="X124" i="36" s="1"/>
  <c r="L124" i="36"/>
  <c r="H124" i="36"/>
  <c r="D124" i="36"/>
  <c r="B124" i="36"/>
  <c r="X123" i="36"/>
  <c r="Z123" i="36" s="1"/>
  <c r="T123" i="36"/>
  <c r="P123" i="36"/>
  <c r="H123" i="36"/>
  <c r="L123" i="36" s="1"/>
  <c r="D123" i="36"/>
  <c r="B123" i="36"/>
  <c r="T122" i="36"/>
  <c r="T121" i="36" s="1"/>
  <c r="P122" i="36"/>
  <c r="L122" i="36"/>
  <c r="H122" i="36"/>
  <c r="D122" i="36"/>
  <c r="B122" i="36"/>
  <c r="D121" i="36"/>
  <c r="Z119" i="36"/>
  <c r="X119" i="36"/>
  <c r="N119" i="36"/>
  <c r="L119" i="36"/>
  <c r="B119" i="36"/>
  <c r="T118" i="36"/>
  <c r="P118" i="36"/>
  <c r="X118" i="36" s="1"/>
  <c r="L118" i="36"/>
  <c r="H118" i="36"/>
  <c r="D118" i="36"/>
  <c r="B118" i="36"/>
  <c r="Z117" i="36"/>
  <c r="X117" i="36"/>
  <c r="N117" i="36"/>
  <c r="L117" i="36"/>
  <c r="B117" i="36"/>
  <c r="X116" i="36"/>
  <c r="Z116" i="36" s="1"/>
  <c r="N116" i="36"/>
  <c r="L116" i="36"/>
  <c r="B116" i="36"/>
  <c r="Z115" i="36"/>
  <c r="X115" i="36"/>
  <c r="N115" i="36"/>
  <c r="L115" i="36"/>
  <c r="B115" i="36"/>
  <c r="T114" i="36"/>
  <c r="P114" i="36"/>
  <c r="X114" i="36" s="1"/>
  <c r="L114" i="36"/>
  <c r="N114" i="36" s="1"/>
  <c r="H114" i="36"/>
  <c r="F114" i="36"/>
  <c r="D114" i="36"/>
  <c r="B114" i="36"/>
  <c r="Z113" i="36"/>
  <c r="X113" i="36"/>
  <c r="L113" i="36"/>
  <c r="N113" i="36" s="1"/>
  <c r="B113" i="36"/>
  <c r="T112" i="36"/>
  <c r="P112" i="36"/>
  <c r="X112" i="36" s="1"/>
  <c r="Z112" i="36" s="1"/>
  <c r="H112" i="36"/>
  <c r="D112" i="36"/>
  <c r="L112" i="36" s="1"/>
  <c r="B112" i="36"/>
  <c r="Z111" i="36"/>
  <c r="X111" i="36"/>
  <c r="N111" i="36"/>
  <c r="L111" i="36"/>
  <c r="F111" i="36"/>
  <c r="B111" i="36"/>
  <c r="X110" i="36"/>
  <c r="T110" i="36"/>
  <c r="P110" i="36"/>
  <c r="H110" i="36"/>
  <c r="D110" i="36"/>
  <c r="L110" i="36" s="1"/>
  <c r="B110" i="36"/>
  <c r="X109" i="36"/>
  <c r="Z109" i="36" s="1"/>
  <c r="N109" i="36"/>
  <c r="L109" i="36"/>
  <c r="B109" i="36"/>
  <c r="X108" i="36"/>
  <c r="Z108" i="36" s="1"/>
  <c r="L108" i="36"/>
  <c r="N108" i="36" s="1"/>
  <c r="B108" i="36"/>
  <c r="Z107" i="36"/>
  <c r="X107" i="36"/>
  <c r="N107" i="36"/>
  <c r="L107" i="36"/>
  <c r="B107" i="36"/>
  <c r="X106" i="36"/>
  <c r="Z106" i="36" s="1"/>
  <c r="L106" i="36"/>
  <c r="N106" i="36" s="1"/>
  <c r="B106" i="36"/>
  <c r="Z105" i="36"/>
  <c r="X105" i="36"/>
  <c r="N105" i="36"/>
  <c r="L105" i="36"/>
  <c r="B105" i="36"/>
  <c r="X104" i="36"/>
  <c r="Z104" i="36" s="1"/>
  <c r="L104" i="36"/>
  <c r="N104" i="36" s="1"/>
  <c r="B104" i="36"/>
  <c r="Z103" i="36"/>
  <c r="X103" i="36"/>
  <c r="N103" i="36"/>
  <c r="L103" i="36"/>
  <c r="B103" i="36"/>
  <c r="X102" i="36"/>
  <c r="Z102" i="36" s="1"/>
  <c r="L102" i="36"/>
  <c r="N102" i="36" s="1"/>
  <c r="B102" i="36"/>
  <c r="X101" i="36"/>
  <c r="Z101" i="36" s="1"/>
  <c r="T101" i="36"/>
  <c r="P101" i="36"/>
  <c r="N101" i="36"/>
  <c r="H101" i="36"/>
  <c r="D101" i="36"/>
  <c r="L101" i="36" s="1"/>
  <c r="B101" i="36"/>
  <c r="X100" i="36"/>
  <c r="Z100" i="36" s="1"/>
  <c r="L100" i="36"/>
  <c r="N100" i="36" s="1"/>
  <c r="B100" i="36"/>
  <c r="Z99" i="36"/>
  <c r="X99" i="36"/>
  <c r="N99" i="36"/>
  <c r="L99" i="36"/>
  <c r="B99" i="36"/>
  <c r="X98" i="36"/>
  <c r="T98" i="36"/>
  <c r="P98" i="36"/>
  <c r="H98" i="36"/>
  <c r="N98" i="36" s="1"/>
  <c r="D98" i="36"/>
  <c r="L98" i="36" s="1"/>
  <c r="B98" i="36"/>
  <c r="Z97" i="36"/>
  <c r="X97" i="36"/>
  <c r="L97" i="36"/>
  <c r="N97" i="36" s="1"/>
  <c r="B97" i="36"/>
  <c r="X96" i="36"/>
  <c r="Z96" i="36" s="1"/>
  <c r="N96" i="36"/>
  <c r="L96" i="36"/>
  <c r="B96" i="36"/>
  <c r="X95" i="36"/>
  <c r="Z95" i="36" s="1"/>
  <c r="N95" i="36"/>
  <c r="L95" i="36"/>
  <c r="B95" i="36"/>
  <c r="X94" i="36"/>
  <c r="Z94" i="36" s="1"/>
  <c r="L94" i="36"/>
  <c r="N94" i="36" s="1"/>
  <c r="B94" i="36"/>
  <c r="X93" i="36"/>
  <c r="Z93" i="36" s="1"/>
  <c r="L93" i="36"/>
  <c r="N93" i="36" s="1"/>
  <c r="F93" i="36"/>
  <c r="B93" i="36"/>
  <c r="X92" i="36"/>
  <c r="T92" i="36"/>
  <c r="P92" i="36"/>
  <c r="H92" i="36"/>
  <c r="D92" i="36"/>
  <c r="L92" i="36" s="1"/>
  <c r="B92" i="36"/>
  <c r="X91" i="36"/>
  <c r="Z91" i="36" s="1"/>
  <c r="L91" i="36"/>
  <c r="N91" i="36" s="1"/>
  <c r="B91" i="36"/>
  <c r="X90" i="36"/>
  <c r="Z90" i="36" s="1"/>
  <c r="L90" i="36"/>
  <c r="N90" i="36" s="1"/>
  <c r="B90" i="36"/>
  <c r="X89" i="36"/>
  <c r="T89" i="36"/>
  <c r="Z89" i="36" s="1"/>
  <c r="P89" i="36"/>
  <c r="L89" i="36"/>
  <c r="H89" i="36"/>
  <c r="N89" i="36" s="1"/>
  <c r="D89" i="36"/>
  <c r="B89" i="36"/>
  <c r="Z88" i="36"/>
  <c r="X88" i="36"/>
  <c r="L88" i="36"/>
  <c r="N88" i="36" s="1"/>
  <c r="B88" i="36"/>
  <c r="Z87" i="36"/>
  <c r="X87" i="36"/>
  <c r="N87" i="36"/>
  <c r="L87" i="36"/>
  <c r="B87" i="36"/>
  <c r="Z86" i="36"/>
  <c r="X86" i="36"/>
  <c r="N86" i="36"/>
  <c r="L86" i="36"/>
  <c r="B86" i="36"/>
  <c r="Z85" i="36"/>
  <c r="X85" i="36"/>
  <c r="N85" i="36"/>
  <c r="L85" i="36"/>
  <c r="B85" i="36"/>
  <c r="X84" i="36"/>
  <c r="Z84" i="36" s="1"/>
  <c r="T84" i="36"/>
  <c r="P84" i="36"/>
  <c r="H84" i="36"/>
  <c r="L84" i="36" s="1"/>
  <c r="N84" i="36" s="1"/>
  <c r="D84" i="36"/>
  <c r="B84" i="36"/>
  <c r="X83" i="36"/>
  <c r="Z83" i="36" s="1"/>
  <c r="L83" i="36"/>
  <c r="N83" i="36" s="1"/>
  <c r="B83" i="36"/>
  <c r="T82" i="36"/>
  <c r="P82" i="36"/>
  <c r="X82" i="36" s="1"/>
  <c r="H82" i="36"/>
  <c r="D82" i="36"/>
  <c r="L82" i="36" s="1"/>
  <c r="N82" i="36" s="1"/>
  <c r="B82" i="36"/>
  <c r="X81" i="36"/>
  <c r="Z81" i="36" s="1"/>
  <c r="L81" i="36"/>
  <c r="N81" i="36" s="1"/>
  <c r="F81" i="36"/>
  <c r="B81" i="36"/>
  <c r="X80" i="36"/>
  <c r="Z80" i="36" s="1"/>
  <c r="T80" i="36"/>
  <c r="P80" i="36"/>
  <c r="N80" i="36"/>
  <c r="L80" i="36"/>
  <c r="H80" i="36"/>
  <c r="F80" i="36"/>
  <c r="D80" i="36"/>
  <c r="B80" i="36"/>
  <c r="Z79" i="36"/>
  <c r="X79" i="36"/>
  <c r="N79" i="36"/>
  <c r="L79" i="36"/>
  <c r="B79" i="36"/>
  <c r="Z78" i="36"/>
  <c r="T78" i="36"/>
  <c r="X78" i="36" s="1"/>
  <c r="P78" i="36"/>
  <c r="N78" i="36"/>
  <c r="L78" i="36"/>
  <c r="H78" i="36"/>
  <c r="D78" i="36"/>
  <c r="B78" i="36"/>
  <c r="X77" i="36"/>
  <c r="Z77" i="36" s="1"/>
  <c r="L77" i="36"/>
  <c r="N77" i="36" s="1"/>
  <c r="B77" i="36"/>
  <c r="V76" i="36"/>
  <c r="T76" i="36"/>
  <c r="P76" i="36"/>
  <c r="X76" i="36" s="1"/>
  <c r="Z76" i="36" s="1"/>
  <c r="H76" i="36"/>
  <c r="D76" i="36"/>
  <c r="L76" i="36" s="1"/>
  <c r="B76" i="36"/>
  <c r="X75" i="36"/>
  <c r="Z75" i="36" s="1"/>
  <c r="N75" i="36"/>
  <c r="L75" i="36"/>
  <c r="B75" i="36"/>
  <c r="Z74" i="36"/>
  <c r="X74" i="36"/>
  <c r="T74" i="36"/>
  <c r="P74" i="36"/>
  <c r="L74" i="36"/>
  <c r="N74" i="36" s="1"/>
  <c r="H74" i="36"/>
  <c r="D74" i="36"/>
  <c r="B74" i="36"/>
  <c r="X73" i="36"/>
  <c r="Z73" i="36" s="1"/>
  <c r="L73" i="36"/>
  <c r="N73" i="36" s="1"/>
  <c r="B73" i="36"/>
  <c r="X72" i="36"/>
  <c r="Z72" i="36" s="1"/>
  <c r="N72" i="36"/>
  <c r="L72" i="36"/>
  <c r="B72" i="36"/>
  <c r="T71" i="36"/>
  <c r="P71" i="36"/>
  <c r="X71" i="36" s="1"/>
  <c r="Z71" i="36" s="1"/>
  <c r="H71" i="36"/>
  <c r="D71" i="36"/>
  <c r="L71" i="36" s="1"/>
  <c r="B71" i="36"/>
  <c r="Z70" i="36"/>
  <c r="X70" i="36"/>
  <c r="N70" i="36"/>
  <c r="L70" i="36"/>
  <c r="B70" i="36"/>
  <c r="X69" i="36"/>
  <c r="T69" i="36"/>
  <c r="Z69" i="36" s="1"/>
  <c r="P69" i="36"/>
  <c r="H69" i="36"/>
  <c r="D69" i="36"/>
  <c r="L69" i="36" s="1"/>
  <c r="N69" i="36" s="1"/>
  <c r="B69" i="36"/>
  <c r="X68" i="36"/>
  <c r="Z68" i="36" s="1"/>
  <c r="L68" i="36"/>
  <c r="N68" i="36" s="1"/>
  <c r="B68" i="36"/>
  <c r="X67" i="36"/>
  <c r="T67" i="36"/>
  <c r="Z67" i="36" s="1"/>
  <c r="P67" i="36"/>
  <c r="H67" i="36"/>
  <c r="N67" i="36" s="1"/>
  <c r="D67" i="36"/>
  <c r="L67" i="36" s="1"/>
  <c r="B67" i="36"/>
  <c r="Z66" i="36"/>
  <c r="X66" i="36"/>
  <c r="N66" i="36"/>
  <c r="L66" i="36"/>
  <c r="B66" i="36"/>
  <c r="T65" i="36"/>
  <c r="P65" i="36"/>
  <c r="H65" i="36"/>
  <c r="D65" i="36"/>
  <c r="L65" i="36" s="1"/>
  <c r="N65" i="36" s="1"/>
  <c r="B65" i="36"/>
  <c r="Z64" i="36"/>
  <c r="X64" i="36"/>
  <c r="L64" i="36"/>
  <c r="N64" i="36" s="1"/>
  <c r="B64" i="36"/>
  <c r="T63" i="36"/>
  <c r="P63" i="36"/>
  <c r="X63" i="36" s="1"/>
  <c r="Z63" i="36" s="1"/>
  <c r="L63" i="36"/>
  <c r="H63" i="36"/>
  <c r="N63" i="36" s="1"/>
  <c r="D63" i="36"/>
  <c r="B63" i="36"/>
  <c r="Z62" i="36"/>
  <c r="X62" i="36"/>
  <c r="N62" i="36"/>
  <c r="L62" i="36"/>
  <c r="B62" i="36"/>
  <c r="T61" i="36"/>
  <c r="Z61" i="36" s="1"/>
  <c r="P61" i="36"/>
  <c r="X61" i="36" s="1"/>
  <c r="L61" i="36"/>
  <c r="H61" i="36"/>
  <c r="N61" i="36" s="1"/>
  <c r="D61" i="36"/>
  <c r="B61" i="36"/>
  <c r="X60" i="36"/>
  <c r="Z60" i="36" s="1"/>
  <c r="N60" i="36"/>
  <c r="L60" i="36"/>
  <c r="B60" i="36"/>
  <c r="Z59" i="36"/>
  <c r="X59" i="36"/>
  <c r="L59" i="36"/>
  <c r="N59" i="36" s="1"/>
  <c r="B59" i="36"/>
  <c r="Z58" i="36"/>
  <c r="X58" i="36"/>
  <c r="N58" i="36"/>
  <c r="L58" i="36"/>
  <c r="B58" i="36"/>
  <c r="T57" i="36"/>
  <c r="P57" i="36"/>
  <c r="X57" i="36" s="1"/>
  <c r="H57" i="36"/>
  <c r="D57" i="36"/>
  <c r="L57" i="36" s="1"/>
  <c r="N57" i="36" s="1"/>
  <c r="B57" i="36"/>
  <c r="Z56" i="36"/>
  <c r="X56" i="36"/>
  <c r="V56" i="36"/>
  <c r="L56" i="36"/>
  <c r="N56" i="36" s="1"/>
  <c r="B56" i="36"/>
  <c r="T55" i="36"/>
  <c r="P55" i="36"/>
  <c r="X55" i="36" s="1"/>
  <c r="Z55" i="36" s="1"/>
  <c r="L55" i="36"/>
  <c r="H55" i="36"/>
  <c r="N55" i="36" s="1"/>
  <c r="D55" i="36"/>
  <c r="B55" i="36"/>
  <c r="Z54" i="36"/>
  <c r="X54" i="36"/>
  <c r="N54" i="36"/>
  <c r="L54" i="36"/>
  <c r="B54" i="36"/>
  <c r="T53" i="36"/>
  <c r="Z53" i="36" s="1"/>
  <c r="P53" i="36"/>
  <c r="X53" i="36" s="1"/>
  <c r="L53" i="36"/>
  <c r="H53" i="36"/>
  <c r="D53" i="36"/>
  <c r="B53" i="36"/>
  <c r="X52" i="36"/>
  <c r="Z52" i="36" s="1"/>
  <c r="N52" i="36"/>
  <c r="L52" i="36"/>
  <c r="B52" i="36"/>
  <c r="T51" i="36"/>
  <c r="P51" i="36"/>
  <c r="X51" i="36" s="1"/>
  <c r="Z51" i="36" s="1"/>
  <c r="H51" i="36"/>
  <c r="D51" i="36"/>
  <c r="L51" i="36" s="1"/>
  <c r="B51" i="36"/>
  <c r="Z50" i="36"/>
  <c r="X50" i="36"/>
  <c r="N50" i="36"/>
  <c r="L50" i="36"/>
  <c r="B50" i="36"/>
  <c r="X49" i="36"/>
  <c r="Z49" i="36" s="1"/>
  <c r="L49" i="36"/>
  <c r="N49" i="36" s="1"/>
  <c r="B49" i="36"/>
  <c r="Z48" i="36"/>
  <c r="X48" i="36"/>
  <c r="V48" i="36"/>
  <c r="L48" i="36"/>
  <c r="N48" i="36" s="1"/>
  <c r="B48" i="36"/>
  <c r="X47" i="36"/>
  <c r="Z47" i="36" s="1"/>
  <c r="L47" i="36"/>
  <c r="N47" i="36" s="1"/>
  <c r="B47" i="36"/>
  <c r="Z46" i="36"/>
  <c r="X46" i="36"/>
  <c r="N46" i="36"/>
  <c r="L46" i="36"/>
  <c r="B46" i="36"/>
  <c r="X45" i="36"/>
  <c r="Z45" i="36" s="1"/>
  <c r="L45" i="36"/>
  <c r="N45" i="36" s="1"/>
  <c r="B45" i="36"/>
  <c r="Z44" i="36"/>
  <c r="X44" i="36"/>
  <c r="L44" i="36"/>
  <c r="N44" i="36" s="1"/>
  <c r="B44" i="36"/>
  <c r="T43" i="36"/>
  <c r="P43" i="36"/>
  <c r="X43" i="36" s="1"/>
  <c r="Z43" i="36" s="1"/>
  <c r="L43" i="36"/>
  <c r="H43" i="36"/>
  <c r="N43" i="36" s="1"/>
  <c r="D43" i="36"/>
  <c r="B43" i="36"/>
  <c r="Z42" i="36"/>
  <c r="X42" i="36"/>
  <c r="N42" i="36"/>
  <c r="L42" i="36"/>
  <c r="B42" i="36"/>
  <c r="X41" i="36"/>
  <c r="Z41" i="36" s="1"/>
  <c r="L41" i="36"/>
  <c r="N41" i="36" s="1"/>
  <c r="F41" i="36"/>
  <c r="B41" i="36"/>
  <c r="X40" i="36"/>
  <c r="Z40" i="36" s="1"/>
  <c r="L40" i="36"/>
  <c r="N40" i="36" s="1"/>
  <c r="B40" i="36"/>
  <c r="X39" i="36"/>
  <c r="Z39" i="36" s="1"/>
  <c r="N39" i="36"/>
  <c r="L39" i="36"/>
  <c r="B39" i="36"/>
  <c r="Z38" i="36"/>
  <c r="X38" i="36"/>
  <c r="N38" i="36"/>
  <c r="L38" i="36"/>
  <c r="B38" i="36"/>
  <c r="X37" i="36"/>
  <c r="Z37" i="36" s="1"/>
  <c r="L37" i="36"/>
  <c r="N37" i="36" s="1"/>
  <c r="F37" i="36"/>
  <c r="B37" i="36"/>
  <c r="X36" i="36"/>
  <c r="Z36" i="36" s="1"/>
  <c r="L36" i="36"/>
  <c r="N36" i="36" s="1"/>
  <c r="B36" i="36"/>
  <c r="X35" i="36"/>
  <c r="Z35" i="36" s="1"/>
  <c r="N35" i="36"/>
  <c r="L35" i="36"/>
  <c r="B35" i="36"/>
  <c r="Z34" i="36"/>
  <c r="X34" i="36"/>
  <c r="N34" i="36"/>
  <c r="L34" i="36"/>
  <c r="B34" i="36"/>
  <c r="T33" i="36"/>
  <c r="Z33" i="36" s="1"/>
  <c r="P33" i="36"/>
  <c r="X33" i="36" s="1"/>
  <c r="L33" i="36"/>
  <c r="H33" i="36"/>
  <c r="N33" i="36" s="1"/>
  <c r="D33" i="36"/>
  <c r="B33" i="36"/>
  <c r="X32" i="36"/>
  <c r="Z32" i="36" s="1"/>
  <c r="T32" i="36"/>
  <c r="P32" i="36"/>
  <c r="H32" i="36"/>
  <c r="L32" i="36" s="1"/>
  <c r="N32" i="36" s="1"/>
  <c r="D32" i="36"/>
  <c r="X28" i="36"/>
  <c r="Z28" i="36" s="1"/>
  <c r="N28" i="36"/>
  <c r="L28" i="36"/>
  <c r="B28" i="36"/>
  <c r="Z27" i="36"/>
  <c r="X27" i="36"/>
  <c r="L27" i="36"/>
  <c r="N27" i="36" s="1"/>
  <c r="B27" i="36"/>
  <c r="Z26" i="36"/>
  <c r="T26" i="36"/>
  <c r="X26" i="36" s="1"/>
  <c r="P26" i="36"/>
  <c r="L26" i="36"/>
  <c r="N26" i="36" s="1"/>
  <c r="H26" i="36"/>
  <c r="D26" i="36"/>
  <c r="T24" i="36"/>
  <c r="P24" i="36"/>
  <c r="X24" i="36" s="1"/>
  <c r="Z24" i="36" s="1"/>
  <c r="N24" i="36"/>
  <c r="H24" i="36"/>
  <c r="D24" i="36"/>
  <c r="L24" i="36" s="1"/>
  <c r="B24" i="36"/>
  <c r="T23" i="36"/>
  <c r="P23" i="36"/>
  <c r="X23" i="36" s="1"/>
  <c r="Z23" i="36" s="1"/>
  <c r="H23" i="36"/>
  <c r="D23" i="36"/>
  <c r="B23" i="36"/>
  <c r="T22" i="36"/>
  <c r="P22" i="36"/>
  <c r="H22" i="36"/>
  <c r="D22" i="36"/>
  <c r="B22" i="36"/>
  <c r="Z21" i="36"/>
  <c r="X21" i="36"/>
  <c r="T21" i="36"/>
  <c r="P21" i="36"/>
  <c r="L21" i="36"/>
  <c r="N21" i="36" s="1"/>
  <c r="H21" i="36"/>
  <c r="D21" i="36"/>
  <c r="B21" i="36"/>
  <c r="Z20" i="36"/>
  <c r="T20" i="36"/>
  <c r="P20" i="36"/>
  <c r="X20" i="36" s="1"/>
  <c r="H20" i="36"/>
  <c r="D20" i="36"/>
  <c r="L20" i="36" s="1"/>
  <c r="N20" i="36" s="1"/>
  <c r="B20" i="36"/>
  <c r="T19" i="36"/>
  <c r="P19" i="36"/>
  <c r="X19" i="36" s="1"/>
  <c r="Z19" i="36" s="1"/>
  <c r="H19" i="36"/>
  <c r="D19" i="36"/>
  <c r="B19" i="36"/>
  <c r="T18" i="36"/>
  <c r="P18" i="36"/>
  <c r="H18" i="36"/>
  <c r="D18" i="36"/>
  <c r="B18" i="36"/>
  <c r="Z17" i="36"/>
  <c r="X17" i="36"/>
  <c r="T17" i="36"/>
  <c r="P17" i="36"/>
  <c r="N17" i="36"/>
  <c r="L17" i="36"/>
  <c r="H17" i="36"/>
  <c r="D17" i="36"/>
  <c r="B17" i="36"/>
  <c r="T16" i="36"/>
  <c r="P16" i="36"/>
  <c r="X16" i="36" s="1"/>
  <c r="Z16" i="36" s="1"/>
  <c r="H16" i="36"/>
  <c r="D16" i="36"/>
  <c r="L16" i="36" s="1"/>
  <c r="N16" i="36" s="1"/>
  <c r="B16" i="36"/>
  <c r="T15" i="36"/>
  <c r="P15" i="36"/>
  <c r="H15" i="36"/>
  <c r="D15" i="36"/>
  <c r="B15" i="36"/>
  <c r="T14" i="36"/>
  <c r="T12" i="36" s="1"/>
  <c r="P14" i="36"/>
  <c r="H14" i="36"/>
  <c r="D14" i="36"/>
  <c r="L14" i="36" s="1"/>
  <c r="B14" i="36"/>
  <c r="Z13" i="36"/>
  <c r="X13" i="36"/>
  <c r="T13" i="36"/>
  <c r="P13" i="36"/>
  <c r="L13" i="36"/>
  <c r="N13" i="36" s="1"/>
  <c r="H13" i="36"/>
  <c r="D13" i="36"/>
  <c r="B13" i="36"/>
  <c r="D12" i="36"/>
  <c r="D4" i="36"/>
  <c r="X96" i="33"/>
  <c r="Z96" i="33" s="1"/>
  <c r="N96" i="33"/>
  <c r="L96" i="33"/>
  <c r="Z92" i="33"/>
  <c r="T92" i="33"/>
  <c r="P92" i="33"/>
  <c r="X92" i="33" s="1"/>
  <c r="H92" i="33"/>
  <c r="N92" i="33" s="1"/>
  <c r="D92" i="33"/>
  <c r="L92" i="33" s="1"/>
  <c r="B92" i="33"/>
  <c r="Z91" i="33"/>
  <c r="X91" i="33"/>
  <c r="T91" i="33"/>
  <c r="P91" i="33"/>
  <c r="L91" i="33"/>
  <c r="N91" i="33" s="1"/>
  <c r="H91" i="33"/>
  <c r="D91" i="33"/>
  <c r="B91" i="33"/>
  <c r="T90" i="33"/>
  <c r="P90" i="33"/>
  <c r="X90" i="33" s="1"/>
  <c r="H90" i="33"/>
  <c r="D90" i="33"/>
  <c r="L90" i="33" s="1"/>
  <c r="N90" i="33" s="1"/>
  <c r="B90" i="33"/>
  <c r="T89" i="33"/>
  <c r="P89" i="33"/>
  <c r="P86" i="33" s="1"/>
  <c r="H89" i="33"/>
  <c r="N89" i="33" s="1"/>
  <c r="D89" i="33"/>
  <c r="L89" i="33" s="1"/>
  <c r="B89" i="33"/>
  <c r="X88" i="33"/>
  <c r="T88" i="33"/>
  <c r="Z88" i="33" s="1"/>
  <c r="P88" i="33"/>
  <c r="H88" i="33"/>
  <c r="D88" i="33"/>
  <c r="B88" i="33"/>
  <c r="T87" i="33"/>
  <c r="X87" i="33" s="1"/>
  <c r="Z87" i="33" s="1"/>
  <c r="P87" i="33"/>
  <c r="N87" i="33"/>
  <c r="L87" i="33"/>
  <c r="H87" i="33"/>
  <c r="D87" i="33"/>
  <c r="B87" i="33"/>
  <c r="D86" i="33"/>
  <c r="Z84" i="33"/>
  <c r="X84" i="33"/>
  <c r="N84" i="33"/>
  <c r="L84" i="33"/>
  <c r="B84" i="33"/>
  <c r="Z83" i="33"/>
  <c r="T83" i="33"/>
  <c r="P83" i="33"/>
  <c r="X83" i="33" s="1"/>
  <c r="H83" i="33"/>
  <c r="N83" i="33" s="1"/>
  <c r="D83" i="33"/>
  <c r="L83" i="33" s="1"/>
  <c r="B83" i="33"/>
  <c r="X82" i="33"/>
  <c r="Z82" i="33" s="1"/>
  <c r="N82" i="33"/>
  <c r="L82" i="33"/>
  <c r="B82" i="33"/>
  <c r="Z81" i="33"/>
  <c r="X81" i="33"/>
  <c r="T81" i="33"/>
  <c r="P81" i="33"/>
  <c r="L81" i="33"/>
  <c r="N81" i="33" s="1"/>
  <c r="H81" i="33"/>
  <c r="D81" i="33"/>
  <c r="B81" i="33"/>
  <c r="X80" i="33"/>
  <c r="Z80" i="33" s="1"/>
  <c r="L80" i="33"/>
  <c r="N80" i="33" s="1"/>
  <c r="B80" i="33"/>
  <c r="Z79" i="33"/>
  <c r="X79" i="33"/>
  <c r="N79" i="33"/>
  <c r="L79" i="33"/>
  <c r="B79" i="33"/>
  <c r="Z78" i="33"/>
  <c r="X78" i="33"/>
  <c r="L78" i="33"/>
  <c r="N78" i="33" s="1"/>
  <c r="B78" i="33"/>
  <c r="Z77" i="33"/>
  <c r="X77" i="33"/>
  <c r="N77" i="33"/>
  <c r="L77" i="33"/>
  <c r="B77" i="33"/>
  <c r="X76" i="33"/>
  <c r="Z76" i="33" s="1"/>
  <c r="N76" i="33"/>
  <c r="L76" i="33"/>
  <c r="B76" i="33"/>
  <c r="Z75" i="33"/>
  <c r="X75" i="33"/>
  <c r="T75" i="33"/>
  <c r="P75" i="33"/>
  <c r="H75" i="33"/>
  <c r="L75" i="33" s="1"/>
  <c r="N75" i="33" s="1"/>
  <c r="D75" i="33"/>
  <c r="B75" i="33"/>
  <c r="X74" i="33"/>
  <c r="Z74" i="33" s="1"/>
  <c r="L74" i="33"/>
  <c r="N74" i="33" s="1"/>
  <c r="B74" i="33"/>
  <c r="T73" i="33"/>
  <c r="Z73" i="33" s="1"/>
  <c r="P73" i="33"/>
  <c r="X73" i="33" s="1"/>
  <c r="H73" i="33"/>
  <c r="D73" i="33"/>
  <c r="L73" i="33" s="1"/>
  <c r="N73" i="33" s="1"/>
  <c r="B73" i="33"/>
  <c r="X72" i="33"/>
  <c r="Z72" i="33" s="1"/>
  <c r="N72" i="33"/>
  <c r="L72" i="33"/>
  <c r="B72" i="33"/>
  <c r="X71" i="33"/>
  <c r="Z71" i="33" s="1"/>
  <c r="N71" i="33"/>
  <c r="L71" i="33"/>
  <c r="B71" i="33"/>
  <c r="X70" i="33"/>
  <c r="T70" i="33"/>
  <c r="Z70" i="33" s="1"/>
  <c r="P70" i="33"/>
  <c r="H70" i="33"/>
  <c r="D70" i="33"/>
  <c r="B70" i="33"/>
  <c r="Z69" i="33"/>
  <c r="X69" i="33"/>
  <c r="N69" i="33"/>
  <c r="L69" i="33"/>
  <c r="B69" i="33"/>
  <c r="T68" i="33"/>
  <c r="P68" i="33"/>
  <c r="H68" i="33"/>
  <c r="D68" i="33"/>
  <c r="L68" i="33" s="1"/>
  <c r="N68" i="33" s="1"/>
  <c r="B68" i="33"/>
  <c r="Z67" i="33"/>
  <c r="X67" i="33"/>
  <c r="N67" i="33"/>
  <c r="L67" i="33"/>
  <c r="B67" i="33"/>
  <c r="T66" i="33"/>
  <c r="P66" i="33"/>
  <c r="X66" i="33" s="1"/>
  <c r="Z66" i="33" s="1"/>
  <c r="H66" i="33"/>
  <c r="N66" i="33" s="1"/>
  <c r="D66" i="33"/>
  <c r="L66" i="33" s="1"/>
  <c r="B66" i="33"/>
  <c r="Z65" i="33"/>
  <c r="X65" i="33"/>
  <c r="N65" i="33"/>
  <c r="L65" i="33"/>
  <c r="B65" i="33"/>
  <c r="X64" i="33"/>
  <c r="Z64" i="33" s="1"/>
  <c r="L64" i="33"/>
  <c r="N64" i="33" s="1"/>
  <c r="B64" i="33"/>
  <c r="X63" i="33"/>
  <c r="Z63" i="33" s="1"/>
  <c r="T63" i="33"/>
  <c r="P63" i="33"/>
  <c r="N63" i="33"/>
  <c r="L63" i="33"/>
  <c r="H63" i="33"/>
  <c r="D63" i="33"/>
  <c r="B63" i="33"/>
  <c r="Z62" i="33"/>
  <c r="X62" i="33"/>
  <c r="L62" i="33"/>
  <c r="N62" i="33" s="1"/>
  <c r="B62" i="33"/>
  <c r="Z61" i="33"/>
  <c r="T61" i="33"/>
  <c r="X61" i="33" s="1"/>
  <c r="P61" i="33"/>
  <c r="N61" i="33"/>
  <c r="L61" i="33"/>
  <c r="H61" i="33"/>
  <c r="D61" i="33"/>
  <c r="B61" i="33"/>
  <c r="X60" i="33"/>
  <c r="Z60" i="33" s="1"/>
  <c r="L60" i="33"/>
  <c r="N60" i="33" s="1"/>
  <c r="B60" i="33"/>
  <c r="T59" i="33"/>
  <c r="P59" i="33"/>
  <c r="X59" i="33" s="1"/>
  <c r="Z59" i="33" s="1"/>
  <c r="H59" i="33"/>
  <c r="N59" i="33" s="1"/>
  <c r="D59" i="33"/>
  <c r="L59" i="33" s="1"/>
  <c r="B59" i="33"/>
  <c r="Z58" i="33"/>
  <c r="X58" i="33"/>
  <c r="N58" i="33"/>
  <c r="L58" i="33"/>
  <c r="B58" i="33"/>
  <c r="Z57" i="33"/>
  <c r="X57" i="33"/>
  <c r="T57" i="33"/>
  <c r="P57" i="33"/>
  <c r="N57" i="33"/>
  <c r="L57" i="33"/>
  <c r="H57" i="33"/>
  <c r="D57" i="33"/>
  <c r="B57" i="33"/>
  <c r="X56" i="33"/>
  <c r="Z56" i="33" s="1"/>
  <c r="L56" i="33"/>
  <c r="N56" i="33" s="1"/>
  <c r="B56" i="33"/>
  <c r="Z55" i="33"/>
  <c r="X55" i="33"/>
  <c r="T55" i="33"/>
  <c r="P55" i="33"/>
  <c r="N55" i="33"/>
  <c r="H55" i="33"/>
  <c r="L55" i="33" s="1"/>
  <c r="D55" i="33"/>
  <c r="B55" i="33"/>
  <c r="X54" i="33"/>
  <c r="Z54" i="33" s="1"/>
  <c r="L54" i="33"/>
  <c r="N54" i="33" s="1"/>
  <c r="B54" i="33"/>
  <c r="Z53" i="33"/>
  <c r="X53" i="33"/>
  <c r="N53" i="33"/>
  <c r="L53" i="33"/>
  <c r="B53" i="33"/>
  <c r="X52" i="33"/>
  <c r="Z52" i="33" s="1"/>
  <c r="L52" i="33"/>
  <c r="N52" i="33" s="1"/>
  <c r="B52" i="33"/>
  <c r="Z51" i="33"/>
  <c r="X51" i="33"/>
  <c r="L51" i="33"/>
  <c r="N51" i="33" s="1"/>
  <c r="B51" i="33"/>
  <c r="T50" i="33"/>
  <c r="P50" i="33"/>
  <c r="X50" i="33" s="1"/>
  <c r="Z50" i="33" s="1"/>
  <c r="H50" i="33"/>
  <c r="D50" i="33"/>
  <c r="L50" i="33" s="1"/>
  <c r="B50" i="33"/>
  <c r="Z49" i="33"/>
  <c r="X49" i="33"/>
  <c r="N49" i="33"/>
  <c r="L49" i="33"/>
  <c r="B49" i="33"/>
  <c r="X48" i="33"/>
  <c r="Z48" i="33" s="1"/>
  <c r="L48" i="33"/>
  <c r="N48" i="33" s="1"/>
  <c r="B48" i="33"/>
  <c r="X47" i="33"/>
  <c r="Z47" i="33" s="1"/>
  <c r="N47" i="33"/>
  <c r="L47" i="33"/>
  <c r="B47" i="33"/>
  <c r="X46" i="33"/>
  <c r="Z46" i="33" s="1"/>
  <c r="N46" i="33"/>
  <c r="L46" i="33"/>
  <c r="B46" i="33"/>
  <c r="Z45" i="33"/>
  <c r="X45" i="33"/>
  <c r="N45" i="33"/>
  <c r="L45" i="33"/>
  <c r="B45" i="33"/>
  <c r="X44" i="33"/>
  <c r="Z44" i="33" s="1"/>
  <c r="L44" i="33"/>
  <c r="N44" i="33" s="1"/>
  <c r="B44" i="33"/>
  <c r="X43" i="33"/>
  <c r="Z43" i="33" s="1"/>
  <c r="N43" i="33"/>
  <c r="L43" i="33"/>
  <c r="B43" i="33"/>
  <c r="X42" i="33"/>
  <c r="Z42" i="33" s="1"/>
  <c r="N42" i="33"/>
  <c r="L42" i="33"/>
  <c r="B42" i="33"/>
  <c r="Z41" i="33"/>
  <c r="X41" i="33"/>
  <c r="T41" i="33"/>
  <c r="P41" i="33"/>
  <c r="L41" i="33"/>
  <c r="N41" i="33" s="1"/>
  <c r="H41" i="33"/>
  <c r="D41" i="33"/>
  <c r="B41" i="33"/>
  <c r="T40" i="33"/>
  <c r="P40" i="33"/>
  <c r="H40" i="33"/>
  <c r="D40" i="33"/>
  <c r="L40" i="33" s="1"/>
  <c r="N40" i="33" s="1"/>
  <c r="X36" i="33"/>
  <c r="Z36" i="33" s="1"/>
  <c r="N36" i="33"/>
  <c r="L36" i="33"/>
  <c r="B36" i="33"/>
  <c r="Z35" i="33"/>
  <c r="X35" i="33"/>
  <c r="N35" i="33"/>
  <c r="L35" i="33"/>
  <c r="B35" i="33"/>
  <c r="Z34" i="33"/>
  <c r="X34" i="33"/>
  <c r="L34" i="33"/>
  <c r="N34" i="33" s="1"/>
  <c r="B34" i="33"/>
  <c r="Z33" i="33"/>
  <c r="X33" i="33"/>
  <c r="N33" i="33"/>
  <c r="L33" i="33"/>
  <c r="B33" i="33"/>
  <c r="X32" i="33"/>
  <c r="Z32" i="33" s="1"/>
  <c r="L32" i="33"/>
  <c r="N32" i="33" s="1"/>
  <c r="B32" i="33"/>
  <c r="Z31" i="33"/>
  <c r="X31" i="33"/>
  <c r="T31" i="33"/>
  <c r="P31" i="33"/>
  <c r="N31" i="33"/>
  <c r="H31" i="33"/>
  <c r="L31" i="33" s="1"/>
  <c r="D31" i="33"/>
  <c r="T29" i="33"/>
  <c r="P29" i="33"/>
  <c r="H29" i="33"/>
  <c r="N29" i="33" s="1"/>
  <c r="D29" i="33"/>
  <c r="L29" i="33" s="1"/>
  <c r="B29" i="33"/>
  <c r="Z28" i="33"/>
  <c r="T28" i="33"/>
  <c r="P28" i="33"/>
  <c r="X28" i="33" s="1"/>
  <c r="N28" i="33"/>
  <c r="L28" i="33"/>
  <c r="H28" i="33"/>
  <c r="D28" i="33"/>
  <c r="B28" i="33"/>
  <c r="T27" i="33"/>
  <c r="P27" i="33"/>
  <c r="X27" i="33" s="1"/>
  <c r="Z27" i="33" s="1"/>
  <c r="H27" i="33"/>
  <c r="N27" i="33" s="1"/>
  <c r="D27" i="33"/>
  <c r="B27" i="33"/>
  <c r="T26" i="33"/>
  <c r="P26" i="33"/>
  <c r="X26" i="33" s="1"/>
  <c r="Z26" i="33" s="1"/>
  <c r="H26" i="33"/>
  <c r="D26" i="33"/>
  <c r="B26" i="33"/>
  <c r="Z25" i="33"/>
  <c r="T25" i="33"/>
  <c r="X25" i="33" s="1"/>
  <c r="P25" i="33"/>
  <c r="H25" i="33"/>
  <c r="N25" i="33" s="1"/>
  <c r="D25" i="33"/>
  <c r="L25" i="33" s="1"/>
  <c r="B25" i="33"/>
  <c r="Z24" i="33"/>
  <c r="T24" i="33"/>
  <c r="P24" i="33"/>
  <c r="X24" i="33" s="1"/>
  <c r="N24" i="33"/>
  <c r="L24" i="33"/>
  <c r="H24" i="33"/>
  <c r="D24" i="33"/>
  <c r="B24" i="33"/>
  <c r="T23" i="33"/>
  <c r="Z23" i="33" s="1"/>
  <c r="P23" i="33"/>
  <c r="X23" i="33" s="1"/>
  <c r="H23" i="33"/>
  <c r="D23" i="33"/>
  <c r="L23" i="33" s="1"/>
  <c r="B23" i="33"/>
  <c r="T22" i="33"/>
  <c r="P22" i="33"/>
  <c r="X22" i="33" s="1"/>
  <c r="Z22" i="33" s="1"/>
  <c r="L22" i="33"/>
  <c r="H22" i="33"/>
  <c r="D22" i="33"/>
  <c r="B22" i="33"/>
  <c r="T21" i="33"/>
  <c r="X21" i="33" s="1"/>
  <c r="P21" i="33"/>
  <c r="H21" i="33"/>
  <c r="D21" i="33"/>
  <c r="L21" i="33" s="1"/>
  <c r="B21" i="33"/>
  <c r="T20" i="33"/>
  <c r="P20" i="33"/>
  <c r="X20" i="33" s="1"/>
  <c r="Z20" i="33" s="1"/>
  <c r="L20" i="33"/>
  <c r="N20" i="33" s="1"/>
  <c r="H20" i="33"/>
  <c r="D20" i="33"/>
  <c r="B20" i="33"/>
  <c r="T19" i="33"/>
  <c r="P19" i="33"/>
  <c r="H19" i="33"/>
  <c r="D19" i="33"/>
  <c r="L19" i="33" s="1"/>
  <c r="B19" i="33"/>
  <c r="T18" i="33"/>
  <c r="P18" i="33"/>
  <c r="X18" i="33" s="1"/>
  <c r="Z18" i="33" s="1"/>
  <c r="H18" i="33"/>
  <c r="D18" i="33"/>
  <c r="B18" i="33"/>
  <c r="T17" i="33"/>
  <c r="X17" i="33" s="1"/>
  <c r="P17" i="33"/>
  <c r="H17" i="33"/>
  <c r="D17" i="33"/>
  <c r="L17" i="33" s="1"/>
  <c r="B17" i="33"/>
  <c r="Z16" i="33"/>
  <c r="T16" i="33"/>
  <c r="P16" i="33"/>
  <c r="X16" i="33" s="1"/>
  <c r="L16" i="33"/>
  <c r="N16" i="33" s="1"/>
  <c r="H16" i="33"/>
  <c r="D16" i="33"/>
  <c r="B16" i="33"/>
  <c r="Z15" i="33"/>
  <c r="T15" i="33"/>
  <c r="P15" i="33"/>
  <c r="X15" i="33" s="1"/>
  <c r="H15" i="33"/>
  <c r="D15" i="33"/>
  <c r="L15" i="33" s="1"/>
  <c r="B15" i="33"/>
  <c r="T14" i="33"/>
  <c r="P14" i="33"/>
  <c r="X14" i="33" s="1"/>
  <c r="Z14" i="33" s="1"/>
  <c r="L14" i="33"/>
  <c r="H14" i="33"/>
  <c r="D14" i="33"/>
  <c r="B14" i="33"/>
  <c r="T13" i="33"/>
  <c r="P13" i="33"/>
  <c r="H13" i="33"/>
  <c r="D13" i="33"/>
  <c r="L13" i="33" s="1"/>
  <c r="B13" i="33"/>
  <c r="D4" i="33"/>
  <c r="X151" i="30"/>
  <c r="Z151" i="30" s="1"/>
  <c r="L151" i="30"/>
  <c r="N151" i="30" s="1"/>
  <c r="T147" i="30"/>
  <c r="P147" i="30"/>
  <c r="H147" i="30"/>
  <c r="D147" i="30"/>
  <c r="B147" i="30"/>
  <c r="T146" i="30"/>
  <c r="L146" i="30"/>
  <c r="H146" i="30"/>
  <c r="D146" i="30"/>
  <c r="X144" i="30"/>
  <c r="Z144" i="30" s="1"/>
  <c r="N144" i="30"/>
  <c r="L144" i="30"/>
  <c r="B144" i="30"/>
  <c r="Z143" i="30"/>
  <c r="X143" i="30"/>
  <c r="T143" i="30"/>
  <c r="P143" i="30"/>
  <c r="L143" i="30"/>
  <c r="N143" i="30" s="1"/>
  <c r="H143" i="30"/>
  <c r="D143" i="30"/>
  <c r="B143" i="30"/>
  <c r="X142" i="30"/>
  <c r="Z142" i="30" s="1"/>
  <c r="L142" i="30"/>
  <c r="N142" i="30" s="1"/>
  <c r="B142" i="30"/>
  <c r="Z141" i="30"/>
  <c r="X141" i="30"/>
  <c r="N141" i="30"/>
  <c r="L141" i="30"/>
  <c r="B141" i="30"/>
  <c r="T140" i="30"/>
  <c r="Z140" i="30" s="1"/>
  <c r="P140" i="30"/>
  <c r="X140" i="30" s="1"/>
  <c r="H140" i="30"/>
  <c r="D140" i="30"/>
  <c r="L140" i="30" s="1"/>
  <c r="B140" i="30"/>
  <c r="Z139" i="30"/>
  <c r="X139" i="30"/>
  <c r="R139" i="30"/>
  <c r="N139" i="30"/>
  <c r="L139" i="30"/>
  <c r="B139" i="30"/>
  <c r="T138" i="30"/>
  <c r="P138" i="30"/>
  <c r="X138" i="30" s="1"/>
  <c r="H138" i="30"/>
  <c r="D138" i="30"/>
  <c r="L138" i="30" s="1"/>
  <c r="N138" i="30" s="1"/>
  <c r="B138" i="30"/>
  <c r="X137" i="30"/>
  <c r="Z137" i="30" s="1"/>
  <c r="L137" i="30"/>
  <c r="N137" i="30" s="1"/>
  <c r="B137" i="30"/>
  <c r="T136" i="30"/>
  <c r="P136" i="30"/>
  <c r="X136" i="30" s="1"/>
  <c r="H136" i="30"/>
  <c r="D136" i="30"/>
  <c r="L136" i="30" s="1"/>
  <c r="B136" i="30"/>
  <c r="Z135" i="30"/>
  <c r="X135" i="30"/>
  <c r="N135" i="30"/>
  <c r="L135" i="30"/>
  <c r="B135" i="30"/>
  <c r="X134" i="30"/>
  <c r="Z134" i="30" s="1"/>
  <c r="L134" i="30"/>
  <c r="N134" i="30" s="1"/>
  <c r="B134" i="30"/>
  <c r="X133" i="30"/>
  <c r="Z133" i="30" s="1"/>
  <c r="N133" i="30"/>
  <c r="L133" i="30"/>
  <c r="B133" i="30"/>
  <c r="Z132" i="30"/>
  <c r="X132" i="30"/>
  <c r="L132" i="30"/>
  <c r="N132" i="30" s="1"/>
  <c r="B132" i="30"/>
  <c r="Z131" i="30"/>
  <c r="X131" i="30"/>
  <c r="N131" i="30"/>
  <c r="L131" i="30"/>
  <c r="B131" i="30"/>
  <c r="X130" i="30"/>
  <c r="Z130" i="30" s="1"/>
  <c r="N130" i="30"/>
  <c r="L130" i="30"/>
  <c r="B130" i="30"/>
  <c r="X129" i="30"/>
  <c r="Z129" i="30" s="1"/>
  <c r="T129" i="30"/>
  <c r="P129" i="30"/>
  <c r="N129" i="30"/>
  <c r="H129" i="30"/>
  <c r="L129" i="30" s="1"/>
  <c r="D129" i="30"/>
  <c r="B129" i="30"/>
  <c r="X128" i="30"/>
  <c r="Z128" i="30" s="1"/>
  <c r="L128" i="30"/>
  <c r="N128" i="30" s="1"/>
  <c r="B128" i="30"/>
  <c r="Z127" i="30"/>
  <c r="X127" i="30"/>
  <c r="R127" i="30"/>
  <c r="N127" i="30"/>
  <c r="L127" i="30"/>
  <c r="B127" i="30"/>
  <c r="T126" i="30"/>
  <c r="P126" i="30"/>
  <c r="X126" i="30" s="1"/>
  <c r="H126" i="30"/>
  <c r="D126" i="30"/>
  <c r="B126" i="30"/>
  <c r="X125" i="30"/>
  <c r="Z125" i="30" s="1"/>
  <c r="L125" i="30"/>
  <c r="N125" i="30" s="1"/>
  <c r="B125" i="30"/>
  <c r="X124" i="30"/>
  <c r="Z124" i="30" s="1"/>
  <c r="R124" i="30"/>
  <c r="L124" i="30"/>
  <c r="N124" i="30" s="1"/>
  <c r="B124" i="30"/>
  <c r="X123" i="30"/>
  <c r="Z123" i="30" s="1"/>
  <c r="N123" i="30"/>
  <c r="L123" i="30"/>
  <c r="B123" i="30"/>
  <c r="T122" i="30"/>
  <c r="P122" i="30"/>
  <c r="H122" i="30"/>
  <c r="D122" i="30"/>
  <c r="B122" i="30"/>
  <c r="X121" i="30"/>
  <c r="Z121" i="30" s="1"/>
  <c r="N121" i="30"/>
  <c r="L121" i="30"/>
  <c r="B121" i="30"/>
  <c r="X120" i="30"/>
  <c r="Z120" i="30" s="1"/>
  <c r="N120" i="30"/>
  <c r="L120" i="30"/>
  <c r="B120" i="30"/>
  <c r="Z119" i="30"/>
  <c r="T119" i="30"/>
  <c r="X119" i="30" s="1"/>
  <c r="P119" i="30"/>
  <c r="N119" i="30"/>
  <c r="L119" i="30"/>
  <c r="H119" i="30"/>
  <c r="D119" i="30"/>
  <c r="B119" i="30"/>
  <c r="X118" i="30"/>
  <c r="Z118" i="30" s="1"/>
  <c r="L118" i="30"/>
  <c r="N118" i="30" s="1"/>
  <c r="B118" i="30"/>
  <c r="Z117" i="30"/>
  <c r="X117" i="30"/>
  <c r="N117" i="30"/>
  <c r="L117" i="30"/>
  <c r="B117" i="30"/>
  <c r="X116" i="30"/>
  <c r="Z116" i="30" s="1"/>
  <c r="N116" i="30"/>
  <c r="L116" i="30"/>
  <c r="B116" i="30"/>
  <c r="T115" i="30"/>
  <c r="P115" i="30"/>
  <c r="H115" i="30"/>
  <c r="D115" i="30"/>
  <c r="L115" i="30" s="1"/>
  <c r="N115" i="30" s="1"/>
  <c r="B115" i="30"/>
  <c r="X114" i="30"/>
  <c r="Z114" i="30" s="1"/>
  <c r="L114" i="30"/>
  <c r="N114" i="30" s="1"/>
  <c r="B114" i="30"/>
  <c r="T113" i="30"/>
  <c r="P113" i="30"/>
  <c r="X113" i="30" s="1"/>
  <c r="Z113" i="30" s="1"/>
  <c r="L113" i="30"/>
  <c r="N113" i="30" s="1"/>
  <c r="H113" i="30"/>
  <c r="D113" i="30"/>
  <c r="B113" i="30"/>
  <c r="Z112" i="30"/>
  <c r="X112" i="30"/>
  <c r="N112" i="30"/>
  <c r="L112" i="30"/>
  <c r="B112" i="30"/>
  <c r="T111" i="30"/>
  <c r="X111" i="30" s="1"/>
  <c r="Z111" i="30" s="1"/>
  <c r="P111" i="30"/>
  <c r="N111" i="30"/>
  <c r="H111" i="30"/>
  <c r="L111" i="30" s="1"/>
  <c r="D111" i="30"/>
  <c r="B111" i="30"/>
  <c r="X110" i="30"/>
  <c r="Z110" i="30" s="1"/>
  <c r="L110" i="30"/>
  <c r="N110" i="30" s="1"/>
  <c r="B110" i="30"/>
  <c r="T109" i="30"/>
  <c r="P109" i="30"/>
  <c r="H109" i="30"/>
  <c r="D109" i="30"/>
  <c r="B109" i="30"/>
  <c r="X108" i="30"/>
  <c r="Z108" i="30" s="1"/>
  <c r="L108" i="30"/>
  <c r="N108" i="30" s="1"/>
  <c r="B108" i="30"/>
  <c r="T107" i="30"/>
  <c r="P107" i="30"/>
  <c r="X107" i="30" s="1"/>
  <c r="Z107" i="30" s="1"/>
  <c r="L107" i="30"/>
  <c r="N107" i="30" s="1"/>
  <c r="H107" i="30"/>
  <c r="D107" i="30"/>
  <c r="B107" i="30"/>
  <c r="Z106" i="30"/>
  <c r="X106" i="30"/>
  <c r="N106" i="30"/>
  <c r="L106" i="30"/>
  <c r="B106" i="30"/>
  <c r="T105" i="30"/>
  <c r="X105" i="30" s="1"/>
  <c r="Z105" i="30" s="1"/>
  <c r="P105" i="30"/>
  <c r="N105" i="30"/>
  <c r="H105" i="30"/>
  <c r="L105" i="30" s="1"/>
  <c r="D105" i="30"/>
  <c r="B105" i="30"/>
  <c r="Z104" i="30"/>
  <c r="X104" i="30"/>
  <c r="N104" i="30"/>
  <c r="L104" i="30"/>
  <c r="B104" i="30"/>
  <c r="Z103" i="30"/>
  <c r="X103" i="30"/>
  <c r="N103" i="30"/>
  <c r="L103" i="30"/>
  <c r="B103" i="30"/>
  <c r="T102" i="30"/>
  <c r="P102" i="30"/>
  <c r="X102" i="30" s="1"/>
  <c r="Z102" i="30" s="1"/>
  <c r="N102" i="30"/>
  <c r="L102" i="30"/>
  <c r="H102" i="30"/>
  <c r="D102" i="30"/>
  <c r="B102" i="30"/>
  <c r="X101" i="30"/>
  <c r="Z101" i="30" s="1"/>
  <c r="N101" i="30"/>
  <c r="L101" i="30"/>
  <c r="B101" i="30"/>
  <c r="T100" i="30"/>
  <c r="P100" i="30"/>
  <c r="X100" i="30" s="1"/>
  <c r="H100" i="30"/>
  <c r="D100" i="30"/>
  <c r="B100" i="30"/>
  <c r="Z99" i="30"/>
  <c r="X99" i="30"/>
  <c r="N99" i="30"/>
  <c r="L99" i="30"/>
  <c r="B99" i="30"/>
  <c r="T98" i="30"/>
  <c r="P98" i="30"/>
  <c r="N98" i="30"/>
  <c r="H98" i="30"/>
  <c r="D98" i="30"/>
  <c r="L98" i="30" s="1"/>
  <c r="B98" i="30"/>
  <c r="Z97" i="30"/>
  <c r="X97" i="30"/>
  <c r="N97" i="30"/>
  <c r="L97" i="30"/>
  <c r="B97" i="30"/>
  <c r="X96" i="30"/>
  <c r="Z96" i="30" s="1"/>
  <c r="L96" i="30"/>
  <c r="N96" i="30" s="1"/>
  <c r="B96" i="30"/>
  <c r="T95" i="30"/>
  <c r="R95" i="30"/>
  <c r="P95" i="30"/>
  <c r="X95" i="30" s="1"/>
  <c r="Z95" i="30" s="1"/>
  <c r="H95" i="30"/>
  <c r="D95" i="30"/>
  <c r="L95" i="30" s="1"/>
  <c r="N95" i="30" s="1"/>
  <c r="B95" i="30"/>
  <c r="X94" i="30"/>
  <c r="Z94" i="30" s="1"/>
  <c r="R94" i="30"/>
  <c r="L94" i="30"/>
  <c r="N94" i="30" s="1"/>
  <c r="B94" i="30"/>
  <c r="X93" i="30"/>
  <c r="Z93" i="30" s="1"/>
  <c r="T93" i="30"/>
  <c r="P93" i="30"/>
  <c r="H93" i="30"/>
  <c r="L93" i="30" s="1"/>
  <c r="N93" i="30" s="1"/>
  <c r="D93" i="30"/>
  <c r="B93" i="30"/>
  <c r="X92" i="30"/>
  <c r="Z92" i="30" s="1"/>
  <c r="L92" i="30"/>
  <c r="N92" i="30" s="1"/>
  <c r="B92" i="30"/>
  <c r="T91" i="30"/>
  <c r="P91" i="30"/>
  <c r="X91" i="30" s="1"/>
  <c r="Z91" i="30" s="1"/>
  <c r="H91" i="30"/>
  <c r="D91" i="30"/>
  <c r="L91" i="30" s="1"/>
  <c r="N91" i="30" s="1"/>
  <c r="B91" i="30"/>
  <c r="X90" i="30"/>
  <c r="Z90" i="30" s="1"/>
  <c r="L90" i="30"/>
  <c r="N90" i="30" s="1"/>
  <c r="B90" i="30"/>
  <c r="T89" i="30"/>
  <c r="P89" i="30"/>
  <c r="X89" i="30" s="1"/>
  <c r="Z89" i="30" s="1"/>
  <c r="H89" i="30"/>
  <c r="D89" i="30"/>
  <c r="L89" i="30" s="1"/>
  <c r="N89" i="30" s="1"/>
  <c r="B89" i="30"/>
  <c r="X88" i="30"/>
  <c r="Z88" i="30" s="1"/>
  <c r="N88" i="30"/>
  <c r="L88" i="30"/>
  <c r="B88" i="30"/>
  <c r="Z87" i="30"/>
  <c r="X87" i="30"/>
  <c r="N87" i="30"/>
  <c r="L87" i="30"/>
  <c r="B87" i="30"/>
  <c r="X86" i="30"/>
  <c r="Z86" i="30" s="1"/>
  <c r="R86" i="30"/>
  <c r="L86" i="30"/>
  <c r="N86" i="30" s="1"/>
  <c r="B86" i="30"/>
  <c r="X85" i="30"/>
  <c r="Z85" i="30" s="1"/>
  <c r="N85" i="30"/>
  <c r="L85" i="30"/>
  <c r="B85" i="30"/>
  <c r="Z84" i="30"/>
  <c r="X84" i="30"/>
  <c r="N84" i="30"/>
  <c r="L84" i="30"/>
  <c r="B84" i="30"/>
  <c r="Z83" i="30"/>
  <c r="X83" i="30"/>
  <c r="N83" i="30"/>
  <c r="L83" i="30"/>
  <c r="B83" i="30"/>
  <c r="T82" i="30"/>
  <c r="P82" i="30"/>
  <c r="H82" i="30"/>
  <c r="D82" i="30"/>
  <c r="L82" i="30" s="1"/>
  <c r="N82" i="30" s="1"/>
  <c r="B82" i="30"/>
  <c r="Z81" i="30"/>
  <c r="X81" i="30"/>
  <c r="L81" i="30"/>
  <c r="N81" i="30" s="1"/>
  <c r="B81" i="30"/>
  <c r="X80" i="30"/>
  <c r="Z80" i="30" s="1"/>
  <c r="L80" i="30"/>
  <c r="N80" i="30" s="1"/>
  <c r="B80" i="30"/>
  <c r="Z79" i="30"/>
  <c r="X79" i="30"/>
  <c r="N79" i="30"/>
  <c r="L79" i="30"/>
  <c r="B79" i="30"/>
  <c r="X78" i="30"/>
  <c r="Z78" i="30" s="1"/>
  <c r="L78" i="30"/>
  <c r="N78" i="30" s="1"/>
  <c r="B78" i="30"/>
  <c r="Z77" i="30"/>
  <c r="X77" i="30"/>
  <c r="L77" i="30"/>
  <c r="N77" i="30" s="1"/>
  <c r="B77" i="30"/>
  <c r="X76" i="30"/>
  <c r="Z76" i="30" s="1"/>
  <c r="L76" i="30"/>
  <c r="N76" i="30" s="1"/>
  <c r="B76" i="30"/>
  <c r="Z75" i="30"/>
  <c r="X75" i="30"/>
  <c r="N75" i="30"/>
  <c r="L75" i="30"/>
  <c r="B75" i="30"/>
  <c r="X74" i="30"/>
  <c r="Z74" i="30" s="1"/>
  <c r="L74" i="30"/>
  <c r="N74" i="30" s="1"/>
  <c r="B74" i="30"/>
  <c r="T73" i="30"/>
  <c r="P73" i="30"/>
  <c r="X73" i="30" s="1"/>
  <c r="Z73" i="30" s="1"/>
  <c r="H73" i="30"/>
  <c r="D73" i="30"/>
  <c r="L73" i="30" s="1"/>
  <c r="N73" i="30" s="1"/>
  <c r="B73" i="30"/>
  <c r="X72" i="30"/>
  <c r="T72" i="30"/>
  <c r="P72" i="30"/>
  <c r="H72" i="30"/>
  <c r="N72" i="30" s="1"/>
  <c r="D72" i="30"/>
  <c r="L72" i="30" s="1"/>
  <c r="X68" i="30"/>
  <c r="Z68" i="30" s="1"/>
  <c r="L68" i="30"/>
  <c r="N68" i="30" s="1"/>
  <c r="B68" i="30"/>
  <c r="Z67" i="30"/>
  <c r="X67" i="30"/>
  <c r="N67" i="30"/>
  <c r="L67" i="30"/>
  <c r="B67" i="30"/>
  <c r="X66" i="30"/>
  <c r="Z66" i="30" s="1"/>
  <c r="L66" i="30"/>
  <c r="N66" i="30" s="1"/>
  <c r="B66" i="30"/>
  <c r="Z65" i="30"/>
  <c r="X65" i="30"/>
  <c r="L65" i="30"/>
  <c r="N65" i="30" s="1"/>
  <c r="B65" i="30"/>
  <c r="X64" i="30"/>
  <c r="Z64" i="30" s="1"/>
  <c r="L64" i="30"/>
  <c r="N64" i="30" s="1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L61" i="30"/>
  <c r="N61" i="30" s="1"/>
  <c r="B61" i="30"/>
  <c r="X60" i="30"/>
  <c r="Z60" i="30" s="1"/>
  <c r="L60" i="30"/>
  <c r="N60" i="30" s="1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B57" i="30"/>
  <c r="X56" i="30"/>
  <c r="Z56" i="30" s="1"/>
  <c r="L56" i="30"/>
  <c r="N56" i="30" s="1"/>
  <c r="B56" i="30"/>
  <c r="Z55" i="30"/>
  <c r="X55" i="30"/>
  <c r="N55" i="30"/>
  <c r="L55" i="30"/>
  <c r="B55" i="30"/>
  <c r="X54" i="30"/>
  <c r="Z54" i="30" s="1"/>
  <c r="L54" i="30"/>
  <c r="N54" i="30" s="1"/>
  <c r="B54" i="30"/>
  <c r="Z53" i="30"/>
  <c r="X53" i="30"/>
  <c r="L53" i="30"/>
  <c r="N53" i="30" s="1"/>
  <c r="B53" i="30"/>
  <c r="X52" i="30"/>
  <c r="Z52" i="30" s="1"/>
  <c r="L52" i="30"/>
  <c r="N52" i="30" s="1"/>
  <c r="B52" i="30"/>
  <c r="Z51" i="30"/>
  <c r="X51" i="30"/>
  <c r="N51" i="30"/>
  <c r="L51" i="30"/>
  <c r="B51" i="30"/>
  <c r="X50" i="30"/>
  <c r="Z50" i="30" s="1"/>
  <c r="N50" i="30"/>
  <c r="L50" i="30"/>
  <c r="B50" i="30"/>
  <c r="Z49" i="30"/>
  <c r="X49" i="30"/>
  <c r="L49" i="30"/>
  <c r="N49" i="30" s="1"/>
  <c r="B49" i="30"/>
  <c r="X48" i="30"/>
  <c r="Z48" i="30" s="1"/>
  <c r="L48" i="30"/>
  <c r="N48" i="30" s="1"/>
  <c r="B48" i="30"/>
  <c r="Z47" i="30"/>
  <c r="X47" i="30"/>
  <c r="N47" i="30"/>
  <c r="L47" i="30"/>
  <c r="B47" i="30"/>
  <c r="X46" i="30"/>
  <c r="Z46" i="30" s="1"/>
  <c r="L46" i="30"/>
  <c r="N46" i="30" s="1"/>
  <c r="B46" i="30"/>
  <c r="T45" i="30"/>
  <c r="P45" i="30"/>
  <c r="X45" i="30" s="1"/>
  <c r="Z45" i="30" s="1"/>
  <c r="H45" i="30"/>
  <c r="D45" i="30"/>
  <c r="L45" i="30" s="1"/>
  <c r="N45" i="30" s="1"/>
  <c r="T43" i="30"/>
  <c r="P43" i="30"/>
  <c r="H43" i="30"/>
  <c r="D43" i="30"/>
  <c r="B43" i="30"/>
  <c r="X42" i="30"/>
  <c r="T42" i="30"/>
  <c r="Z42" i="30" s="1"/>
  <c r="P42" i="30"/>
  <c r="L42" i="30"/>
  <c r="N42" i="30" s="1"/>
  <c r="H42" i="30"/>
  <c r="D42" i="30"/>
  <c r="B42" i="30"/>
  <c r="T41" i="30"/>
  <c r="X41" i="30" s="1"/>
  <c r="Z41" i="30" s="1"/>
  <c r="P41" i="30"/>
  <c r="H41" i="30"/>
  <c r="D41" i="30"/>
  <c r="L41" i="30" s="1"/>
  <c r="N41" i="30" s="1"/>
  <c r="B41" i="30"/>
  <c r="T40" i="30"/>
  <c r="Z40" i="30" s="1"/>
  <c r="P40" i="30"/>
  <c r="X40" i="30" s="1"/>
  <c r="N40" i="30"/>
  <c r="H40" i="30"/>
  <c r="D40" i="30"/>
  <c r="L40" i="30" s="1"/>
  <c r="B40" i="30"/>
  <c r="T39" i="30"/>
  <c r="P39" i="30"/>
  <c r="H39" i="30"/>
  <c r="N39" i="30" s="1"/>
  <c r="D39" i="30"/>
  <c r="B39" i="30"/>
  <c r="X38" i="30"/>
  <c r="T38" i="30"/>
  <c r="Z38" i="30" s="1"/>
  <c r="P38" i="30"/>
  <c r="L38" i="30"/>
  <c r="N38" i="30" s="1"/>
  <c r="H38" i="30"/>
  <c r="D38" i="30"/>
  <c r="B38" i="30"/>
  <c r="T37" i="30"/>
  <c r="X37" i="30" s="1"/>
  <c r="Z37" i="30" s="1"/>
  <c r="P37" i="30"/>
  <c r="N37" i="30"/>
  <c r="H37" i="30"/>
  <c r="D37" i="30"/>
  <c r="L37" i="30" s="1"/>
  <c r="B37" i="30"/>
  <c r="T36" i="30"/>
  <c r="Z36" i="30" s="1"/>
  <c r="P36" i="30"/>
  <c r="X36" i="30" s="1"/>
  <c r="H36" i="30"/>
  <c r="D36" i="30"/>
  <c r="L36" i="30" s="1"/>
  <c r="N36" i="30" s="1"/>
  <c r="B36" i="30"/>
  <c r="T35" i="30"/>
  <c r="P35" i="30"/>
  <c r="H35" i="30"/>
  <c r="D35" i="30"/>
  <c r="B35" i="30"/>
  <c r="X34" i="30"/>
  <c r="T34" i="30"/>
  <c r="P34" i="30"/>
  <c r="L34" i="30"/>
  <c r="N34" i="30" s="1"/>
  <c r="H34" i="30"/>
  <c r="D34" i="30"/>
  <c r="B34" i="30"/>
  <c r="T33" i="30"/>
  <c r="P33" i="30"/>
  <c r="N33" i="30"/>
  <c r="H33" i="30"/>
  <c r="D33" i="30"/>
  <c r="L33" i="30" s="1"/>
  <c r="B33" i="30"/>
  <c r="T32" i="30"/>
  <c r="P32" i="30"/>
  <c r="X32" i="30" s="1"/>
  <c r="N32" i="30"/>
  <c r="H32" i="30"/>
  <c r="D32" i="30"/>
  <c r="L32" i="30" s="1"/>
  <c r="B32" i="30"/>
  <c r="T31" i="30"/>
  <c r="P31" i="30"/>
  <c r="H31" i="30"/>
  <c r="D31" i="30"/>
  <c r="B31" i="30"/>
  <c r="X30" i="30"/>
  <c r="T30" i="30"/>
  <c r="P30" i="30"/>
  <c r="L30" i="30"/>
  <c r="N30" i="30" s="1"/>
  <c r="H30" i="30"/>
  <c r="D30" i="30"/>
  <c r="B30" i="30"/>
  <c r="T29" i="30"/>
  <c r="P29" i="30"/>
  <c r="H29" i="30"/>
  <c r="D29" i="30"/>
  <c r="L29" i="30" s="1"/>
  <c r="N29" i="30" s="1"/>
  <c r="B29" i="30"/>
  <c r="T28" i="30"/>
  <c r="P28" i="30"/>
  <c r="X28" i="30" s="1"/>
  <c r="H28" i="30"/>
  <c r="D28" i="30"/>
  <c r="L28" i="30" s="1"/>
  <c r="N28" i="30" s="1"/>
  <c r="B28" i="30"/>
  <c r="T27" i="30"/>
  <c r="P27" i="30"/>
  <c r="H27" i="30"/>
  <c r="D27" i="30"/>
  <c r="B27" i="30"/>
  <c r="X26" i="30"/>
  <c r="T26" i="30"/>
  <c r="Z26" i="30" s="1"/>
  <c r="P26" i="30"/>
  <c r="L26" i="30"/>
  <c r="N26" i="30" s="1"/>
  <c r="H26" i="30"/>
  <c r="D26" i="30"/>
  <c r="B26" i="30"/>
  <c r="T25" i="30"/>
  <c r="P25" i="30"/>
  <c r="H25" i="30"/>
  <c r="D25" i="30"/>
  <c r="L25" i="30" s="1"/>
  <c r="N25" i="30" s="1"/>
  <c r="B25" i="30"/>
  <c r="T24" i="30"/>
  <c r="Z24" i="30" s="1"/>
  <c r="P24" i="30"/>
  <c r="X24" i="30" s="1"/>
  <c r="N24" i="30"/>
  <c r="H24" i="30"/>
  <c r="D24" i="30"/>
  <c r="B24" i="30"/>
  <c r="T23" i="30"/>
  <c r="P23" i="30"/>
  <c r="H23" i="30"/>
  <c r="D23" i="30"/>
  <c r="B23" i="30"/>
  <c r="X22" i="30"/>
  <c r="T22" i="30"/>
  <c r="Z22" i="30" s="1"/>
  <c r="P22" i="30"/>
  <c r="L22" i="30"/>
  <c r="N22" i="30" s="1"/>
  <c r="H22" i="30"/>
  <c r="D22" i="30"/>
  <c r="B22" i="30"/>
  <c r="T21" i="30"/>
  <c r="P21" i="30"/>
  <c r="H21" i="30"/>
  <c r="D21" i="30"/>
  <c r="L21" i="30" s="1"/>
  <c r="N21" i="30" s="1"/>
  <c r="B21" i="30"/>
  <c r="T20" i="30"/>
  <c r="Z20" i="30" s="1"/>
  <c r="P20" i="30"/>
  <c r="X20" i="30" s="1"/>
  <c r="H20" i="30"/>
  <c r="D20" i="30"/>
  <c r="L20" i="30" s="1"/>
  <c r="N20" i="30" s="1"/>
  <c r="B20" i="30"/>
  <c r="T19" i="30"/>
  <c r="P19" i="30"/>
  <c r="L19" i="30"/>
  <c r="H19" i="30"/>
  <c r="N19" i="30" s="1"/>
  <c r="D19" i="30"/>
  <c r="B19" i="30"/>
  <c r="X18" i="30"/>
  <c r="T18" i="30"/>
  <c r="Z18" i="30" s="1"/>
  <c r="P18" i="30"/>
  <c r="L18" i="30"/>
  <c r="N18" i="30" s="1"/>
  <c r="H18" i="30"/>
  <c r="D18" i="30"/>
  <c r="B18" i="30"/>
  <c r="T17" i="30"/>
  <c r="P17" i="30"/>
  <c r="H17" i="30"/>
  <c r="D17" i="30"/>
  <c r="L17" i="30" s="1"/>
  <c r="N17" i="30" s="1"/>
  <c r="B17" i="30"/>
  <c r="T16" i="30"/>
  <c r="Z16" i="30" s="1"/>
  <c r="P16" i="30"/>
  <c r="X16" i="30" s="1"/>
  <c r="H16" i="30"/>
  <c r="D16" i="30"/>
  <c r="L16" i="30" s="1"/>
  <c r="N16" i="30" s="1"/>
  <c r="B16" i="30"/>
  <c r="T15" i="30"/>
  <c r="P15" i="30"/>
  <c r="L15" i="30"/>
  <c r="H15" i="30"/>
  <c r="N15" i="30" s="1"/>
  <c r="D15" i="30"/>
  <c r="B15" i="30"/>
  <c r="X14" i="30"/>
  <c r="T14" i="30"/>
  <c r="Z14" i="30" s="1"/>
  <c r="P14" i="30"/>
  <c r="N14" i="30"/>
  <c r="L14" i="30"/>
  <c r="H14" i="30"/>
  <c r="D14" i="30"/>
  <c r="B14" i="30"/>
  <c r="T13" i="30"/>
  <c r="T12" i="30" s="1"/>
  <c r="V102" i="30" s="1"/>
  <c r="P13" i="30"/>
  <c r="H13" i="30"/>
  <c r="H12" i="30" s="1"/>
  <c r="J111" i="30" s="1"/>
  <c r="D13" i="30"/>
  <c r="L13" i="30" s="1"/>
  <c r="N13" i="30" s="1"/>
  <c r="B13" i="30"/>
  <c r="P12" i="30"/>
  <c r="R144" i="30" s="1"/>
  <c r="D4" i="30"/>
  <c r="Z121" i="27"/>
  <c r="X121" i="27"/>
  <c r="N121" i="27"/>
  <c r="L121" i="27"/>
  <c r="T117" i="27"/>
  <c r="X117" i="27" s="1"/>
  <c r="Z117" i="27" s="1"/>
  <c r="P117" i="27"/>
  <c r="L117" i="27"/>
  <c r="N117" i="27" s="1"/>
  <c r="H117" i="27"/>
  <c r="D117" i="27"/>
  <c r="B117" i="27"/>
  <c r="T116" i="27"/>
  <c r="Z116" i="27" s="1"/>
  <c r="P116" i="27"/>
  <c r="H116" i="27"/>
  <c r="N116" i="27" s="1"/>
  <c r="D116" i="27"/>
  <c r="B116" i="27"/>
  <c r="T115" i="27"/>
  <c r="P115" i="27"/>
  <c r="X115" i="27" s="1"/>
  <c r="Z115" i="27" s="1"/>
  <c r="H115" i="27"/>
  <c r="F115" i="27"/>
  <c r="D115" i="27"/>
  <c r="L115" i="27" s="1"/>
  <c r="N115" i="27" s="1"/>
  <c r="B115" i="27"/>
  <c r="H114" i="27"/>
  <c r="X112" i="27"/>
  <c r="Z112" i="27" s="1"/>
  <c r="N112" i="27"/>
  <c r="L112" i="27"/>
  <c r="B112" i="27"/>
  <c r="Z111" i="27"/>
  <c r="T111" i="27"/>
  <c r="X111" i="27" s="1"/>
  <c r="P111" i="27"/>
  <c r="N111" i="27"/>
  <c r="L111" i="27"/>
  <c r="H111" i="27"/>
  <c r="D111" i="27"/>
  <c r="B111" i="27"/>
  <c r="X110" i="27"/>
  <c r="Z110" i="27" s="1"/>
  <c r="N110" i="27"/>
  <c r="L110" i="27"/>
  <c r="B110" i="27"/>
  <c r="T109" i="27"/>
  <c r="P109" i="27"/>
  <c r="X109" i="27" s="1"/>
  <c r="Z109" i="27" s="1"/>
  <c r="N109" i="27"/>
  <c r="H109" i="27"/>
  <c r="D109" i="27"/>
  <c r="L109" i="27" s="1"/>
  <c r="B109" i="27"/>
  <c r="X108" i="27"/>
  <c r="Z108" i="27" s="1"/>
  <c r="L108" i="27"/>
  <c r="N108" i="27" s="1"/>
  <c r="B108" i="27"/>
  <c r="Z107" i="27"/>
  <c r="X107" i="27"/>
  <c r="N107" i="27"/>
  <c r="L107" i="27"/>
  <c r="B107" i="27"/>
  <c r="T106" i="27"/>
  <c r="P106" i="27"/>
  <c r="X106" i="27" s="1"/>
  <c r="L106" i="27"/>
  <c r="H106" i="27"/>
  <c r="N106" i="27" s="1"/>
  <c r="D106" i="27"/>
  <c r="B106" i="27"/>
  <c r="X105" i="27"/>
  <c r="Z105" i="27" s="1"/>
  <c r="N105" i="27"/>
  <c r="L105" i="27"/>
  <c r="B105" i="27"/>
  <c r="X104" i="27"/>
  <c r="Z104" i="27" s="1"/>
  <c r="N104" i="27"/>
  <c r="L104" i="27"/>
  <c r="B104" i="27"/>
  <c r="Z103" i="27"/>
  <c r="X103" i="27"/>
  <c r="N103" i="27"/>
  <c r="L103" i="27"/>
  <c r="B103" i="27"/>
  <c r="X102" i="27"/>
  <c r="Z102" i="27" s="1"/>
  <c r="N102" i="27"/>
  <c r="L102" i="27"/>
  <c r="B102" i="27"/>
  <c r="X101" i="27"/>
  <c r="Z101" i="27" s="1"/>
  <c r="T101" i="27"/>
  <c r="P101" i="27"/>
  <c r="H101" i="27"/>
  <c r="L101" i="27" s="1"/>
  <c r="N101" i="27" s="1"/>
  <c r="D101" i="27"/>
  <c r="B101" i="27"/>
  <c r="Z100" i="27"/>
  <c r="X100" i="27"/>
  <c r="L100" i="27"/>
  <c r="N100" i="27" s="1"/>
  <c r="B100" i="27"/>
  <c r="Z99" i="27"/>
  <c r="X99" i="27"/>
  <c r="N99" i="27"/>
  <c r="L99" i="27"/>
  <c r="B99" i="27"/>
  <c r="T98" i="27"/>
  <c r="P98" i="27"/>
  <c r="H98" i="27"/>
  <c r="N98" i="27" s="1"/>
  <c r="D98" i="27"/>
  <c r="L98" i="27" s="1"/>
  <c r="B98" i="27"/>
  <c r="Z97" i="27"/>
  <c r="X97" i="27"/>
  <c r="L97" i="27"/>
  <c r="N97" i="27" s="1"/>
  <c r="B97" i="27"/>
  <c r="X96" i="27"/>
  <c r="Z96" i="27" s="1"/>
  <c r="L96" i="27"/>
  <c r="N96" i="27" s="1"/>
  <c r="B96" i="27"/>
  <c r="T95" i="27"/>
  <c r="P95" i="27"/>
  <c r="X95" i="27" s="1"/>
  <c r="Z95" i="27" s="1"/>
  <c r="H95" i="27"/>
  <c r="D95" i="27"/>
  <c r="L95" i="27" s="1"/>
  <c r="N95" i="27" s="1"/>
  <c r="B95" i="27"/>
  <c r="X94" i="27"/>
  <c r="Z94" i="27" s="1"/>
  <c r="L94" i="27"/>
  <c r="N94" i="27" s="1"/>
  <c r="B94" i="27"/>
  <c r="X93" i="27"/>
  <c r="Z93" i="27" s="1"/>
  <c r="T93" i="27"/>
  <c r="P93" i="27"/>
  <c r="H93" i="27"/>
  <c r="L93" i="27" s="1"/>
  <c r="N93" i="27" s="1"/>
  <c r="D93" i="27"/>
  <c r="B93" i="27"/>
  <c r="Z92" i="27"/>
  <c r="X92" i="27"/>
  <c r="N92" i="27"/>
  <c r="L92" i="27"/>
  <c r="B92" i="27"/>
  <c r="T91" i="27"/>
  <c r="P91" i="27"/>
  <c r="X91" i="27" s="1"/>
  <c r="Z91" i="27" s="1"/>
  <c r="N91" i="27"/>
  <c r="H91" i="27"/>
  <c r="D91" i="27"/>
  <c r="L91" i="27" s="1"/>
  <c r="B91" i="27"/>
  <c r="X90" i="27"/>
  <c r="Z90" i="27" s="1"/>
  <c r="N90" i="27"/>
  <c r="L90" i="27"/>
  <c r="F90" i="27"/>
  <c r="B90" i="27"/>
  <c r="X89" i="27"/>
  <c r="Z89" i="27" s="1"/>
  <c r="L89" i="27"/>
  <c r="N89" i="27" s="1"/>
  <c r="B89" i="27"/>
  <c r="X88" i="27"/>
  <c r="T88" i="27"/>
  <c r="Z88" i="27" s="1"/>
  <c r="P88" i="27"/>
  <c r="H88" i="27"/>
  <c r="N88" i="27" s="1"/>
  <c r="D88" i="27"/>
  <c r="L88" i="27" s="1"/>
  <c r="B88" i="27"/>
  <c r="Z87" i="27"/>
  <c r="X87" i="27"/>
  <c r="N87" i="27"/>
  <c r="L87" i="27"/>
  <c r="B87" i="27"/>
  <c r="T86" i="27"/>
  <c r="P86" i="27"/>
  <c r="L86" i="27"/>
  <c r="N86" i="27" s="1"/>
  <c r="H86" i="27"/>
  <c r="D86" i="27"/>
  <c r="B86" i="27"/>
  <c r="Z85" i="27"/>
  <c r="X85" i="27"/>
  <c r="N85" i="27"/>
  <c r="L85" i="27"/>
  <c r="B85" i="27"/>
  <c r="T84" i="27"/>
  <c r="Z84" i="27" s="1"/>
  <c r="P84" i="27"/>
  <c r="X84" i="27" s="1"/>
  <c r="H84" i="27"/>
  <c r="N84" i="27" s="1"/>
  <c r="D84" i="27"/>
  <c r="L84" i="27" s="1"/>
  <c r="B84" i="27"/>
  <c r="Z83" i="27"/>
  <c r="X83" i="27"/>
  <c r="N83" i="27"/>
  <c r="L83" i="27"/>
  <c r="B83" i="27"/>
  <c r="X82" i="27"/>
  <c r="Z82" i="27" s="1"/>
  <c r="L82" i="27"/>
  <c r="N82" i="27" s="1"/>
  <c r="F82" i="27"/>
  <c r="B82" i="27"/>
  <c r="T81" i="27"/>
  <c r="P81" i="27"/>
  <c r="X81" i="27" s="1"/>
  <c r="Z81" i="27" s="1"/>
  <c r="H81" i="27"/>
  <c r="F81" i="27"/>
  <c r="D81" i="27"/>
  <c r="L81" i="27" s="1"/>
  <c r="N81" i="27" s="1"/>
  <c r="B81" i="27"/>
  <c r="X80" i="27"/>
  <c r="Z80" i="27" s="1"/>
  <c r="N80" i="27"/>
  <c r="L80" i="27"/>
  <c r="B80" i="27"/>
  <c r="Z79" i="27"/>
  <c r="T79" i="27"/>
  <c r="X79" i="27" s="1"/>
  <c r="P79" i="27"/>
  <c r="L79" i="27"/>
  <c r="N79" i="27" s="1"/>
  <c r="H79" i="27"/>
  <c r="D79" i="27"/>
  <c r="B79" i="27"/>
  <c r="X78" i="27"/>
  <c r="Z78" i="27" s="1"/>
  <c r="L78" i="27"/>
  <c r="N78" i="27" s="1"/>
  <c r="B78" i="27"/>
  <c r="Z77" i="27"/>
  <c r="X77" i="27"/>
  <c r="N77" i="27"/>
  <c r="L77" i="27"/>
  <c r="B77" i="27"/>
  <c r="Z76" i="27"/>
  <c r="X76" i="27"/>
  <c r="L76" i="27"/>
  <c r="N76" i="27" s="1"/>
  <c r="B76" i="27"/>
  <c r="Z75" i="27"/>
  <c r="X75" i="27"/>
  <c r="N75" i="27"/>
  <c r="L75" i="27"/>
  <c r="B75" i="27"/>
  <c r="X74" i="27"/>
  <c r="Z74" i="27" s="1"/>
  <c r="L74" i="27"/>
  <c r="N74" i="27" s="1"/>
  <c r="B74" i="27"/>
  <c r="T73" i="27"/>
  <c r="P73" i="27"/>
  <c r="X73" i="27" s="1"/>
  <c r="Z73" i="27" s="1"/>
  <c r="H73" i="27"/>
  <c r="D73" i="27"/>
  <c r="L73" i="27" s="1"/>
  <c r="N73" i="27" s="1"/>
  <c r="B73" i="27"/>
  <c r="X72" i="27"/>
  <c r="Z72" i="27" s="1"/>
  <c r="L72" i="27"/>
  <c r="N72" i="27" s="1"/>
  <c r="B72" i="27"/>
  <c r="Z71" i="27"/>
  <c r="X71" i="27"/>
  <c r="N71" i="27"/>
  <c r="L71" i="27"/>
  <c r="B71" i="27"/>
  <c r="X70" i="27"/>
  <c r="Z70" i="27" s="1"/>
  <c r="L70" i="27"/>
  <c r="N70" i="27" s="1"/>
  <c r="F70" i="27"/>
  <c r="B70" i="27"/>
  <c r="X69" i="27"/>
  <c r="Z69" i="27" s="1"/>
  <c r="L69" i="27"/>
  <c r="N69" i="27" s="1"/>
  <c r="B69" i="27"/>
  <c r="X68" i="27"/>
  <c r="Z68" i="27" s="1"/>
  <c r="L68" i="27"/>
  <c r="N68" i="27" s="1"/>
  <c r="B68" i="27"/>
  <c r="Z67" i="27"/>
  <c r="X67" i="27"/>
  <c r="N67" i="27"/>
  <c r="L67" i="27"/>
  <c r="B67" i="27"/>
  <c r="X66" i="27"/>
  <c r="Z66" i="27" s="1"/>
  <c r="L66" i="27"/>
  <c r="N66" i="27" s="1"/>
  <c r="B66" i="27"/>
  <c r="X65" i="27"/>
  <c r="Z65" i="27" s="1"/>
  <c r="L65" i="27"/>
  <c r="N65" i="27" s="1"/>
  <c r="B65" i="27"/>
  <c r="X64" i="27"/>
  <c r="Z64" i="27" s="1"/>
  <c r="L64" i="27"/>
  <c r="N64" i="27" s="1"/>
  <c r="B64" i="27"/>
  <c r="T63" i="27"/>
  <c r="P63" i="27"/>
  <c r="X63" i="27" s="1"/>
  <c r="Z63" i="27" s="1"/>
  <c r="H63" i="27"/>
  <c r="D63" i="27"/>
  <c r="L63" i="27" s="1"/>
  <c r="N63" i="27" s="1"/>
  <c r="B63" i="27"/>
  <c r="T62" i="27"/>
  <c r="P62" i="27"/>
  <c r="X62" i="27" s="1"/>
  <c r="H62" i="27"/>
  <c r="D62" i="27"/>
  <c r="L62" i="27" s="1"/>
  <c r="Z58" i="27"/>
  <c r="X58" i="27"/>
  <c r="N58" i="27"/>
  <c r="L58" i="27"/>
  <c r="B58" i="27"/>
  <c r="X57" i="27"/>
  <c r="Z57" i="27" s="1"/>
  <c r="N57" i="27"/>
  <c r="L57" i="27"/>
  <c r="B57" i="27"/>
  <c r="X56" i="27"/>
  <c r="Z56" i="27" s="1"/>
  <c r="L56" i="27"/>
  <c r="N56" i="27" s="1"/>
  <c r="B56" i="27"/>
  <c r="Z55" i="27"/>
  <c r="X55" i="27"/>
  <c r="N55" i="27"/>
  <c r="L55" i="27"/>
  <c r="B55" i="27"/>
  <c r="X54" i="27"/>
  <c r="Z54" i="27" s="1"/>
  <c r="L54" i="27"/>
  <c r="N54" i="27" s="1"/>
  <c r="B54" i="27"/>
  <c r="X53" i="27"/>
  <c r="Z53" i="27" s="1"/>
  <c r="N53" i="27"/>
  <c r="L53" i="27"/>
  <c r="B53" i="27"/>
  <c r="X52" i="27"/>
  <c r="Z52" i="27" s="1"/>
  <c r="L52" i="27"/>
  <c r="N52" i="27" s="1"/>
  <c r="B52" i="27"/>
  <c r="Z51" i="27"/>
  <c r="X51" i="27"/>
  <c r="N51" i="27"/>
  <c r="L51" i="27"/>
  <c r="B51" i="27"/>
  <c r="X50" i="27"/>
  <c r="Z50" i="27" s="1"/>
  <c r="L50" i="27"/>
  <c r="N50" i="27" s="1"/>
  <c r="B50" i="27"/>
  <c r="X49" i="27"/>
  <c r="Z49" i="27" s="1"/>
  <c r="N49" i="27"/>
  <c r="L49" i="27"/>
  <c r="B49" i="27"/>
  <c r="X48" i="27"/>
  <c r="Z48" i="27" s="1"/>
  <c r="L48" i="27"/>
  <c r="N48" i="27" s="1"/>
  <c r="B48" i="27"/>
  <c r="Z47" i="27"/>
  <c r="X47" i="27"/>
  <c r="N47" i="27"/>
  <c r="L47" i="27"/>
  <c r="B47" i="27"/>
  <c r="X46" i="27"/>
  <c r="Z46" i="27" s="1"/>
  <c r="L46" i="27"/>
  <c r="N46" i="27" s="1"/>
  <c r="B46" i="27"/>
  <c r="X45" i="27"/>
  <c r="Z45" i="27" s="1"/>
  <c r="N45" i="27"/>
  <c r="L45" i="27"/>
  <c r="B45" i="27"/>
  <c r="X44" i="27"/>
  <c r="Z44" i="27" s="1"/>
  <c r="L44" i="27"/>
  <c r="N44" i="27" s="1"/>
  <c r="B44" i="27"/>
  <c r="Z43" i="27"/>
  <c r="X43" i="27"/>
  <c r="N43" i="27"/>
  <c r="L43" i="27"/>
  <c r="B43" i="27"/>
  <c r="T42" i="27"/>
  <c r="P42" i="27"/>
  <c r="H42" i="27"/>
  <c r="N42" i="27" s="1"/>
  <c r="D42" i="27"/>
  <c r="L42" i="27" s="1"/>
  <c r="T40" i="27"/>
  <c r="P40" i="27"/>
  <c r="X40" i="27" s="1"/>
  <c r="Z40" i="27" s="1"/>
  <c r="L40" i="27"/>
  <c r="H40" i="27"/>
  <c r="N40" i="27" s="1"/>
  <c r="D40" i="27"/>
  <c r="B40" i="27"/>
  <c r="T39" i="27"/>
  <c r="P39" i="27"/>
  <c r="H39" i="27"/>
  <c r="D39" i="27"/>
  <c r="B39" i="27"/>
  <c r="X38" i="27"/>
  <c r="Z38" i="27" s="1"/>
  <c r="T38" i="27"/>
  <c r="P38" i="27"/>
  <c r="N38" i="27"/>
  <c r="L38" i="27"/>
  <c r="H38" i="27"/>
  <c r="D38" i="27"/>
  <c r="B38" i="27"/>
  <c r="T37" i="27"/>
  <c r="P37" i="27"/>
  <c r="X37" i="27" s="1"/>
  <c r="Z37" i="27" s="1"/>
  <c r="H37" i="27"/>
  <c r="D37" i="27"/>
  <c r="L37" i="27" s="1"/>
  <c r="N37" i="27" s="1"/>
  <c r="B37" i="27"/>
  <c r="T36" i="27"/>
  <c r="P36" i="27"/>
  <c r="X36" i="27" s="1"/>
  <c r="Z36" i="27" s="1"/>
  <c r="L36" i="27"/>
  <c r="H36" i="27"/>
  <c r="N36" i="27" s="1"/>
  <c r="D36" i="27"/>
  <c r="B36" i="27"/>
  <c r="T35" i="27"/>
  <c r="P35" i="27"/>
  <c r="H35" i="27"/>
  <c r="D35" i="27"/>
  <c r="L35" i="27" s="1"/>
  <c r="B35" i="27"/>
  <c r="X34" i="27"/>
  <c r="Z34" i="27" s="1"/>
  <c r="T34" i="27"/>
  <c r="P34" i="27"/>
  <c r="N34" i="27"/>
  <c r="L34" i="27"/>
  <c r="H34" i="27"/>
  <c r="D34" i="27"/>
  <c r="B34" i="27"/>
  <c r="T33" i="27"/>
  <c r="P33" i="27"/>
  <c r="X33" i="27" s="1"/>
  <c r="Z33" i="27" s="1"/>
  <c r="H33" i="27"/>
  <c r="D33" i="27"/>
  <c r="L33" i="27" s="1"/>
  <c r="N33" i="27" s="1"/>
  <c r="B33" i="27"/>
  <c r="T32" i="27"/>
  <c r="P32" i="27"/>
  <c r="X32" i="27" s="1"/>
  <c r="Z32" i="27" s="1"/>
  <c r="L32" i="27"/>
  <c r="H32" i="27"/>
  <c r="N32" i="27" s="1"/>
  <c r="D32" i="27"/>
  <c r="B32" i="27"/>
  <c r="T31" i="27"/>
  <c r="P31" i="27"/>
  <c r="H31" i="27"/>
  <c r="N31" i="27" s="1"/>
  <c r="D31" i="27"/>
  <c r="B31" i="27"/>
  <c r="X30" i="27"/>
  <c r="Z30" i="27" s="1"/>
  <c r="T30" i="27"/>
  <c r="P30" i="27"/>
  <c r="L30" i="27"/>
  <c r="N30" i="27" s="1"/>
  <c r="H30" i="27"/>
  <c r="D30" i="27"/>
  <c r="B30" i="27"/>
  <c r="T29" i="27"/>
  <c r="P29" i="27"/>
  <c r="X29" i="27" s="1"/>
  <c r="Z29" i="27" s="1"/>
  <c r="H29" i="27"/>
  <c r="D29" i="27"/>
  <c r="L29" i="27" s="1"/>
  <c r="N29" i="27" s="1"/>
  <c r="B29" i="27"/>
  <c r="T28" i="27"/>
  <c r="P28" i="27"/>
  <c r="X28" i="27" s="1"/>
  <c r="Z28" i="27" s="1"/>
  <c r="L28" i="27"/>
  <c r="H28" i="27"/>
  <c r="N28" i="27" s="1"/>
  <c r="D28" i="27"/>
  <c r="B28" i="27"/>
  <c r="T27" i="27"/>
  <c r="P27" i="27"/>
  <c r="H27" i="27"/>
  <c r="N27" i="27" s="1"/>
  <c r="D27" i="27"/>
  <c r="B27" i="27"/>
  <c r="X26" i="27"/>
  <c r="Z26" i="27" s="1"/>
  <c r="T26" i="27"/>
  <c r="P26" i="27"/>
  <c r="L26" i="27"/>
  <c r="N26" i="27" s="1"/>
  <c r="H26" i="27"/>
  <c r="D26" i="27"/>
  <c r="B26" i="27"/>
  <c r="T25" i="27"/>
  <c r="P25" i="27"/>
  <c r="X25" i="27" s="1"/>
  <c r="Z25" i="27" s="1"/>
  <c r="H25" i="27"/>
  <c r="D25" i="27"/>
  <c r="L25" i="27" s="1"/>
  <c r="N25" i="27" s="1"/>
  <c r="B25" i="27"/>
  <c r="T24" i="27"/>
  <c r="P24" i="27"/>
  <c r="X24" i="27" s="1"/>
  <c r="Z24" i="27" s="1"/>
  <c r="L24" i="27"/>
  <c r="H24" i="27"/>
  <c r="N24" i="27" s="1"/>
  <c r="D24" i="27"/>
  <c r="B24" i="27"/>
  <c r="T23" i="27"/>
  <c r="P23" i="27"/>
  <c r="H23" i="27"/>
  <c r="D23" i="27"/>
  <c r="B23" i="27"/>
  <c r="X22" i="27"/>
  <c r="Z22" i="27" s="1"/>
  <c r="T22" i="27"/>
  <c r="P22" i="27"/>
  <c r="L22" i="27"/>
  <c r="N22" i="27" s="1"/>
  <c r="H22" i="27"/>
  <c r="D22" i="27"/>
  <c r="B22" i="27"/>
  <c r="T21" i="27"/>
  <c r="P21" i="27"/>
  <c r="X21" i="27" s="1"/>
  <c r="Z21" i="27" s="1"/>
  <c r="H21" i="27"/>
  <c r="D21" i="27"/>
  <c r="L21" i="27" s="1"/>
  <c r="N21" i="27" s="1"/>
  <c r="B21" i="27"/>
  <c r="T20" i="27"/>
  <c r="P20" i="27"/>
  <c r="X20" i="27" s="1"/>
  <c r="Z20" i="27" s="1"/>
  <c r="L20" i="27"/>
  <c r="H20" i="27"/>
  <c r="N20" i="27" s="1"/>
  <c r="D20" i="27"/>
  <c r="B20" i="27"/>
  <c r="T19" i="27"/>
  <c r="P19" i="27"/>
  <c r="H19" i="27"/>
  <c r="D19" i="27"/>
  <c r="B19" i="27"/>
  <c r="X18" i="27"/>
  <c r="Z18" i="27" s="1"/>
  <c r="T18" i="27"/>
  <c r="P18" i="27"/>
  <c r="L18" i="27"/>
  <c r="N18" i="27" s="1"/>
  <c r="H18" i="27"/>
  <c r="D18" i="27"/>
  <c r="B18" i="27"/>
  <c r="Z17" i="27"/>
  <c r="T17" i="27"/>
  <c r="P17" i="27"/>
  <c r="X17" i="27" s="1"/>
  <c r="N17" i="27"/>
  <c r="H17" i="27"/>
  <c r="D17" i="27"/>
  <c r="L17" i="27" s="1"/>
  <c r="B17" i="27"/>
  <c r="T16" i="27"/>
  <c r="P16" i="27"/>
  <c r="X16" i="27" s="1"/>
  <c r="Z16" i="27" s="1"/>
  <c r="L16" i="27"/>
  <c r="H16" i="27"/>
  <c r="N16" i="27" s="1"/>
  <c r="D16" i="27"/>
  <c r="B16" i="27"/>
  <c r="T15" i="27"/>
  <c r="P15" i="27"/>
  <c r="H15" i="27"/>
  <c r="D15" i="27"/>
  <c r="L15" i="27" s="1"/>
  <c r="B15" i="27"/>
  <c r="X14" i="27"/>
  <c r="Z14" i="27" s="1"/>
  <c r="T14" i="27"/>
  <c r="P14" i="27"/>
  <c r="L14" i="27"/>
  <c r="N14" i="27" s="1"/>
  <c r="H14" i="27"/>
  <c r="D14" i="27"/>
  <c r="B14" i="27"/>
  <c r="Z13" i="27"/>
  <c r="T13" i="27"/>
  <c r="T12" i="27" s="1"/>
  <c r="V85" i="27" s="1"/>
  <c r="P13" i="27"/>
  <c r="X13" i="27" s="1"/>
  <c r="H13" i="27"/>
  <c r="H12" i="27" s="1"/>
  <c r="D13" i="27"/>
  <c r="D12" i="27" s="1"/>
  <c r="F66" i="27" s="1"/>
  <c r="B13" i="27"/>
  <c r="D4" i="27"/>
  <c r="Z138" i="24"/>
  <c r="X138" i="24"/>
  <c r="N138" i="24"/>
  <c r="L138" i="24"/>
  <c r="T134" i="24"/>
  <c r="Z134" i="24" s="1"/>
  <c r="P134" i="24"/>
  <c r="X134" i="24" s="1"/>
  <c r="N134" i="24"/>
  <c r="H134" i="24"/>
  <c r="D134" i="24"/>
  <c r="L134" i="24" s="1"/>
  <c r="B134" i="24"/>
  <c r="T133" i="24"/>
  <c r="Z133" i="24" s="1"/>
  <c r="P133" i="24"/>
  <c r="L133" i="24"/>
  <c r="H133" i="24"/>
  <c r="N133" i="24" s="1"/>
  <c r="D133" i="24"/>
  <c r="Z131" i="24"/>
  <c r="X131" i="24"/>
  <c r="N131" i="24"/>
  <c r="L131" i="24"/>
  <c r="B131" i="24"/>
  <c r="Z130" i="24"/>
  <c r="T130" i="24"/>
  <c r="P130" i="24"/>
  <c r="X130" i="24" s="1"/>
  <c r="N130" i="24"/>
  <c r="H130" i="24"/>
  <c r="D130" i="24"/>
  <c r="L130" i="24" s="1"/>
  <c r="B130" i="24"/>
  <c r="Z129" i="24"/>
  <c r="X129" i="24"/>
  <c r="N129" i="24"/>
  <c r="L129" i="24"/>
  <c r="B129" i="24"/>
  <c r="Z128" i="24"/>
  <c r="T128" i="24"/>
  <c r="X128" i="24" s="1"/>
  <c r="P128" i="24"/>
  <c r="N128" i="24"/>
  <c r="L128" i="24"/>
  <c r="H128" i="24"/>
  <c r="D128" i="24"/>
  <c r="B128" i="24"/>
  <c r="X127" i="24"/>
  <c r="Z127" i="24" s="1"/>
  <c r="L127" i="24"/>
  <c r="N127" i="24" s="1"/>
  <c r="B127" i="24"/>
  <c r="T126" i="24"/>
  <c r="P126" i="24"/>
  <c r="X126" i="24" s="1"/>
  <c r="Z126" i="24" s="1"/>
  <c r="H126" i="24"/>
  <c r="D126" i="24"/>
  <c r="L126" i="24" s="1"/>
  <c r="B126" i="24"/>
  <c r="X125" i="24"/>
  <c r="Z125" i="24" s="1"/>
  <c r="N125" i="24"/>
  <c r="L125" i="24"/>
  <c r="B125" i="24"/>
  <c r="Z124" i="24"/>
  <c r="X124" i="24"/>
  <c r="N124" i="24"/>
  <c r="L124" i="24"/>
  <c r="B124" i="24"/>
  <c r="X123" i="24"/>
  <c r="Z123" i="24" s="1"/>
  <c r="L123" i="24"/>
  <c r="N123" i="24" s="1"/>
  <c r="B123" i="24"/>
  <c r="T122" i="24"/>
  <c r="P122" i="24"/>
  <c r="X122" i="24" s="1"/>
  <c r="Z122" i="24" s="1"/>
  <c r="H122" i="24"/>
  <c r="D122" i="24"/>
  <c r="L122" i="24" s="1"/>
  <c r="N122" i="24" s="1"/>
  <c r="B122" i="24"/>
  <c r="X121" i="24"/>
  <c r="Z121" i="24" s="1"/>
  <c r="N121" i="24"/>
  <c r="L121" i="24"/>
  <c r="B121" i="24"/>
  <c r="T120" i="24"/>
  <c r="X120" i="24" s="1"/>
  <c r="Z120" i="24" s="1"/>
  <c r="P120" i="24"/>
  <c r="N120" i="24"/>
  <c r="L120" i="24"/>
  <c r="H120" i="24"/>
  <c r="D120" i="24"/>
  <c r="B120" i="24"/>
  <c r="X119" i="24"/>
  <c r="Z119" i="24" s="1"/>
  <c r="L119" i="24"/>
  <c r="N119" i="24" s="1"/>
  <c r="B119" i="24"/>
  <c r="Z118" i="24"/>
  <c r="X118" i="24"/>
  <c r="N118" i="24"/>
  <c r="L118" i="24"/>
  <c r="B118" i="24"/>
  <c r="T117" i="24"/>
  <c r="P117" i="24"/>
  <c r="X117" i="24" s="1"/>
  <c r="Z117" i="24" s="1"/>
  <c r="L117" i="24"/>
  <c r="H117" i="24"/>
  <c r="N117" i="24" s="1"/>
  <c r="D117" i="24"/>
  <c r="B117" i="24"/>
  <c r="Z116" i="24"/>
  <c r="X116" i="24"/>
  <c r="N116" i="24"/>
  <c r="L116" i="24"/>
  <c r="B116" i="24"/>
  <c r="X115" i="24"/>
  <c r="Z115" i="24" s="1"/>
  <c r="N115" i="24"/>
  <c r="L115" i="24"/>
  <c r="B115" i="24"/>
  <c r="T114" i="24"/>
  <c r="P114" i="24"/>
  <c r="X114" i="24" s="1"/>
  <c r="Z114" i="24" s="1"/>
  <c r="H114" i="24"/>
  <c r="D114" i="24"/>
  <c r="L114" i="24" s="1"/>
  <c r="N114" i="24" s="1"/>
  <c r="B114" i="24"/>
  <c r="X113" i="24"/>
  <c r="Z113" i="24" s="1"/>
  <c r="N113" i="24"/>
  <c r="L113" i="24"/>
  <c r="B113" i="24"/>
  <c r="Z112" i="24"/>
  <c r="T112" i="24"/>
  <c r="X112" i="24" s="1"/>
  <c r="P112" i="24"/>
  <c r="N112" i="24"/>
  <c r="L112" i="24"/>
  <c r="H112" i="24"/>
  <c r="D112" i="24"/>
  <c r="B112" i="24"/>
  <c r="X111" i="24"/>
  <c r="Z111" i="24" s="1"/>
  <c r="N111" i="24"/>
  <c r="L111" i="24"/>
  <c r="B111" i="24"/>
  <c r="T110" i="24"/>
  <c r="P110" i="24"/>
  <c r="X110" i="24" s="1"/>
  <c r="Z110" i="24" s="1"/>
  <c r="H110" i="24"/>
  <c r="N110" i="24" s="1"/>
  <c r="D110" i="24"/>
  <c r="L110" i="24" s="1"/>
  <c r="B110" i="24"/>
  <c r="X109" i="24"/>
  <c r="Z109" i="24" s="1"/>
  <c r="L109" i="24"/>
  <c r="N109" i="24" s="1"/>
  <c r="B109" i="24"/>
  <c r="T108" i="24"/>
  <c r="P108" i="24"/>
  <c r="X108" i="24" s="1"/>
  <c r="Z108" i="24" s="1"/>
  <c r="H108" i="24"/>
  <c r="D108" i="24"/>
  <c r="L108" i="24" s="1"/>
  <c r="N108" i="24" s="1"/>
  <c r="B108" i="24"/>
  <c r="X107" i="24"/>
  <c r="Z107" i="24" s="1"/>
  <c r="N107" i="24"/>
  <c r="L107" i="24"/>
  <c r="B107" i="24"/>
  <c r="X106" i="24"/>
  <c r="Z106" i="24" s="1"/>
  <c r="T106" i="24"/>
  <c r="P106" i="24"/>
  <c r="N106" i="24"/>
  <c r="H106" i="24"/>
  <c r="L106" i="24" s="1"/>
  <c r="D106" i="24"/>
  <c r="B106" i="24"/>
  <c r="X105" i="24"/>
  <c r="Z105" i="24" s="1"/>
  <c r="N105" i="24"/>
  <c r="L105" i="24"/>
  <c r="B105" i="24"/>
  <c r="T104" i="24"/>
  <c r="P104" i="24"/>
  <c r="X104" i="24" s="1"/>
  <c r="N104" i="24"/>
  <c r="H104" i="24"/>
  <c r="D104" i="24"/>
  <c r="L104" i="24" s="1"/>
  <c r="B104" i="24"/>
  <c r="X103" i="24"/>
  <c r="Z103" i="24" s="1"/>
  <c r="L103" i="24"/>
  <c r="N103" i="24" s="1"/>
  <c r="B103" i="24"/>
  <c r="T102" i="24"/>
  <c r="P102" i="24"/>
  <c r="X102" i="24" s="1"/>
  <c r="Z102" i="24" s="1"/>
  <c r="H102" i="24"/>
  <c r="D102" i="24"/>
  <c r="L102" i="24" s="1"/>
  <c r="N102" i="24" s="1"/>
  <c r="B102" i="24"/>
  <c r="X101" i="24"/>
  <c r="Z101" i="24" s="1"/>
  <c r="L101" i="24"/>
  <c r="N101" i="24" s="1"/>
  <c r="B101" i="24"/>
  <c r="Z100" i="24"/>
  <c r="X100" i="24"/>
  <c r="N100" i="24"/>
  <c r="L100" i="24"/>
  <c r="B100" i="24"/>
  <c r="T99" i="24"/>
  <c r="P99" i="24"/>
  <c r="H99" i="24"/>
  <c r="N99" i="24" s="1"/>
  <c r="D99" i="24"/>
  <c r="L99" i="24" s="1"/>
  <c r="B99" i="24"/>
  <c r="Z98" i="24"/>
  <c r="X98" i="24"/>
  <c r="N98" i="24"/>
  <c r="L98" i="24"/>
  <c r="B98" i="24"/>
  <c r="T97" i="24"/>
  <c r="P97" i="24"/>
  <c r="X97" i="24" s="1"/>
  <c r="Z97" i="24" s="1"/>
  <c r="H97" i="24"/>
  <c r="D97" i="24"/>
  <c r="L97" i="24" s="1"/>
  <c r="B97" i="24"/>
  <c r="Z96" i="24"/>
  <c r="X96" i="24"/>
  <c r="N96" i="24"/>
  <c r="L96" i="24"/>
  <c r="B96" i="24"/>
  <c r="T95" i="24"/>
  <c r="P95" i="24"/>
  <c r="L95" i="24"/>
  <c r="H95" i="24"/>
  <c r="N95" i="24" s="1"/>
  <c r="D95" i="24"/>
  <c r="B95" i="24"/>
  <c r="Z94" i="24"/>
  <c r="X94" i="24"/>
  <c r="N94" i="24"/>
  <c r="L94" i="24"/>
  <c r="B94" i="24"/>
  <c r="X93" i="24"/>
  <c r="Z93" i="24" s="1"/>
  <c r="L93" i="24"/>
  <c r="N93" i="24" s="1"/>
  <c r="B93" i="24"/>
  <c r="Z92" i="24"/>
  <c r="X92" i="24"/>
  <c r="N92" i="24"/>
  <c r="L92" i="24"/>
  <c r="B92" i="24"/>
  <c r="Z91" i="24"/>
  <c r="X91" i="24"/>
  <c r="N91" i="24"/>
  <c r="L91" i="24"/>
  <c r="B91" i="24"/>
  <c r="Z90" i="24"/>
  <c r="X90" i="24"/>
  <c r="N90" i="24"/>
  <c r="L90" i="24"/>
  <c r="B90" i="24"/>
  <c r="T89" i="24"/>
  <c r="P89" i="24"/>
  <c r="X89" i="24" s="1"/>
  <c r="H89" i="24"/>
  <c r="D89" i="24"/>
  <c r="L89" i="24" s="1"/>
  <c r="B89" i="24"/>
  <c r="Z88" i="24"/>
  <c r="X88" i="24"/>
  <c r="N88" i="24"/>
  <c r="L88" i="24"/>
  <c r="B88" i="24"/>
  <c r="X87" i="24"/>
  <c r="Z87" i="24" s="1"/>
  <c r="L87" i="24"/>
  <c r="N87" i="24" s="1"/>
  <c r="B87" i="24"/>
  <c r="Z86" i="24"/>
  <c r="X86" i="24"/>
  <c r="N86" i="24"/>
  <c r="L86" i="24"/>
  <c r="B86" i="24"/>
  <c r="X85" i="24"/>
  <c r="Z85" i="24" s="1"/>
  <c r="L85" i="24"/>
  <c r="N85" i="24" s="1"/>
  <c r="B85" i="24"/>
  <c r="Z84" i="24"/>
  <c r="X84" i="24"/>
  <c r="N84" i="24"/>
  <c r="L84" i="24"/>
  <c r="B84" i="24"/>
  <c r="X83" i="24"/>
  <c r="Z83" i="24" s="1"/>
  <c r="L83" i="24"/>
  <c r="N83" i="24" s="1"/>
  <c r="B83" i="24"/>
  <c r="Z82" i="24"/>
  <c r="X82" i="24"/>
  <c r="N82" i="24"/>
  <c r="L82" i="24"/>
  <c r="B82" i="24"/>
  <c r="X81" i="24"/>
  <c r="Z81" i="24" s="1"/>
  <c r="L81" i="24"/>
  <c r="N81" i="24" s="1"/>
  <c r="B81" i="24"/>
  <c r="T80" i="24"/>
  <c r="Z80" i="24" s="1"/>
  <c r="P80" i="24"/>
  <c r="X80" i="24" s="1"/>
  <c r="H80" i="24"/>
  <c r="D80" i="24"/>
  <c r="L80" i="24" s="1"/>
  <c r="N80" i="24" s="1"/>
  <c r="B80" i="24"/>
  <c r="T79" i="24"/>
  <c r="P79" i="24"/>
  <c r="L79" i="24"/>
  <c r="H79" i="24"/>
  <c r="D79" i="24"/>
  <c r="X75" i="24"/>
  <c r="Z75" i="24" s="1"/>
  <c r="L75" i="24"/>
  <c r="N75" i="24" s="1"/>
  <c r="B75" i="24"/>
  <c r="Z74" i="24"/>
  <c r="X74" i="24"/>
  <c r="N74" i="24"/>
  <c r="L74" i="24"/>
  <c r="B74" i="24"/>
  <c r="X73" i="24"/>
  <c r="Z73" i="24" s="1"/>
  <c r="L73" i="24"/>
  <c r="N73" i="24" s="1"/>
  <c r="B73" i="24"/>
  <c r="Z72" i="24"/>
  <c r="X72" i="24"/>
  <c r="N72" i="24"/>
  <c r="L72" i="24"/>
  <c r="B72" i="24"/>
  <c r="Z71" i="24"/>
  <c r="X71" i="24"/>
  <c r="N71" i="24"/>
  <c r="L71" i="24"/>
  <c r="B71" i="24"/>
  <c r="Z70" i="24"/>
  <c r="X70" i="24"/>
  <c r="N70" i="24"/>
  <c r="L70" i="24"/>
  <c r="B70" i="24"/>
  <c r="X69" i="24"/>
  <c r="Z69" i="24" s="1"/>
  <c r="L69" i="24"/>
  <c r="N69" i="24" s="1"/>
  <c r="B69" i="24"/>
  <c r="Z68" i="24"/>
  <c r="X68" i="24"/>
  <c r="N68" i="24"/>
  <c r="L68" i="24"/>
  <c r="B68" i="24"/>
  <c r="X67" i="24"/>
  <c r="Z67" i="24" s="1"/>
  <c r="L67" i="24"/>
  <c r="N67" i="24" s="1"/>
  <c r="B67" i="24"/>
  <c r="Z66" i="24"/>
  <c r="X66" i="24"/>
  <c r="N66" i="24"/>
  <c r="L66" i="24"/>
  <c r="B66" i="24"/>
  <c r="X65" i="24"/>
  <c r="Z65" i="24" s="1"/>
  <c r="L65" i="24"/>
  <c r="N65" i="24" s="1"/>
  <c r="B65" i="24"/>
  <c r="Z64" i="24"/>
  <c r="X64" i="24"/>
  <c r="N64" i="24"/>
  <c r="L64" i="24"/>
  <c r="B64" i="24"/>
  <c r="X63" i="24"/>
  <c r="Z63" i="24" s="1"/>
  <c r="L63" i="24"/>
  <c r="N63" i="24" s="1"/>
  <c r="B63" i="24"/>
  <c r="Z62" i="24"/>
  <c r="X62" i="24"/>
  <c r="N62" i="24"/>
  <c r="L62" i="24"/>
  <c r="B62" i="24"/>
  <c r="X61" i="24"/>
  <c r="Z61" i="24" s="1"/>
  <c r="L61" i="24"/>
  <c r="N61" i="24" s="1"/>
  <c r="B61" i="24"/>
  <c r="Z60" i="24"/>
  <c r="X60" i="24"/>
  <c r="N60" i="24"/>
  <c r="L60" i="24"/>
  <c r="B60" i="24"/>
  <c r="X59" i="24"/>
  <c r="Z59" i="24" s="1"/>
  <c r="L59" i="24"/>
  <c r="N59" i="24" s="1"/>
  <c r="B59" i="24"/>
  <c r="Z58" i="24"/>
  <c r="X58" i="24"/>
  <c r="N58" i="24"/>
  <c r="L58" i="24"/>
  <c r="B58" i="24"/>
  <c r="X57" i="24"/>
  <c r="Z57" i="24" s="1"/>
  <c r="L57" i="24"/>
  <c r="N57" i="24" s="1"/>
  <c r="B57" i="24"/>
  <c r="Z56" i="24"/>
  <c r="X56" i="24"/>
  <c r="N56" i="24"/>
  <c r="L56" i="24"/>
  <c r="B56" i="24"/>
  <c r="X55" i="24"/>
  <c r="Z55" i="24" s="1"/>
  <c r="L55" i="24"/>
  <c r="N55" i="24" s="1"/>
  <c r="B55" i="24"/>
  <c r="Z54" i="24"/>
  <c r="X54" i="24"/>
  <c r="N54" i="24"/>
  <c r="L54" i="24"/>
  <c r="B54" i="24"/>
  <c r="Z53" i="24"/>
  <c r="X53" i="24"/>
  <c r="N53" i="24"/>
  <c r="L53" i="24"/>
  <c r="B53" i="24"/>
  <c r="Z52" i="24"/>
  <c r="T52" i="24"/>
  <c r="P52" i="24"/>
  <c r="X52" i="24" s="1"/>
  <c r="H52" i="24"/>
  <c r="D52" i="24"/>
  <c r="L52" i="24" s="1"/>
  <c r="N52" i="24" s="1"/>
  <c r="Z50" i="24"/>
  <c r="T50" i="24"/>
  <c r="X50" i="24" s="1"/>
  <c r="P50" i="24"/>
  <c r="N50" i="24"/>
  <c r="H50" i="24"/>
  <c r="D50" i="24"/>
  <c r="L50" i="24" s="1"/>
  <c r="B50" i="24"/>
  <c r="T49" i="24"/>
  <c r="P49" i="24"/>
  <c r="X49" i="24" s="1"/>
  <c r="H49" i="24"/>
  <c r="D49" i="24"/>
  <c r="L49" i="24" s="1"/>
  <c r="N49" i="24" s="1"/>
  <c r="B49" i="24"/>
  <c r="T48" i="24"/>
  <c r="X48" i="24" s="1"/>
  <c r="Z48" i="24" s="1"/>
  <c r="P48" i="24"/>
  <c r="H48" i="24"/>
  <c r="D48" i="24"/>
  <c r="B48" i="24"/>
  <c r="X47" i="24"/>
  <c r="T47" i="24"/>
  <c r="Z47" i="24" s="1"/>
  <c r="P47" i="24"/>
  <c r="N47" i="24"/>
  <c r="H47" i="24"/>
  <c r="D47" i="24"/>
  <c r="L47" i="24" s="1"/>
  <c r="B47" i="24"/>
  <c r="Z46" i="24"/>
  <c r="T46" i="24"/>
  <c r="X46" i="24" s="1"/>
  <c r="P46" i="24"/>
  <c r="H46" i="24"/>
  <c r="D46" i="24"/>
  <c r="L46" i="24" s="1"/>
  <c r="N46" i="24" s="1"/>
  <c r="B46" i="24"/>
  <c r="T45" i="24"/>
  <c r="P45" i="24"/>
  <c r="X45" i="24" s="1"/>
  <c r="H45" i="24"/>
  <c r="D45" i="24"/>
  <c r="L45" i="24" s="1"/>
  <c r="N45" i="24" s="1"/>
  <c r="B45" i="24"/>
  <c r="T44" i="24"/>
  <c r="X44" i="24" s="1"/>
  <c r="Z44" i="24" s="1"/>
  <c r="P44" i="24"/>
  <c r="H44" i="24"/>
  <c r="D44" i="24"/>
  <c r="B44" i="24"/>
  <c r="X43" i="24"/>
  <c r="T43" i="24"/>
  <c r="Z43" i="24" s="1"/>
  <c r="P43" i="24"/>
  <c r="H43" i="24"/>
  <c r="D43" i="24"/>
  <c r="L43" i="24" s="1"/>
  <c r="N43" i="24" s="1"/>
  <c r="B43" i="24"/>
  <c r="T42" i="24"/>
  <c r="X42" i="24" s="1"/>
  <c r="Z42" i="24" s="1"/>
  <c r="P42" i="24"/>
  <c r="N42" i="24"/>
  <c r="H42" i="24"/>
  <c r="D42" i="24"/>
  <c r="L42" i="24" s="1"/>
  <c r="B42" i="24"/>
  <c r="X41" i="24"/>
  <c r="T41" i="24"/>
  <c r="P41" i="24"/>
  <c r="H41" i="24"/>
  <c r="D41" i="24"/>
  <c r="L41" i="24" s="1"/>
  <c r="N41" i="24" s="1"/>
  <c r="B41" i="24"/>
  <c r="T40" i="24"/>
  <c r="X40" i="24" s="1"/>
  <c r="Z40" i="24" s="1"/>
  <c r="P40" i="24"/>
  <c r="N40" i="24"/>
  <c r="H40" i="24"/>
  <c r="L40" i="24" s="1"/>
  <c r="D40" i="24"/>
  <c r="B40" i="24"/>
  <c r="X39" i="24"/>
  <c r="T39" i="24"/>
  <c r="P39" i="24"/>
  <c r="H39" i="24"/>
  <c r="D39" i="24"/>
  <c r="L39" i="24" s="1"/>
  <c r="N39" i="24" s="1"/>
  <c r="B39" i="24"/>
  <c r="Z38" i="24"/>
  <c r="T38" i="24"/>
  <c r="X38" i="24" s="1"/>
  <c r="P38" i="24"/>
  <c r="N38" i="24"/>
  <c r="H38" i="24"/>
  <c r="D38" i="24"/>
  <c r="L38" i="24" s="1"/>
  <c r="B38" i="24"/>
  <c r="T37" i="24"/>
  <c r="P37" i="24"/>
  <c r="X37" i="24" s="1"/>
  <c r="H37" i="24"/>
  <c r="D37" i="24"/>
  <c r="L37" i="24" s="1"/>
  <c r="N37" i="24" s="1"/>
  <c r="B37" i="24"/>
  <c r="T36" i="24"/>
  <c r="X36" i="24" s="1"/>
  <c r="Z36" i="24" s="1"/>
  <c r="P36" i="24"/>
  <c r="L36" i="24"/>
  <c r="H36" i="24"/>
  <c r="N36" i="24" s="1"/>
  <c r="D36" i="24"/>
  <c r="B36" i="24"/>
  <c r="X35" i="24"/>
  <c r="T35" i="24"/>
  <c r="P35" i="24"/>
  <c r="H35" i="24"/>
  <c r="D35" i="24"/>
  <c r="L35" i="24" s="1"/>
  <c r="N35" i="24" s="1"/>
  <c r="B35" i="24"/>
  <c r="Z34" i="24"/>
  <c r="T34" i="24"/>
  <c r="X34" i="24" s="1"/>
  <c r="P34" i="24"/>
  <c r="N34" i="24"/>
  <c r="H34" i="24"/>
  <c r="D34" i="24"/>
  <c r="L34" i="24" s="1"/>
  <c r="B34" i="24"/>
  <c r="T33" i="24"/>
  <c r="P33" i="24"/>
  <c r="H33" i="24"/>
  <c r="D33" i="24"/>
  <c r="L33" i="24" s="1"/>
  <c r="N33" i="24" s="1"/>
  <c r="B33" i="24"/>
  <c r="T32" i="24"/>
  <c r="X32" i="24" s="1"/>
  <c r="Z32" i="24" s="1"/>
  <c r="P32" i="24"/>
  <c r="L32" i="24"/>
  <c r="N32" i="24" s="1"/>
  <c r="H32" i="24"/>
  <c r="D32" i="24"/>
  <c r="B32" i="24"/>
  <c r="T31" i="24"/>
  <c r="P31" i="24"/>
  <c r="X31" i="24" s="1"/>
  <c r="H31" i="24"/>
  <c r="D31" i="24"/>
  <c r="L31" i="24" s="1"/>
  <c r="N31" i="24" s="1"/>
  <c r="B31" i="24"/>
  <c r="Z30" i="24"/>
  <c r="T30" i="24"/>
  <c r="X30" i="24" s="1"/>
  <c r="P30" i="24"/>
  <c r="H30" i="24"/>
  <c r="L30" i="24" s="1"/>
  <c r="D30" i="24"/>
  <c r="B30" i="24"/>
  <c r="T29" i="24"/>
  <c r="P29" i="24"/>
  <c r="H29" i="24"/>
  <c r="D29" i="24"/>
  <c r="L29" i="24" s="1"/>
  <c r="N29" i="24" s="1"/>
  <c r="B29" i="24"/>
  <c r="T28" i="24"/>
  <c r="X28" i="24" s="1"/>
  <c r="Z28" i="24" s="1"/>
  <c r="P28" i="24"/>
  <c r="H28" i="24"/>
  <c r="L28" i="24" s="1"/>
  <c r="N28" i="24" s="1"/>
  <c r="D28" i="24"/>
  <c r="B28" i="24"/>
  <c r="T27" i="24"/>
  <c r="P27" i="24"/>
  <c r="X27" i="24" s="1"/>
  <c r="H27" i="24"/>
  <c r="D27" i="24"/>
  <c r="L27" i="24" s="1"/>
  <c r="N27" i="24" s="1"/>
  <c r="B27" i="24"/>
  <c r="T26" i="24"/>
  <c r="X26" i="24" s="1"/>
  <c r="Z26" i="24" s="1"/>
  <c r="P26" i="24"/>
  <c r="N26" i="24"/>
  <c r="H26" i="24"/>
  <c r="L26" i="24" s="1"/>
  <c r="D26" i="24"/>
  <c r="B26" i="24"/>
  <c r="X25" i="24"/>
  <c r="T25" i="24"/>
  <c r="P25" i="24"/>
  <c r="H25" i="24"/>
  <c r="D25" i="24"/>
  <c r="L25" i="24" s="1"/>
  <c r="N25" i="24" s="1"/>
  <c r="B25" i="24"/>
  <c r="Z24" i="24"/>
  <c r="T24" i="24"/>
  <c r="X24" i="24" s="1"/>
  <c r="P24" i="24"/>
  <c r="L24" i="24"/>
  <c r="N24" i="24" s="1"/>
  <c r="H24" i="24"/>
  <c r="D24" i="24"/>
  <c r="B24" i="24"/>
  <c r="T23" i="24"/>
  <c r="P23" i="24"/>
  <c r="X23" i="24" s="1"/>
  <c r="H23" i="24"/>
  <c r="D23" i="24"/>
  <c r="L23" i="24" s="1"/>
  <c r="N23" i="24" s="1"/>
  <c r="B23" i="24"/>
  <c r="Z22" i="24"/>
  <c r="T22" i="24"/>
  <c r="X22" i="24" s="1"/>
  <c r="P22" i="24"/>
  <c r="H22" i="24"/>
  <c r="D22" i="24"/>
  <c r="B22" i="24"/>
  <c r="T21" i="24"/>
  <c r="P21" i="24"/>
  <c r="H21" i="24"/>
  <c r="D21" i="24"/>
  <c r="L21" i="24" s="1"/>
  <c r="N21" i="24" s="1"/>
  <c r="B21" i="24"/>
  <c r="T20" i="24"/>
  <c r="X20" i="24" s="1"/>
  <c r="P20" i="24"/>
  <c r="N20" i="24"/>
  <c r="H20" i="24"/>
  <c r="L20" i="24" s="1"/>
  <c r="D20" i="24"/>
  <c r="B20" i="24"/>
  <c r="T19" i="24"/>
  <c r="P19" i="24"/>
  <c r="X19" i="24" s="1"/>
  <c r="H19" i="24"/>
  <c r="D19" i="24"/>
  <c r="L19" i="24" s="1"/>
  <c r="N19" i="24" s="1"/>
  <c r="B19" i="24"/>
  <c r="Z18" i="24"/>
  <c r="T18" i="24"/>
  <c r="X18" i="24" s="1"/>
  <c r="P18" i="24"/>
  <c r="H18" i="24"/>
  <c r="L18" i="24" s="1"/>
  <c r="D18" i="24"/>
  <c r="B18" i="24"/>
  <c r="T17" i="24"/>
  <c r="P17" i="24"/>
  <c r="H17" i="24"/>
  <c r="D17" i="24"/>
  <c r="L17" i="24" s="1"/>
  <c r="N17" i="24" s="1"/>
  <c r="B17" i="24"/>
  <c r="T16" i="24"/>
  <c r="X16" i="24" s="1"/>
  <c r="P16" i="24"/>
  <c r="H16" i="24"/>
  <c r="L16" i="24" s="1"/>
  <c r="N16" i="24" s="1"/>
  <c r="D16" i="24"/>
  <c r="B16" i="24"/>
  <c r="X15" i="24"/>
  <c r="T15" i="24"/>
  <c r="Z15" i="24" s="1"/>
  <c r="P15" i="24"/>
  <c r="L15" i="24"/>
  <c r="N15" i="24" s="1"/>
  <c r="H15" i="24"/>
  <c r="D15" i="24"/>
  <c r="B15" i="24"/>
  <c r="Z14" i="24"/>
  <c r="T14" i="24"/>
  <c r="X14" i="24" s="1"/>
  <c r="P14" i="24"/>
  <c r="H14" i="24"/>
  <c r="L14" i="24" s="1"/>
  <c r="D14" i="24"/>
  <c r="B14" i="24"/>
  <c r="T13" i="24"/>
  <c r="P13" i="24"/>
  <c r="X13" i="24" s="1"/>
  <c r="N13" i="24"/>
  <c r="H13" i="24"/>
  <c r="D13" i="24"/>
  <c r="B13" i="24"/>
  <c r="D4" i="24"/>
  <c r="X108" i="21"/>
  <c r="Z108" i="21" s="1"/>
  <c r="L108" i="21"/>
  <c r="N108" i="21" s="1"/>
  <c r="T104" i="21"/>
  <c r="Z104" i="21" s="1"/>
  <c r="P104" i="21"/>
  <c r="L104" i="21"/>
  <c r="H104" i="21"/>
  <c r="N104" i="21" s="1"/>
  <c r="D104" i="21"/>
  <c r="X102" i="21"/>
  <c r="Z102" i="21" s="1"/>
  <c r="L102" i="21"/>
  <c r="N102" i="21" s="1"/>
  <c r="B102" i="21"/>
  <c r="X101" i="21"/>
  <c r="Z101" i="21" s="1"/>
  <c r="T101" i="21"/>
  <c r="P101" i="21"/>
  <c r="L101" i="21"/>
  <c r="N101" i="21" s="1"/>
  <c r="H101" i="21"/>
  <c r="D101" i="21"/>
  <c r="B101" i="21"/>
  <c r="Z100" i="21"/>
  <c r="X100" i="21"/>
  <c r="N100" i="21"/>
  <c r="L100" i="21"/>
  <c r="B100" i="21"/>
  <c r="T99" i="21"/>
  <c r="P99" i="21"/>
  <c r="X99" i="21" s="1"/>
  <c r="Z99" i="21" s="1"/>
  <c r="H99" i="21"/>
  <c r="N99" i="21" s="1"/>
  <c r="D99" i="21"/>
  <c r="B99" i="21"/>
  <c r="X98" i="21"/>
  <c r="Z98" i="21" s="1"/>
  <c r="L98" i="21"/>
  <c r="N98" i="21" s="1"/>
  <c r="B98" i="21"/>
  <c r="Z97" i="21"/>
  <c r="T97" i="21"/>
  <c r="P97" i="21"/>
  <c r="X97" i="21" s="1"/>
  <c r="N97" i="21"/>
  <c r="H97" i="21"/>
  <c r="D97" i="21"/>
  <c r="L97" i="21" s="1"/>
  <c r="B97" i="21"/>
  <c r="X96" i="21"/>
  <c r="Z96" i="21" s="1"/>
  <c r="N96" i="21"/>
  <c r="L96" i="21"/>
  <c r="B96" i="21"/>
  <c r="Z95" i="21"/>
  <c r="X95" i="21"/>
  <c r="N95" i="21"/>
  <c r="L95" i="21"/>
  <c r="F95" i="21"/>
  <c r="B95" i="21"/>
  <c r="X94" i="21"/>
  <c r="Z94" i="21" s="1"/>
  <c r="N94" i="21"/>
  <c r="L94" i="21"/>
  <c r="B94" i="21"/>
  <c r="Z93" i="21"/>
  <c r="X93" i="21"/>
  <c r="N93" i="21"/>
  <c r="L93" i="21"/>
  <c r="B93" i="21"/>
  <c r="X92" i="21"/>
  <c r="Z92" i="21" s="1"/>
  <c r="N92" i="21"/>
  <c r="L92" i="21"/>
  <c r="B92" i="21"/>
  <c r="Z91" i="21"/>
  <c r="X91" i="21"/>
  <c r="N91" i="21"/>
  <c r="L91" i="21"/>
  <c r="B91" i="21"/>
  <c r="X90" i="21"/>
  <c r="Z90" i="21" s="1"/>
  <c r="N90" i="21"/>
  <c r="L90" i="21"/>
  <c r="B90" i="21"/>
  <c r="Z89" i="21"/>
  <c r="X89" i="21"/>
  <c r="N89" i="21"/>
  <c r="L89" i="21"/>
  <c r="B89" i="21"/>
  <c r="X88" i="21"/>
  <c r="T88" i="21"/>
  <c r="P88" i="21"/>
  <c r="L88" i="21"/>
  <c r="H88" i="21"/>
  <c r="D88" i="21"/>
  <c r="B88" i="21"/>
  <c r="Z87" i="21"/>
  <c r="X87" i="21"/>
  <c r="N87" i="21"/>
  <c r="L87" i="21"/>
  <c r="B87" i="21"/>
  <c r="X86" i="21"/>
  <c r="Z86" i="21" s="1"/>
  <c r="L86" i="21"/>
  <c r="N86" i="21" s="1"/>
  <c r="B86" i="21"/>
  <c r="T85" i="21"/>
  <c r="P85" i="21"/>
  <c r="X85" i="21" s="1"/>
  <c r="Z85" i="21" s="1"/>
  <c r="H85" i="21"/>
  <c r="D85" i="21"/>
  <c r="B85" i="21"/>
  <c r="X84" i="21"/>
  <c r="Z84" i="21" s="1"/>
  <c r="N84" i="21"/>
  <c r="L84" i="21"/>
  <c r="F84" i="21"/>
  <c r="B84" i="21"/>
  <c r="Z83" i="21"/>
  <c r="X83" i="21"/>
  <c r="L83" i="21"/>
  <c r="N83" i="21" s="1"/>
  <c r="B83" i="21"/>
  <c r="X82" i="21"/>
  <c r="Z82" i="21" s="1"/>
  <c r="L82" i="21"/>
  <c r="N82" i="21" s="1"/>
  <c r="B82" i="21"/>
  <c r="Z81" i="21"/>
  <c r="X81" i="21"/>
  <c r="L81" i="21"/>
  <c r="N81" i="21" s="1"/>
  <c r="B81" i="21"/>
  <c r="T80" i="21"/>
  <c r="P80" i="21"/>
  <c r="X80" i="21" s="1"/>
  <c r="H80" i="21"/>
  <c r="D80" i="21"/>
  <c r="B80" i="21"/>
  <c r="X79" i="21"/>
  <c r="Z79" i="21" s="1"/>
  <c r="N79" i="21"/>
  <c r="L79" i="21"/>
  <c r="B79" i="21"/>
  <c r="X78" i="21"/>
  <c r="T78" i="21"/>
  <c r="P78" i="21"/>
  <c r="H78" i="21"/>
  <c r="N78" i="21" s="1"/>
  <c r="D78" i="21"/>
  <c r="B78" i="21"/>
  <c r="Z77" i="21"/>
  <c r="X77" i="21"/>
  <c r="N77" i="21"/>
  <c r="L77" i="21"/>
  <c r="B77" i="21"/>
  <c r="Z76" i="21"/>
  <c r="X76" i="21"/>
  <c r="N76" i="21"/>
  <c r="L76" i="21"/>
  <c r="B76" i="21"/>
  <c r="Z75" i="21"/>
  <c r="X75" i="21"/>
  <c r="N75" i="21"/>
  <c r="L75" i="21"/>
  <c r="B75" i="21"/>
  <c r="T74" i="21"/>
  <c r="P74" i="21"/>
  <c r="X74" i="21" s="1"/>
  <c r="Z74" i="21" s="1"/>
  <c r="H74" i="21"/>
  <c r="D74" i="21"/>
  <c r="L74" i="21" s="1"/>
  <c r="N74" i="21" s="1"/>
  <c r="B74" i="21"/>
  <c r="X73" i="21"/>
  <c r="Z73" i="21" s="1"/>
  <c r="L73" i="21"/>
  <c r="N73" i="21" s="1"/>
  <c r="B73" i="21"/>
  <c r="T72" i="21"/>
  <c r="P72" i="21"/>
  <c r="X72" i="21" s="1"/>
  <c r="H72" i="21"/>
  <c r="D72" i="21"/>
  <c r="B72" i="21"/>
  <c r="X71" i="21"/>
  <c r="Z71" i="21" s="1"/>
  <c r="N71" i="21"/>
  <c r="L71" i="21"/>
  <c r="B71" i="21"/>
  <c r="X70" i="21"/>
  <c r="T70" i="21"/>
  <c r="P70" i="21"/>
  <c r="H70" i="21"/>
  <c r="D70" i="21"/>
  <c r="L70" i="21" s="1"/>
  <c r="N70" i="21" s="1"/>
  <c r="B70" i="21"/>
  <c r="Z69" i="21"/>
  <c r="X69" i="21"/>
  <c r="N69" i="21"/>
  <c r="L69" i="21"/>
  <c r="B69" i="21"/>
  <c r="T68" i="21"/>
  <c r="P68" i="21"/>
  <c r="X68" i="21" s="1"/>
  <c r="H68" i="21"/>
  <c r="D68" i="21"/>
  <c r="L68" i="21" s="1"/>
  <c r="N68" i="21" s="1"/>
  <c r="B68" i="21"/>
  <c r="Z67" i="21"/>
  <c r="X67" i="21"/>
  <c r="L67" i="21"/>
  <c r="N67" i="21" s="1"/>
  <c r="B67" i="21"/>
  <c r="T66" i="21"/>
  <c r="P66" i="21"/>
  <c r="H66" i="21"/>
  <c r="D66" i="21"/>
  <c r="L66" i="21" s="1"/>
  <c r="B66" i="21"/>
  <c r="X65" i="21"/>
  <c r="Z65" i="21" s="1"/>
  <c r="N65" i="21"/>
  <c r="L65" i="21"/>
  <c r="B65" i="21"/>
  <c r="Z64" i="21"/>
  <c r="X64" i="21"/>
  <c r="L64" i="21"/>
  <c r="N64" i="21" s="1"/>
  <c r="B64" i="21"/>
  <c r="X63" i="21"/>
  <c r="T63" i="21"/>
  <c r="Z63" i="21" s="1"/>
  <c r="P63" i="21"/>
  <c r="L63" i="21"/>
  <c r="N63" i="21" s="1"/>
  <c r="H63" i="21"/>
  <c r="D63" i="21"/>
  <c r="B63" i="21"/>
  <c r="Z62" i="21"/>
  <c r="X62" i="21"/>
  <c r="L62" i="21"/>
  <c r="N62" i="21" s="1"/>
  <c r="F62" i="21"/>
  <c r="B62" i="21"/>
  <c r="T61" i="21"/>
  <c r="Z61" i="21" s="1"/>
  <c r="P61" i="21"/>
  <c r="X61" i="21" s="1"/>
  <c r="H61" i="21"/>
  <c r="D61" i="21"/>
  <c r="B61" i="21"/>
  <c r="X60" i="21"/>
  <c r="Z60" i="21" s="1"/>
  <c r="N60" i="21"/>
  <c r="L60" i="21"/>
  <c r="B60" i="21"/>
  <c r="T59" i="21"/>
  <c r="P59" i="21"/>
  <c r="X59" i="21" s="1"/>
  <c r="Z59" i="21" s="1"/>
  <c r="L59" i="21"/>
  <c r="N59" i="21" s="1"/>
  <c r="H59" i="21"/>
  <c r="D59" i="21"/>
  <c r="B59" i="21"/>
  <c r="X58" i="21"/>
  <c r="Z58" i="21" s="1"/>
  <c r="N58" i="21"/>
  <c r="L58" i="21"/>
  <c r="B58" i="21"/>
  <c r="X57" i="21"/>
  <c r="T57" i="21"/>
  <c r="Z57" i="21" s="1"/>
  <c r="P57" i="21"/>
  <c r="L57" i="21"/>
  <c r="H57" i="21"/>
  <c r="N57" i="21" s="1"/>
  <c r="D57" i="21"/>
  <c r="B57" i="21"/>
  <c r="Z56" i="21"/>
  <c r="X56" i="21"/>
  <c r="L56" i="21"/>
  <c r="N56" i="21" s="1"/>
  <c r="F56" i="21"/>
  <c r="B56" i="21"/>
  <c r="Z55" i="21"/>
  <c r="X55" i="21"/>
  <c r="N55" i="21"/>
  <c r="L55" i="21"/>
  <c r="B55" i="21"/>
  <c r="T54" i="21"/>
  <c r="P54" i="21"/>
  <c r="X54" i="21" s="1"/>
  <c r="Z54" i="21" s="1"/>
  <c r="H54" i="21"/>
  <c r="N54" i="21" s="1"/>
  <c r="D54" i="21"/>
  <c r="L54" i="21" s="1"/>
  <c r="B54" i="21"/>
  <c r="X53" i="21"/>
  <c r="Z53" i="21" s="1"/>
  <c r="N53" i="21"/>
  <c r="L53" i="21"/>
  <c r="B53" i="21"/>
  <c r="T52" i="21"/>
  <c r="P52" i="21"/>
  <c r="X52" i="21" s="1"/>
  <c r="H52" i="21"/>
  <c r="D52" i="21"/>
  <c r="L52" i="21" s="1"/>
  <c r="B52" i="21"/>
  <c r="Z51" i="21"/>
  <c r="X51" i="21"/>
  <c r="N51" i="21"/>
  <c r="L51" i="21"/>
  <c r="B51" i="21"/>
  <c r="T50" i="21"/>
  <c r="P50" i="21"/>
  <c r="N50" i="21"/>
  <c r="L50" i="21"/>
  <c r="H50" i="21"/>
  <c r="D50" i="21"/>
  <c r="B50" i="21"/>
  <c r="Z49" i="21"/>
  <c r="X49" i="21"/>
  <c r="N49" i="21"/>
  <c r="L49" i="21"/>
  <c r="B49" i="21"/>
  <c r="T48" i="21"/>
  <c r="P48" i="21"/>
  <c r="X48" i="21" s="1"/>
  <c r="Z48" i="21" s="1"/>
  <c r="H48" i="21"/>
  <c r="D48" i="21"/>
  <c r="B48" i="21"/>
  <c r="Z47" i="21"/>
  <c r="X47" i="21"/>
  <c r="N47" i="21"/>
  <c r="L47" i="21"/>
  <c r="J47" i="21"/>
  <c r="B47" i="21"/>
  <c r="X46" i="21"/>
  <c r="Z46" i="21" s="1"/>
  <c r="L46" i="21"/>
  <c r="N46" i="21" s="1"/>
  <c r="B46" i="21"/>
  <c r="Z45" i="21"/>
  <c r="X45" i="21"/>
  <c r="L45" i="21"/>
  <c r="N45" i="21" s="1"/>
  <c r="B45" i="21"/>
  <c r="X44" i="21"/>
  <c r="Z44" i="21" s="1"/>
  <c r="L44" i="21"/>
  <c r="N44" i="21" s="1"/>
  <c r="B44" i="21"/>
  <c r="Z43" i="21"/>
  <c r="X43" i="21"/>
  <c r="N43" i="21"/>
  <c r="L43" i="21"/>
  <c r="B43" i="21"/>
  <c r="X42" i="21"/>
  <c r="Z42" i="21" s="1"/>
  <c r="N42" i="21"/>
  <c r="L42" i="21"/>
  <c r="B42" i="21"/>
  <c r="T41" i="21"/>
  <c r="P41" i="21"/>
  <c r="X41" i="21" s="1"/>
  <c r="Z41" i="21" s="1"/>
  <c r="J41" i="21"/>
  <c r="H41" i="21"/>
  <c r="D41" i="21"/>
  <c r="L41" i="21" s="1"/>
  <c r="N41" i="21" s="1"/>
  <c r="B41" i="21"/>
  <c r="X40" i="21"/>
  <c r="Z40" i="21" s="1"/>
  <c r="N40" i="21"/>
  <c r="L40" i="21"/>
  <c r="B40" i="21"/>
  <c r="X39" i="21"/>
  <c r="Z39" i="21" s="1"/>
  <c r="L39" i="21"/>
  <c r="N39" i="21" s="1"/>
  <c r="B39" i="21"/>
  <c r="Z38" i="21"/>
  <c r="X38" i="21"/>
  <c r="L38" i="21"/>
  <c r="N38" i="21" s="1"/>
  <c r="B38" i="21"/>
  <c r="X37" i="21"/>
  <c r="Z37" i="21" s="1"/>
  <c r="N37" i="21"/>
  <c r="L37" i="21"/>
  <c r="J37" i="21"/>
  <c r="B37" i="21"/>
  <c r="Z36" i="21"/>
  <c r="X36" i="21"/>
  <c r="N36" i="21"/>
  <c r="L36" i="21"/>
  <c r="B36" i="21"/>
  <c r="Z35" i="21"/>
  <c r="X35" i="21"/>
  <c r="N35" i="21"/>
  <c r="L35" i="21"/>
  <c r="B35" i="21"/>
  <c r="X34" i="21"/>
  <c r="Z34" i="21" s="1"/>
  <c r="L34" i="21"/>
  <c r="N34" i="21" s="1"/>
  <c r="B34" i="21"/>
  <c r="X33" i="21"/>
  <c r="Z33" i="21" s="1"/>
  <c r="N33" i="21"/>
  <c r="L33" i="21"/>
  <c r="J33" i="21"/>
  <c r="B33" i="21"/>
  <c r="T32" i="21"/>
  <c r="P32" i="21"/>
  <c r="H32" i="21"/>
  <c r="D32" i="21"/>
  <c r="B32" i="21"/>
  <c r="T31" i="21"/>
  <c r="P31" i="21"/>
  <c r="X31" i="21" s="1"/>
  <c r="J31" i="21"/>
  <c r="H31" i="21"/>
  <c r="D31" i="21"/>
  <c r="L31" i="21" s="1"/>
  <c r="N31" i="21" s="1"/>
  <c r="D29" i="21"/>
  <c r="D106" i="21" s="1"/>
  <c r="Z27" i="21"/>
  <c r="X27" i="21"/>
  <c r="N27" i="21"/>
  <c r="L27" i="21"/>
  <c r="B27" i="21"/>
  <c r="X26" i="21"/>
  <c r="Z26" i="21" s="1"/>
  <c r="L26" i="21"/>
  <c r="N26" i="21" s="1"/>
  <c r="B26" i="21"/>
  <c r="T25" i="21"/>
  <c r="P25" i="21"/>
  <c r="X25" i="21" s="1"/>
  <c r="Z25" i="21" s="1"/>
  <c r="H25" i="21"/>
  <c r="D25" i="21"/>
  <c r="L25" i="21" s="1"/>
  <c r="T23" i="21"/>
  <c r="P23" i="21"/>
  <c r="X23" i="21" s="1"/>
  <c r="L23" i="21"/>
  <c r="H23" i="21"/>
  <c r="N23" i="21" s="1"/>
  <c r="D23" i="21"/>
  <c r="B23" i="21"/>
  <c r="Z22" i="21"/>
  <c r="X22" i="21"/>
  <c r="T22" i="21"/>
  <c r="P22" i="21"/>
  <c r="L22" i="21"/>
  <c r="H22" i="21"/>
  <c r="N22" i="21" s="1"/>
  <c r="D22" i="21"/>
  <c r="B22" i="21"/>
  <c r="T21" i="21"/>
  <c r="P21" i="21"/>
  <c r="X21" i="21" s="1"/>
  <c r="H21" i="21"/>
  <c r="L21" i="21" s="1"/>
  <c r="N21" i="21" s="1"/>
  <c r="D21" i="21"/>
  <c r="B21" i="21"/>
  <c r="T20" i="21"/>
  <c r="Z20" i="21" s="1"/>
  <c r="P20" i="21"/>
  <c r="X20" i="21" s="1"/>
  <c r="H20" i="21"/>
  <c r="D20" i="21"/>
  <c r="B20" i="21"/>
  <c r="T19" i="21"/>
  <c r="P19" i="21"/>
  <c r="X19" i="21" s="1"/>
  <c r="L19" i="21"/>
  <c r="H19" i="21"/>
  <c r="N19" i="21" s="1"/>
  <c r="D19" i="21"/>
  <c r="B19" i="21"/>
  <c r="Z18" i="21"/>
  <c r="X18" i="21"/>
  <c r="T18" i="21"/>
  <c r="P18" i="21"/>
  <c r="L18" i="21"/>
  <c r="H18" i="21"/>
  <c r="N18" i="21" s="1"/>
  <c r="D18" i="21"/>
  <c r="B18" i="21"/>
  <c r="T17" i="21"/>
  <c r="P17" i="21"/>
  <c r="X17" i="21" s="1"/>
  <c r="H17" i="21"/>
  <c r="L17" i="21" s="1"/>
  <c r="N17" i="21" s="1"/>
  <c r="D17" i="21"/>
  <c r="B17" i="21"/>
  <c r="T16" i="21"/>
  <c r="Z16" i="21" s="1"/>
  <c r="P16" i="21"/>
  <c r="X16" i="21" s="1"/>
  <c r="H16" i="21"/>
  <c r="D16" i="21"/>
  <c r="B16" i="21"/>
  <c r="T15" i="21"/>
  <c r="P15" i="21"/>
  <c r="X15" i="21" s="1"/>
  <c r="L15" i="21"/>
  <c r="H15" i="21"/>
  <c r="N15" i="21" s="1"/>
  <c r="D15" i="21"/>
  <c r="B15" i="21"/>
  <c r="Z14" i="21"/>
  <c r="X14" i="21"/>
  <c r="T14" i="21"/>
  <c r="P14" i="21"/>
  <c r="L14" i="21"/>
  <c r="H14" i="21"/>
  <c r="N14" i="21" s="1"/>
  <c r="D14" i="21"/>
  <c r="B14" i="21"/>
  <c r="T13" i="21"/>
  <c r="P13" i="21"/>
  <c r="P12" i="21" s="1"/>
  <c r="R34" i="21" s="1"/>
  <c r="H13" i="21"/>
  <c r="L13" i="21" s="1"/>
  <c r="N13" i="21" s="1"/>
  <c r="D13" i="21"/>
  <c r="B13" i="21"/>
  <c r="H12" i="21"/>
  <c r="J69" i="21" s="1"/>
  <c r="D12" i="21"/>
  <c r="D4" i="21"/>
  <c r="Z290" i="18"/>
  <c r="X290" i="18"/>
  <c r="N290" i="18"/>
  <c r="L290" i="18"/>
  <c r="Z286" i="18"/>
  <c r="X286" i="18"/>
  <c r="T286" i="18"/>
  <c r="P286" i="18"/>
  <c r="N286" i="18"/>
  <c r="L286" i="18"/>
  <c r="H286" i="18"/>
  <c r="D286" i="18"/>
  <c r="B286" i="18"/>
  <c r="T285" i="18"/>
  <c r="P285" i="18"/>
  <c r="H285" i="18"/>
  <c r="L285" i="18" s="1"/>
  <c r="N285" i="18" s="1"/>
  <c r="D285" i="18"/>
  <c r="B285" i="18"/>
  <c r="Z284" i="18"/>
  <c r="V284" i="18"/>
  <c r="T284" i="18"/>
  <c r="P284" i="18"/>
  <c r="X284" i="18" s="1"/>
  <c r="H284" i="18"/>
  <c r="N284" i="18" s="1"/>
  <c r="D284" i="18"/>
  <c r="L284" i="18" s="1"/>
  <c r="B284" i="18"/>
  <c r="X283" i="18"/>
  <c r="T283" i="18"/>
  <c r="P283" i="18"/>
  <c r="L283" i="18"/>
  <c r="H283" i="18"/>
  <c r="N283" i="18" s="1"/>
  <c r="D283" i="18"/>
  <c r="B283" i="18"/>
  <c r="T282" i="18"/>
  <c r="X282" i="18" s="1"/>
  <c r="Z282" i="18" s="1"/>
  <c r="P282" i="18"/>
  <c r="L282" i="18"/>
  <c r="N282" i="18" s="1"/>
  <c r="H282" i="18"/>
  <c r="D282" i="18"/>
  <c r="B282" i="18"/>
  <c r="T281" i="18"/>
  <c r="Z281" i="18" s="1"/>
  <c r="P281" i="18"/>
  <c r="X281" i="18" s="1"/>
  <c r="H281" i="18"/>
  <c r="D281" i="18"/>
  <c r="B281" i="18"/>
  <c r="Z280" i="18"/>
  <c r="X280" i="18"/>
  <c r="T280" i="18"/>
  <c r="P280" i="18"/>
  <c r="N280" i="18"/>
  <c r="L280" i="18"/>
  <c r="H280" i="18"/>
  <c r="D280" i="18"/>
  <c r="B280" i="18"/>
  <c r="Z279" i="18"/>
  <c r="T279" i="18"/>
  <c r="X279" i="18" s="1"/>
  <c r="P279" i="18"/>
  <c r="H279" i="18"/>
  <c r="N279" i="18" s="1"/>
  <c r="D279" i="18"/>
  <c r="B279" i="18"/>
  <c r="T278" i="18"/>
  <c r="P278" i="18"/>
  <c r="X278" i="18" s="1"/>
  <c r="H278" i="18"/>
  <c r="D278" i="18"/>
  <c r="L278" i="18" s="1"/>
  <c r="N278" i="18" s="1"/>
  <c r="B278" i="18"/>
  <c r="X277" i="18"/>
  <c r="T277" i="18"/>
  <c r="Z277" i="18" s="1"/>
  <c r="P277" i="18"/>
  <c r="L277" i="18"/>
  <c r="H277" i="18"/>
  <c r="D277" i="18"/>
  <c r="B277" i="18"/>
  <c r="X276" i="18"/>
  <c r="Z276" i="18" s="1"/>
  <c r="T276" i="18"/>
  <c r="P276" i="18"/>
  <c r="H276" i="18"/>
  <c r="L276" i="18" s="1"/>
  <c r="N276" i="18" s="1"/>
  <c r="D276" i="18"/>
  <c r="B276" i="18"/>
  <c r="T275" i="18"/>
  <c r="T274" i="18" s="1"/>
  <c r="P275" i="18"/>
  <c r="H275" i="18"/>
  <c r="N275" i="18" s="1"/>
  <c r="D275" i="18"/>
  <c r="L275" i="18" s="1"/>
  <c r="B275" i="18"/>
  <c r="Z272" i="18"/>
  <c r="X272" i="18"/>
  <c r="N272" i="18"/>
  <c r="L272" i="18"/>
  <c r="B272" i="18"/>
  <c r="X271" i="18"/>
  <c r="T271" i="18"/>
  <c r="Z271" i="18" s="1"/>
  <c r="P271" i="18"/>
  <c r="L271" i="18"/>
  <c r="H271" i="18"/>
  <c r="N271" i="18" s="1"/>
  <c r="D271" i="18"/>
  <c r="B271" i="18"/>
  <c r="X270" i="18"/>
  <c r="Z270" i="18" s="1"/>
  <c r="N270" i="18"/>
  <c r="L270" i="18"/>
  <c r="J270" i="18"/>
  <c r="B270" i="18"/>
  <c r="Z269" i="18"/>
  <c r="X269" i="18"/>
  <c r="N269" i="18"/>
  <c r="L269" i="18"/>
  <c r="B269" i="18"/>
  <c r="Z268" i="18"/>
  <c r="X268" i="18"/>
  <c r="N268" i="18"/>
  <c r="L268" i="18"/>
  <c r="B268" i="18"/>
  <c r="T267" i="18"/>
  <c r="P267" i="18"/>
  <c r="N267" i="18"/>
  <c r="L267" i="18"/>
  <c r="H267" i="18"/>
  <c r="D267" i="18"/>
  <c r="B267" i="18"/>
  <c r="Z266" i="18"/>
  <c r="X266" i="18"/>
  <c r="V266" i="18"/>
  <c r="L266" i="18"/>
  <c r="N266" i="18" s="1"/>
  <c r="B266" i="18"/>
  <c r="T265" i="18"/>
  <c r="P265" i="18"/>
  <c r="X265" i="18" s="1"/>
  <c r="Z265" i="18" s="1"/>
  <c r="H265" i="18"/>
  <c r="D265" i="18"/>
  <c r="L265" i="18" s="1"/>
  <c r="B265" i="18"/>
  <c r="Z264" i="18"/>
  <c r="X264" i="18"/>
  <c r="N264" i="18"/>
  <c r="L264" i="18"/>
  <c r="B264" i="18"/>
  <c r="X263" i="18"/>
  <c r="Z263" i="18" s="1"/>
  <c r="N263" i="18"/>
  <c r="L263" i="18"/>
  <c r="B263" i="18"/>
  <c r="T262" i="18"/>
  <c r="P262" i="18"/>
  <c r="X262" i="18" s="1"/>
  <c r="Z262" i="18" s="1"/>
  <c r="N262" i="18"/>
  <c r="L262" i="18"/>
  <c r="H262" i="18"/>
  <c r="D262" i="18"/>
  <c r="B262" i="18"/>
  <c r="Z261" i="18"/>
  <c r="X261" i="18"/>
  <c r="N261" i="18"/>
  <c r="L261" i="18"/>
  <c r="B261" i="18"/>
  <c r="Z260" i="18"/>
  <c r="X260" i="18"/>
  <c r="N260" i="18"/>
  <c r="L260" i="18"/>
  <c r="B260" i="18"/>
  <c r="Z259" i="18"/>
  <c r="X259" i="18"/>
  <c r="L259" i="18"/>
  <c r="N259" i="18" s="1"/>
  <c r="B259" i="18"/>
  <c r="X258" i="18"/>
  <c r="Z258" i="18" s="1"/>
  <c r="N258" i="18"/>
  <c r="L258" i="18"/>
  <c r="B258" i="18"/>
  <c r="Z257" i="18"/>
  <c r="X257" i="18"/>
  <c r="N257" i="18"/>
  <c r="L257" i="18"/>
  <c r="B257" i="18"/>
  <c r="Z256" i="18"/>
  <c r="X256" i="18"/>
  <c r="N256" i="18"/>
  <c r="L256" i="18"/>
  <c r="B256" i="18"/>
  <c r="Z255" i="18"/>
  <c r="X255" i="18"/>
  <c r="N255" i="18"/>
  <c r="L255" i="18"/>
  <c r="B255" i="18"/>
  <c r="X254" i="18"/>
  <c r="Z254" i="18" s="1"/>
  <c r="T254" i="18"/>
  <c r="P254" i="18"/>
  <c r="H254" i="18"/>
  <c r="L254" i="18" s="1"/>
  <c r="N254" i="18" s="1"/>
  <c r="D254" i="18"/>
  <c r="B254" i="18"/>
  <c r="Z253" i="18"/>
  <c r="X253" i="18"/>
  <c r="L253" i="18"/>
  <c r="N253" i="18" s="1"/>
  <c r="B253" i="18"/>
  <c r="Z252" i="18"/>
  <c r="X252" i="18"/>
  <c r="N252" i="18"/>
  <c r="L252" i="18"/>
  <c r="B252" i="18"/>
  <c r="T251" i="18"/>
  <c r="P251" i="18"/>
  <c r="X251" i="18" s="1"/>
  <c r="H251" i="18"/>
  <c r="D251" i="18"/>
  <c r="L251" i="18" s="1"/>
  <c r="N251" i="18" s="1"/>
  <c r="B251" i="18"/>
  <c r="X250" i="18"/>
  <c r="Z250" i="18" s="1"/>
  <c r="L250" i="18"/>
  <c r="N250" i="18" s="1"/>
  <c r="B250" i="18"/>
  <c r="X249" i="18"/>
  <c r="Z249" i="18" s="1"/>
  <c r="N249" i="18"/>
  <c r="L249" i="18"/>
  <c r="B249" i="18"/>
  <c r="Z248" i="18"/>
  <c r="X248" i="18"/>
  <c r="N248" i="18"/>
  <c r="L248" i="18"/>
  <c r="B248" i="18"/>
  <c r="X247" i="18"/>
  <c r="Z247" i="18" s="1"/>
  <c r="L247" i="18"/>
  <c r="N247" i="18" s="1"/>
  <c r="B247" i="18"/>
  <c r="T246" i="18"/>
  <c r="P246" i="18"/>
  <c r="X246" i="18" s="1"/>
  <c r="Z246" i="18" s="1"/>
  <c r="N246" i="18"/>
  <c r="L246" i="18"/>
  <c r="H246" i="18"/>
  <c r="D246" i="18"/>
  <c r="B246" i="18"/>
  <c r="Z245" i="18"/>
  <c r="X245" i="18"/>
  <c r="N245" i="18"/>
  <c r="L245" i="18"/>
  <c r="B245" i="18"/>
  <c r="Z244" i="18"/>
  <c r="X244" i="18"/>
  <c r="N244" i="18"/>
  <c r="L244" i="18"/>
  <c r="B244" i="18"/>
  <c r="X243" i="18"/>
  <c r="Z243" i="18" s="1"/>
  <c r="L243" i="18"/>
  <c r="N243" i="18" s="1"/>
  <c r="B243" i="18"/>
  <c r="X242" i="18"/>
  <c r="Z242" i="18" s="1"/>
  <c r="T242" i="18"/>
  <c r="P242" i="18"/>
  <c r="H242" i="18"/>
  <c r="L242" i="18" s="1"/>
  <c r="N242" i="18" s="1"/>
  <c r="D242" i="18"/>
  <c r="B242" i="18"/>
  <c r="Z241" i="18"/>
  <c r="X241" i="18"/>
  <c r="L241" i="18"/>
  <c r="N241" i="18" s="1"/>
  <c r="B241" i="18"/>
  <c r="Z240" i="18"/>
  <c r="X240" i="18"/>
  <c r="N240" i="18"/>
  <c r="L240" i="18"/>
  <c r="B240" i="18"/>
  <c r="X239" i="18"/>
  <c r="Z239" i="18" s="1"/>
  <c r="L239" i="18"/>
  <c r="N239" i="18" s="1"/>
  <c r="B239" i="18"/>
  <c r="Z238" i="18"/>
  <c r="X238" i="18"/>
  <c r="V238" i="18"/>
  <c r="L238" i="18"/>
  <c r="N238" i="18" s="1"/>
  <c r="B238" i="18"/>
  <c r="T237" i="18"/>
  <c r="P237" i="18"/>
  <c r="X237" i="18" s="1"/>
  <c r="Z237" i="18" s="1"/>
  <c r="H237" i="18"/>
  <c r="N237" i="18" s="1"/>
  <c r="D237" i="18"/>
  <c r="L237" i="18" s="1"/>
  <c r="B237" i="18"/>
  <c r="Z236" i="18"/>
  <c r="X236" i="18"/>
  <c r="N236" i="18"/>
  <c r="L236" i="18"/>
  <c r="B236" i="18"/>
  <c r="X235" i="18"/>
  <c r="T235" i="18"/>
  <c r="Z235" i="18" s="1"/>
  <c r="P235" i="18"/>
  <c r="L235" i="18"/>
  <c r="H235" i="18"/>
  <c r="N235" i="18" s="1"/>
  <c r="D235" i="18"/>
  <c r="B235" i="18"/>
  <c r="X234" i="18"/>
  <c r="Z234" i="18" s="1"/>
  <c r="N234" i="18"/>
  <c r="L234" i="18"/>
  <c r="B234" i="18"/>
  <c r="T233" i="18"/>
  <c r="X233" i="18" s="1"/>
  <c r="Z233" i="18" s="1"/>
  <c r="P233" i="18"/>
  <c r="H233" i="18"/>
  <c r="N233" i="18" s="1"/>
  <c r="D233" i="18"/>
  <c r="B233" i="18"/>
  <c r="Z232" i="18"/>
  <c r="X232" i="18"/>
  <c r="N232" i="18"/>
  <c r="L232" i="18"/>
  <c r="B232" i="18"/>
  <c r="T231" i="18"/>
  <c r="P231" i="18"/>
  <c r="X231" i="18" s="1"/>
  <c r="H231" i="18"/>
  <c r="D231" i="18"/>
  <c r="L231" i="18" s="1"/>
  <c r="N231" i="18" s="1"/>
  <c r="B231" i="18"/>
  <c r="X230" i="18"/>
  <c r="Z230" i="18" s="1"/>
  <c r="L230" i="18"/>
  <c r="N230" i="18" s="1"/>
  <c r="B230" i="18"/>
  <c r="X229" i="18"/>
  <c r="T229" i="18"/>
  <c r="Z229" i="18" s="1"/>
  <c r="P229" i="18"/>
  <c r="L229" i="18"/>
  <c r="H229" i="18"/>
  <c r="N229" i="18" s="1"/>
  <c r="D229" i="18"/>
  <c r="B229" i="18"/>
  <c r="Z228" i="18"/>
  <c r="X228" i="18"/>
  <c r="N228" i="18"/>
  <c r="L228" i="18"/>
  <c r="B228" i="18"/>
  <c r="T227" i="18"/>
  <c r="P227" i="18"/>
  <c r="X227" i="18" s="1"/>
  <c r="H227" i="18"/>
  <c r="D227" i="18"/>
  <c r="L227" i="18" s="1"/>
  <c r="N227" i="18" s="1"/>
  <c r="B227" i="18"/>
  <c r="Z226" i="18"/>
  <c r="X226" i="18"/>
  <c r="V226" i="18"/>
  <c r="L226" i="18"/>
  <c r="N226" i="18" s="1"/>
  <c r="B226" i="18"/>
  <c r="Z225" i="18"/>
  <c r="X225" i="18"/>
  <c r="L225" i="18"/>
  <c r="N225" i="18" s="1"/>
  <c r="B225" i="18"/>
  <c r="T224" i="18"/>
  <c r="Z224" i="18" s="1"/>
  <c r="P224" i="18"/>
  <c r="X224" i="18" s="1"/>
  <c r="H224" i="18"/>
  <c r="D224" i="18"/>
  <c r="L224" i="18" s="1"/>
  <c r="N224" i="18" s="1"/>
  <c r="B224" i="18"/>
  <c r="X223" i="18"/>
  <c r="Z223" i="18" s="1"/>
  <c r="L223" i="18"/>
  <c r="N223" i="18" s="1"/>
  <c r="F223" i="18"/>
  <c r="B223" i="18"/>
  <c r="T222" i="18"/>
  <c r="P222" i="18"/>
  <c r="X222" i="18" s="1"/>
  <c r="Z222" i="18" s="1"/>
  <c r="N222" i="18"/>
  <c r="L222" i="18"/>
  <c r="H222" i="18"/>
  <c r="D222" i="18"/>
  <c r="B222" i="18"/>
  <c r="Z221" i="18"/>
  <c r="X221" i="18"/>
  <c r="N221" i="18"/>
  <c r="L221" i="18"/>
  <c r="B221" i="18"/>
  <c r="T220" i="18"/>
  <c r="X220" i="18" s="1"/>
  <c r="Z220" i="18" s="1"/>
  <c r="P220" i="18"/>
  <c r="L220" i="18"/>
  <c r="N220" i="18" s="1"/>
  <c r="H220" i="18"/>
  <c r="D220" i="18"/>
  <c r="B220" i="18"/>
  <c r="X219" i="18"/>
  <c r="Z219" i="18" s="1"/>
  <c r="L219" i="18"/>
  <c r="N219" i="18" s="1"/>
  <c r="B219" i="18"/>
  <c r="V218" i="18"/>
  <c r="T218" i="18"/>
  <c r="P218" i="18"/>
  <c r="X218" i="18" s="1"/>
  <c r="Z218" i="18" s="1"/>
  <c r="H218" i="18"/>
  <c r="N218" i="18" s="1"/>
  <c r="D218" i="18"/>
  <c r="L218" i="18" s="1"/>
  <c r="B218" i="18"/>
  <c r="X217" i="18"/>
  <c r="Z217" i="18" s="1"/>
  <c r="N217" i="18"/>
  <c r="L217" i="18"/>
  <c r="B217" i="18"/>
  <c r="Z216" i="18"/>
  <c r="X216" i="18"/>
  <c r="N216" i="18"/>
  <c r="L216" i="18"/>
  <c r="B216" i="18"/>
  <c r="T215" i="18"/>
  <c r="P215" i="18"/>
  <c r="L215" i="18"/>
  <c r="H215" i="18"/>
  <c r="N215" i="18" s="1"/>
  <c r="D215" i="18"/>
  <c r="B215" i="18"/>
  <c r="X214" i="18"/>
  <c r="Z214" i="18" s="1"/>
  <c r="N214" i="18"/>
  <c r="L214" i="18"/>
  <c r="B214" i="18"/>
  <c r="Z213" i="18"/>
  <c r="X213" i="18"/>
  <c r="N213" i="18"/>
  <c r="L213" i="18"/>
  <c r="B213" i="18"/>
  <c r="Z212" i="18"/>
  <c r="T212" i="18"/>
  <c r="X212" i="18" s="1"/>
  <c r="P212" i="18"/>
  <c r="L212" i="18"/>
  <c r="N212" i="18" s="1"/>
  <c r="H212" i="18"/>
  <c r="D212" i="18"/>
  <c r="B212" i="18"/>
  <c r="X211" i="18"/>
  <c r="Z211" i="18" s="1"/>
  <c r="L211" i="18"/>
  <c r="N211" i="18" s="1"/>
  <c r="B211" i="18"/>
  <c r="V210" i="18"/>
  <c r="T210" i="18"/>
  <c r="P210" i="18"/>
  <c r="X210" i="18" s="1"/>
  <c r="Z210" i="18" s="1"/>
  <c r="H210" i="18"/>
  <c r="D210" i="18"/>
  <c r="L210" i="18" s="1"/>
  <c r="B210" i="18"/>
  <c r="Z209" i="18"/>
  <c r="X209" i="18"/>
  <c r="N209" i="18"/>
  <c r="L209" i="18"/>
  <c r="B209" i="18"/>
  <c r="Z208" i="18"/>
  <c r="X208" i="18"/>
  <c r="N208" i="18"/>
  <c r="L208" i="18"/>
  <c r="B208" i="18"/>
  <c r="T207" i="18"/>
  <c r="P207" i="18"/>
  <c r="L207" i="18"/>
  <c r="H207" i="18"/>
  <c r="D207" i="18"/>
  <c r="B207" i="18"/>
  <c r="X206" i="18"/>
  <c r="Z206" i="18" s="1"/>
  <c r="N206" i="18"/>
  <c r="L206" i="18"/>
  <c r="B206" i="18"/>
  <c r="Z205" i="18"/>
  <c r="X205" i="18"/>
  <c r="T205" i="18"/>
  <c r="P205" i="18"/>
  <c r="H205" i="18"/>
  <c r="D205" i="18"/>
  <c r="L205" i="18" s="1"/>
  <c r="B205" i="18"/>
  <c r="Z204" i="18"/>
  <c r="X204" i="18"/>
  <c r="N204" i="18"/>
  <c r="L204" i="18"/>
  <c r="B204" i="18"/>
  <c r="X203" i="18"/>
  <c r="Z203" i="18" s="1"/>
  <c r="L203" i="18"/>
  <c r="N203" i="18" s="1"/>
  <c r="B203" i="18"/>
  <c r="Z202" i="18"/>
  <c r="X202" i="18"/>
  <c r="V202" i="18"/>
  <c r="L202" i="18"/>
  <c r="N202" i="18" s="1"/>
  <c r="B202" i="18"/>
  <c r="Z201" i="18"/>
  <c r="X201" i="18"/>
  <c r="L201" i="18"/>
  <c r="N201" i="18" s="1"/>
  <c r="B201" i="18"/>
  <c r="Z200" i="18"/>
  <c r="X200" i="18"/>
  <c r="N200" i="18"/>
  <c r="L200" i="18"/>
  <c r="B200" i="18"/>
  <c r="X199" i="18"/>
  <c r="Z199" i="18" s="1"/>
  <c r="L199" i="18"/>
  <c r="N199" i="18" s="1"/>
  <c r="B199" i="18"/>
  <c r="Z198" i="18"/>
  <c r="X198" i="18"/>
  <c r="V198" i="18"/>
  <c r="L198" i="18"/>
  <c r="N198" i="18" s="1"/>
  <c r="B198" i="18"/>
  <c r="T197" i="18"/>
  <c r="P197" i="18"/>
  <c r="X197" i="18" s="1"/>
  <c r="Z197" i="18" s="1"/>
  <c r="H197" i="18"/>
  <c r="N197" i="18" s="1"/>
  <c r="D197" i="18"/>
  <c r="L197" i="18" s="1"/>
  <c r="B197" i="18"/>
  <c r="Z196" i="18"/>
  <c r="X196" i="18"/>
  <c r="N196" i="18"/>
  <c r="L196" i="18"/>
  <c r="B196" i="18"/>
  <c r="X195" i="18"/>
  <c r="Z195" i="18" s="1"/>
  <c r="N195" i="18"/>
  <c r="L195" i="18"/>
  <c r="B195" i="18"/>
  <c r="X194" i="18"/>
  <c r="Z194" i="18" s="1"/>
  <c r="L194" i="18"/>
  <c r="N194" i="18" s="1"/>
  <c r="B194" i="18"/>
  <c r="X193" i="18"/>
  <c r="Z193" i="18" s="1"/>
  <c r="N193" i="18"/>
  <c r="L193" i="18"/>
  <c r="B193" i="18"/>
  <c r="Z192" i="18"/>
  <c r="X192" i="18"/>
  <c r="N192" i="18"/>
  <c r="L192" i="18"/>
  <c r="B192" i="18"/>
  <c r="X191" i="18"/>
  <c r="Z191" i="18" s="1"/>
  <c r="L191" i="18"/>
  <c r="N191" i="18" s="1"/>
  <c r="B191" i="18"/>
  <c r="X190" i="18"/>
  <c r="Z190" i="18" s="1"/>
  <c r="L190" i="18"/>
  <c r="N190" i="18" s="1"/>
  <c r="B190" i="18"/>
  <c r="X189" i="18"/>
  <c r="Z189" i="18" s="1"/>
  <c r="N189" i="18"/>
  <c r="L189" i="18"/>
  <c r="B189" i="18"/>
  <c r="Z188" i="18"/>
  <c r="X188" i="18"/>
  <c r="N188" i="18"/>
  <c r="L188" i="18"/>
  <c r="B188" i="18"/>
  <c r="X187" i="18"/>
  <c r="T187" i="18"/>
  <c r="Z187" i="18" s="1"/>
  <c r="P187" i="18"/>
  <c r="L187" i="18"/>
  <c r="H187" i="18"/>
  <c r="D187" i="18"/>
  <c r="B187" i="18"/>
  <c r="X186" i="18"/>
  <c r="T186" i="18"/>
  <c r="Z186" i="18" s="1"/>
  <c r="P186" i="18"/>
  <c r="N186" i="18"/>
  <c r="H186" i="18"/>
  <c r="L186" i="18" s="1"/>
  <c r="D186" i="18"/>
  <c r="X182" i="18"/>
  <c r="Z182" i="18" s="1"/>
  <c r="N182" i="18"/>
  <c r="L182" i="18"/>
  <c r="B182" i="18"/>
  <c r="Z181" i="18"/>
  <c r="X181" i="18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L175" i="18"/>
  <c r="N175" i="18" s="1"/>
  <c r="B175" i="18"/>
  <c r="X174" i="18"/>
  <c r="Z174" i="18" s="1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L171" i="18"/>
  <c r="N171" i="18" s="1"/>
  <c r="B171" i="18"/>
  <c r="X170" i="18"/>
  <c r="Z170" i="18" s="1"/>
  <c r="N170" i="18"/>
  <c r="L170" i="18"/>
  <c r="J170" i="18"/>
  <c r="B170" i="18"/>
  <c r="Z169" i="18"/>
  <c r="X169" i="18"/>
  <c r="N169" i="18"/>
  <c r="L169" i="18"/>
  <c r="B169" i="18"/>
  <c r="Z168" i="18"/>
  <c r="X168" i="18"/>
  <c r="N168" i="18"/>
  <c r="L168" i="18"/>
  <c r="B168" i="18"/>
  <c r="Z167" i="18"/>
  <c r="X167" i="18"/>
  <c r="N167" i="18"/>
  <c r="L167" i="18"/>
  <c r="B167" i="18"/>
  <c r="X166" i="18"/>
  <c r="Z166" i="18" s="1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L163" i="18"/>
  <c r="N163" i="18" s="1"/>
  <c r="B163" i="18"/>
  <c r="X162" i="18"/>
  <c r="Z162" i="18" s="1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B159" i="18"/>
  <c r="X158" i="18"/>
  <c r="Z158" i="18" s="1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L155" i="18"/>
  <c r="N155" i="18" s="1"/>
  <c r="B155" i="18"/>
  <c r="X154" i="18"/>
  <c r="Z154" i="18" s="1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L151" i="18"/>
  <c r="N151" i="18" s="1"/>
  <c r="B151" i="18"/>
  <c r="X150" i="18"/>
  <c r="Z150" i="18" s="1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L147" i="18"/>
  <c r="N147" i="18" s="1"/>
  <c r="B147" i="18"/>
  <c r="X146" i="18"/>
  <c r="Z146" i="18" s="1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L143" i="18"/>
  <c r="N143" i="18" s="1"/>
  <c r="B143" i="18"/>
  <c r="X142" i="18"/>
  <c r="Z142" i="18" s="1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L139" i="18"/>
  <c r="N139" i="18" s="1"/>
  <c r="B139" i="18"/>
  <c r="X138" i="18"/>
  <c r="Z138" i="18" s="1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L135" i="18"/>
  <c r="N135" i="18" s="1"/>
  <c r="B135" i="18"/>
  <c r="X134" i="18"/>
  <c r="Z134" i="18" s="1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L131" i="18"/>
  <c r="N131" i="18" s="1"/>
  <c r="B131" i="18"/>
  <c r="X130" i="18"/>
  <c r="Z130" i="18" s="1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L127" i="18"/>
  <c r="N127" i="18" s="1"/>
  <c r="B127" i="18"/>
  <c r="X126" i="18"/>
  <c r="Z126" i="18" s="1"/>
  <c r="N126" i="18"/>
  <c r="L126" i="18"/>
  <c r="B126" i="18"/>
  <c r="T125" i="18"/>
  <c r="P125" i="18"/>
  <c r="X125" i="18" s="1"/>
  <c r="Z125" i="18" s="1"/>
  <c r="H125" i="18"/>
  <c r="D125" i="18"/>
  <c r="Z123" i="18"/>
  <c r="X123" i="18"/>
  <c r="T123" i="18"/>
  <c r="P123" i="18"/>
  <c r="N123" i="18"/>
  <c r="L123" i="18"/>
  <c r="H123" i="18"/>
  <c r="D123" i="18"/>
  <c r="B123" i="18"/>
  <c r="Z122" i="18"/>
  <c r="T122" i="18"/>
  <c r="P122" i="18"/>
  <c r="X122" i="18" s="1"/>
  <c r="H122" i="18"/>
  <c r="D122" i="18"/>
  <c r="L122" i="18" s="1"/>
  <c r="N122" i="18" s="1"/>
  <c r="B122" i="18"/>
  <c r="T121" i="18"/>
  <c r="P121" i="18"/>
  <c r="X121" i="18" s="1"/>
  <c r="Z121" i="18" s="1"/>
  <c r="H121" i="18"/>
  <c r="D121" i="18"/>
  <c r="B121" i="18"/>
  <c r="X120" i="18"/>
  <c r="T120" i="18"/>
  <c r="Z120" i="18" s="1"/>
  <c r="P120" i="18"/>
  <c r="H120" i="18"/>
  <c r="N120" i="18" s="1"/>
  <c r="D120" i="18"/>
  <c r="L120" i="18" s="1"/>
  <c r="B120" i="18"/>
  <c r="Z119" i="18"/>
  <c r="X119" i="18"/>
  <c r="T119" i="18"/>
  <c r="P119" i="18"/>
  <c r="N119" i="18"/>
  <c r="L119" i="18"/>
  <c r="H119" i="18"/>
  <c r="D119" i="18"/>
  <c r="B119" i="18"/>
  <c r="T118" i="18"/>
  <c r="P118" i="18"/>
  <c r="X118" i="18" s="1"/>
  <c r="Z118" i="18" s="1"/>
  <c r="H118" i="18"/>
  <c r="D118" i="18"/>
  <c r="L118" i="18" s="1"/>
  <c r="N118" i="18" s="1"/>
  <c r="B118" i="18"/>
  <c r="T117" i="18"/>
  <c r="P117" i="18"/>
  <c r="X117" i="18" s="1"/>
  <c r="Z117" i="18" s="1"/>
  <c r="H117" i="18"/>
  <c r="D117" i="18"/>
  <c r="B117" i="18"/>
  <c r="X116" i="18"/>
  <c r="T116" i="18"/>
  <c r="Z116" i="18" s="1"/>
  <c r="P116" i="18"/>
  <c r="H116" i="18"/>
  <c r="N116" i="18" s="1"/>
  <c r="D116" i="18"/>
  <c r="L116" i="18" s="1"/>
  <c r="B116" i="18"/>
  <c r="Z115" i="18"/>
  <c r="X115" i="18"/>
  <c r="T115" i="18"/>
  <c r="P115" i="18"/>
  <c r="N115" i="18"/>
  <c r="L115" i="18"/>
  <c r="H115" i="18"/>
  <c r="D115" i="18"/>
  <c r="B115" i="18"/>
  <c r="T114" i="18"/>
  <c r="P114" i="18"/>
  <c r="X114" i="18" s="1"/>
  <c r="Z114" i="18" s="1"/>
  <c r="H114" i="18"/>
  <c r="D114" i="18"/>
  <c r="L114" i="18" s="1"/>
  <c r="N114" i="18" s="1"/>
  <c r="B114" i="18"/>
  <c r="T113" i="18"/>
  <c r="P113" i="18"/>
  <c r="X113" i="18" s="1"/>
  <c r="Z113" i="18" s="1"/>
  <c r="H113" i="18"/>
  <c r="D113" i="18"/>
  <c r="B113" i="18"/>
  <c r="X112" i="18"/>
  <c r="T112" i="18"/>
  <c r="Z112" i="18" s="1"/>
  <c r="P112" i="18"/>
  <c r="H112" i="18"/>
  <c r="N112" i="18" s="1"/>
  <c r="D112" i="18"/>
  <c r="B112" i="18"/>
  <c r="Z111" i="18"/>
  <c r="X111" i="18"/>
  <c r="T111" i="18"/>
  <c r="P111" i="18"/>
  <c r="N111" i="18"/>
  <c r="L111" i="18"/>
  <c r="H111" i="18"/>
  <c r="D111" i="18"/>
  <c r="B111" i="18"/>
  <c r="Z110" i="18"/>
  <c r="T110" i="18"/>
  <c r="P110" i="18"/>
  <c r="X110" i="18" s="1"/>
  <c r="H110" i="18"/>
  <c r="D110" i="18"/>
  <c r="L110" i="18" s="1"/>
  <c r="N110" i="18" s="1"/>
  <c r="B110" i="18"/>
  <c r="T109" i="18"/>
  <c r="P109" i="18"/>
  <c r="X109" i="18" s="1"/>
  <c r="Z109" i="18" s="1"/>
  <c r="H109" i="18"/>
  <c r="N109" i="18" s="1"/>
  <c r="D109" i="18"/>
  <c r="B109" i="18"/>
  <c r="X108" i="18"/>
  <c r="T108" i="18"/>
  <c r="Z108" i="18" s="1"/>
  <c r="P108" i="18"/>
  <c r="H108" i="18"/>
  <c r="N108" i="18" s="1"/>
  <c r="D108" i="18"/>
  <c r="L108" i="18" s="1"/>
  <c r="B108" i="18"/>
  <c r="Z107" i="18"/>
  <c r="X107" i="18"/>
  <c r="T107" i="18"/>
  <c r="P107" i="18"/>
  <c r="N107" i="18"/>
  <c r="L107" i="18"/>
  <c r="H107" i="18"/>
  <c r="D107" i="18"/>
  <c r="B107" i="18"/>
  <c r="T106" i="18"/>
  <c r="P106" i="18"/>
  <c r="X106" i="18" s="1"/>
  <c r="Z106" i="18" s="1"/>
  <c r="H106" i="18"/>
  <c r="D106" i="18"/>
  <c r="L106" i="18" s="1"/>
  <c r="N106" i="18" s="1"/>
  <c r="B106" i="18"/>
  <c r="Z105" i="18"/>
  <c r="T105" i="18"/>
  <c r="P105" i="18"/>
  <c r="X105" i="18" s="1"/>
  <c r="H105" i="18"/>
  <c r="N105" i="18" s="1"/>
  <c r="D105" i="18"/>
  <c r="B105" i="18"/>
  <c r="X104" i="18"/>
  <c r="T104" i="18"/>
  <c r="Z104" i="18" s="1"/>
  <c r="P104" i="18"/>
  <c r="H104" i="18"/>
  <c r="N104" i="18" s="1"/>
  <c r="D104" i="18"/>
  <c r="B104" i="18"/>
  <c r="Z103" i="18"/>
  <c r="X103" i="18"/>
  <c r="T103" i="18"/>
  <c r="P103" i="18"/>
  <c r="N103" i="18"/>
  <c r="L103" i="18"/>
  <c r="H103" i="18"/>
  <c r="D103" i="18"/>
  <c r="B103" i="18"/>
  <c r="Z102" i="18"/>
  <c r="T102" i="18"/>
  <c r="P102" i="18"/>
  <c r="X102" i="18" s="1"/>
  <c r="H102" i="18"/>
  <c r="D102" i="18"/>
  <c r="L102" i="18" s="1"/>
  <c r="N102" i="18" s="1"/>
  <c r="B102" i="18"/>
  <c r="T101" i="18"/>
  <c r="P101" i="18"/>
  <c r="X101" i="18" s="1"/>
  <c r="Z101" i="18" s="1"/>
  <c r="H101" i="18"/>
  <c r="D101" i="18"/>
  <c r="B101" i="18"/>
  <c r="X100" i="18"/>
  <c r="T100" i="18"/>
  <c r="Z100" i="18" s="1"/>
  <c r="P100" i="18"/>
  <c r="H100" i="18"/>
  <c r="N100" i="18" s="1"/>
  <c r="D100" i="18"/>
  <c r="B100" i="18"/>
  <c r="Z99" i="18"/>
  <c r="X99" i="18"/>
  <c r="T99" i="18"/>
  <c r="P99" i="18"/>
  <c r="N99" i="18"/>
  <c r="L99" i="18"/>
  <c r="H99" i="18"/>
  <c r="D99" i="18"/>
  <c r="B99" i="18"/>
  <c r="T98" i="18"/>
  <c r="P98" i="18"/>
  <c r="X98" i="18" s="1"/>
  <c r="Z98" i="18" s="1"/>
  <c r="N98" i="18"/>
  <c r="H98" i="18"/>
  <c r="D98" i="18"/>
  <c r="L98" i="18" s="1"/>
  <c r="B98" i="18"/>
  <c r="T97" i="18"/>
  <c r="P97" i="18"/>
  <c r="X97" i="18" s="1"/>
  <c r="Z97" i="18" s="1"/>
  <c r="H97" i="18"/>
  <c r="D97" i="18"/>
  <c r="B97" i="18"/>
  <c r="X96" i="18"/>
  <c r="T96" i="18"/>
  <c r="Z96" i="18" s="1"/>
  <c r="P96" i="18"/>
  <c r="H96" i="18"/>
  <c r="D96" i="18"/>
  <c r="L96" i="18" s="1"/>
  <c r="B96" i="18"/>
  <c r="Z95" i="18"/>
  <c r="X95" i="18"/>
  <c r="T95" i="18"/>
  <c r="P95" i="18"/>
  <c r="N95" i="18"/>
  <c r="L95" i="18"/>
  <c r="H95" i="18"/>
  <c r="D95" i="18"/>
  <c r="B95" i="18"/>
  <c r="T94" i="18"/>
  <c r="P94" i="18"/>
  <c r="X94" i="18" s="1"/>
  <c r="Z94" i="18" s="1"/>
  <c r="N94" i="18"/>
  <c r="H94" i="18"/>
  <c r="D94" i="18"/>
  <c r="L94" i="18" s="1"/>
  <c r="B94" i="18"/>
  <c r="T93" i="18"/>
  <c r="P93" i="18"/>
  <c r="X93" i="18" s="1"/>
  <c r="Z93" i="18" s="1"/>
  <c r="H93" i="18"/>
  <c r="D93" i="18"/>
  <c r="B93" i="18"/>
  <c r="X92" i="18"/>
  <c r="T92" i="18"/>
  <c r="Z92" i="18" s="1"/>
  <c r="P92" i="18"/>
  <c r="H92" i="18"/>
  <c r="D92" i="18"/>
  <c r="B92" i="18"/>
  <c r="Z91" i="18"/>
  <c r="X91" i="18"/>
  <c r="T91" i="18"/>
  <c r="P91" i="18"/>
  <c r="N91" i="18"/>
  <c r="L91" i="18"/>
  <c r="H91" i="18"/>
  <c r="D91" i="18"/>
  <c r="B91" i="18"/>
  <c r="Z90" i="18"/>
  <c r="T90" i="18"/>
  <c r="P90" i="18"/>
  <c r="X90" i="18" s="1"/>
  <c r="H90" i="18"/>
  <c r="D90" i="18"/>
  <c r="L90" i="18" s="1"/>
  <c r="N90" i="18" s="1"/>
  <c r="B90" i="18"/>
  <c r="T89" i="18"/>
  <c r="P89" i="18"/>
  <c r="X89" i="18" s="1"/>
  <c r="Z89" i="18" s="1"/>
  <c r="H89" i="18"/>
  <c r="D89" i="18"/>
  <c r="B89" i="18"/>
  <c r="X88" i="18"/>
  <c r="T88" i="18"/>
  <c r="Z88" i="18" s="1"/>
  <c r="P88" i="18"/>
  <c r="H88" i="18"/>
  <c r="N88" i="18" s="1"/>
  <c r="D88" i="18"/>
  <c r="L88" i="18" s="1"/>
  <c r="B88" i="18"/>
  <c r="Z87" i="18"/>
  <c r="X87" i="18"/>
  <c r="T87" i="18"/>
  <c r="P87" i="18"/>
  <c r="N87" i="18"/>
  <c r="L87" i="18"/>
  <c r="H87" i="18"/>
  <c r="D87" i="18"/>
  <c r="B87" i="18"/>
  <c r="T86" i="18"/>
  <c r="P86" i="18"/>
  <c r="X86" i="18" s="1"/>
  <c r="Z86" i="18" s="1"/>
  <c r="H86" i="18"/>
  <c r="D86" i="18"/>
  <c r="L86" i="18" s="1"/>
  <c r="N86" i="18" s="1"/>
  <c r="B86" i="18"/>
  <c r="T85" i="18"/>
  <c r="P85" i="18"/>
  <c r="X85" i="18" s="1"/>
  <c r="Z85" i="18" s="1"/>
  <c r="H85" i="18"/>
  <c r="D85" i="18"/>
  <c r="B85" i="18"/>
  <c r="X84" i="18"/>
  <c r="T84" i="18"/>
  <c r="Z84" i="18" s="1"/>
  <c r="P84" i="18"/>
  <c r="H84" i="18"/>
  <c r="N84" i="18" s="1"/>
  <c r="D84" i="18"/>
  <c r="B84" i="18"/>
  <c r="Z83" i="18"/>
  <c r="X83" i="18"/>
  <c r="T83" i="18"/>
  <c r="P83" i="18"/>
  <c r="N83" i="18"/>
  <c r="L83" i="18"/>
  <c r="H83" i="18"/>
  <c r="D83" i="18"/>
  <c r="B83" i="18"/>
  <c r="Z82" i="18"/>
  <c r="T82" i="18"/>
  <c r="P82" i="18"/>
  <c r="X82" i="18" s="1"/>
  <c r="H82" i="18"/>
  <c r="D82" i="18"/>
  <c r="L82" i="18" s="1"/>
  <c r="N82" i="18" s="1"/>
  <c r="B82" i="18"/>
  <c r="T81" i="18"/>
  <c r="P81" i="18"/>
  <c r="X81" i="18" s="1"/>
  <c r="Z81" i="18" s="1"/>
  <c r="H81" i="18"/>
  <c r="N81" i="18" s="1"/>
  <c r="D81" i="18"/>
  <c r="B81" i="18"/>
  <c r="X80" i="18"/>
  <c r="T80" i="18"/>
  <c r="Z80" i="18" s="1"/>
  <c r="P80" i="18"/>
  <c r="H80" i="18"/>
  <c r="D80" i="18"/>
  <c r="B80" i="18"/>
  <c r="Z79" i="18"/>
  <c r="X79" i="18"/>
  <c r="T79" i="18"/>
  <c r="P79" i="18"/>
  <c r="N79" i="18"/>
  <c r="L79" i="18"/>
  <c r="H79" i="18"/>
  <c r="D79" i="18"/>
  <c r="B79" i="18"/>
  <c r="T78" i="18"/>
  <c r="P78" i="18"/>
  <c r="X78" i="18" s="1"/>
  <c r="Z78" i="18" s="1"/>
  <c r="N78" i="18"/>
  <c r="H78" i="18"/>
  <c r="D78" i="18"/>
  <c r="L78" i="18" s="1"/>
  <c r="B78" i="18"/>
  <c r="T77" i="18"/>
  <c r="P77" i="18"/>
  <c r="X77" i="18" s="1"/>
  <c r="Z77" i="18" s="1"/>
  <c r="H77" i="18"/>
  <c r="D77" i="18"/>
  <c r="B77" i="18"/>
  <c r="X76" i="18"/>
  <c r="T76" i="18"/>
  <c r="Z76" i="18" s="1"/>
  <c r="P76" i="18"/>
  <c r="H76" i="18"/>
  <c r="D76" i="18"/>
  <c r="L76" i="18" s="1"/>
  <c r="B76" i="18"/>
  <c r="Z75" i="18"/>
  <c r="X75" i="18"/>
  <c r="T75" i="18"/>
  <c r="P75" i="18"/>
  <c r="N75" i="18"/>
  <c r="L75" i="18"/>
  <c r="H75" i="18"/>
  <c r="D75" i="18"/>
  <c r="B75" i="18"/>
  <c r="T74" i="18"/>
  <c r="P74" i="18"/>
  <c r="X74" i="18" s="1"/>
  <c r="Z74" i="18" s="1"/>
  <c r="H74" i="18"/>
  <c r="D74" i="18"/>
  <c r="L74" i="18" s="1"/>
  <c r="N74" i="18" s="1"/>
  <c r="B74" i="18"/>
  <c r="T73" i="18"/>
  <c r="P73" i="18"/>
  <c r="X73" i="18" s="1"/>
  <c r="Z73" i="18" s="1"/>
  <c r="H73" i="18"/>
  <c r="D73" i="18"/>
  <c r="B73" i="18"/>
  <c r="X72" i="18"/>
  <c r="T72" i="18"/>
  <c r="Z72" i="18" s="1"/>
  <c r="P72" i="18"/>
  <c r="H72" i="18"/>
  <c r="D72" i="18"/>
  <c r="B72" i="18"/>
  <c r="Z71" i="18"/>
  <c r="X71" i="18"/>
  <c r="T71" i="18"/>
  <c r="P71" i="18"/>
  <c r="N71" i="18"/>
  <c r="L71" i="18"/>
  <c r="H71" i="18"/>
  <c r="D71" i="18"/>
  <c r="B71" i="18"/>
  <c r="Z70" i="18"/>
  <c r="T70" i="18"/>
  <c r="P70" i="18"/>
  <c r="X70" i="18" s="1"/>
  <c r="H70" i="18"/>
  <c r="D70" i="18"/>
  <c r="L70" i="18" s="1"/>
  <c r="N70" i="18" s="1"/>
  <c r="B70" i="18"/>
  <c r="T69" i="18"/>
  <c r="P69" i="18"/>
  <c r="X69" i="18" s="1"/>
  <c r="Z69" i="18" s="1"/>
  <c r="H69" i="18"/>
  <c r="D69" i="18"/>
  <c r="B69" i="18"/>
  <c r="X68" i="18"/>
  <c r="T68" i="18"/>
  <c r="Z68" i="18" s="1"/>
  <c r="P68" i="18"/>
  <c r="H68" i="18"/>
  <c r="D68" i="18"/>
  <c r="L68" i="18" s="1"/>
  <c r="B68" i="18"/>
  <c r="Z67" i="18"/>
  <c r="X67" i="18"/>
  <c r="T67" i="18"/>
  <c r="P67" i="18"/>
  <c r="N67" i="18"/>
  <c r="L67" i="18"/>
  <c r="H67" i="18"/>
  <c r="D67" i="18"/>
  <c r="B67" i="18"/>
  <c r="T66" i="18"/>
  <c r="P66" i="18"/>
  <c r="X66" i="18" s="1"/>
  <c r="Z66" i="18" s="1"/>
  <c r="H66" i="18"/>
  <c r="D66" i="18"/>
  <c r="L66" i="18" s="1"/>
  <c r="N66" i="18" s="1"/>
  <c r="B66" i="18"/>
  <c r="T65" i="18"/>
  <c r="P65" i="18"/>
  <c r="X65" i="18" s="1"/>
  <c r="Z65" i="18" s="1"/>
  <c r="H65" i="18"/>
  <c r="N65" i="18" s="1"/>
  <c r="D65" i="18"/>
  <c r="B65" i="18"/>
  <c r="X64" i="18"/>
  <c r="T64" i="18"/>
  <c r="Z64" i="18" s="1"/>
  <c r="P64" i="18"/>
  <c r="H64" i="18"/>
  <c r="D64" i="18"/>
  <c r="L64" i="18" s="1"/>
  <c r="B64" i="18"/>
  <c r="Z63" i="18"/>
  <c r="X63" i="18"/>
  <c r="T63" i="18"/>
  <c r="P63" i="18"/>
  <c r="N63" i="18"/>
  <c r="L63" i="18"/>
  <c r="H63" i="18"/>
  <c r="D63" i="18"/>
  <c r="B63" i="18"/>
  <c r="Z62" i="18"/>
  <c r="T62" i="18"/>
  <c r="P62" i="18"/>
  <c r="X62" i="18" s="1"/>
  <c r="H62" i="18"/>
  <c r="D62" i="18"/>
  <c r="L62" i="18" s="1"/>
  <c r="N62" i="18" s="1"/>
  <c r="B62" i="18"/>
  <c r="T61" i="18"/>
  <c r="P61" i="18"/>
  <c r="X61" i="18" s="1"/>
  <c r="Z61" i="18" s="1"/>
  <c r="H61" i="18"/>
  <c r="D61" i="18"/>
  <c r="B61" i="18"/>
  <c r="X60" i="18"/>
  <c r="T60" i="18"/>
  <c r="Z60" i="18" s="1"/>
  <c r="P60" i="18"/>
  <c r="H60" i="18"/>
  <c r="D60" i="18"/>
  <c r="L60" i="18" s="1"/>
  <c r="B60" i="18"/>
  <c r="Z59" i="18"/>
  <c r="X59" i="18"/>
  <c r="T59" i="18"/>
  <c r="P59" i="18"/>
  <c r="N59" i="18"/>
  <c r="L59" i="18"/>
  <c r="H59" i="18"/>
  <c r="D59" i="18"/>
  <c r="B59" i="18"/>
  <c r="Z58" i="18"/>
  <c r="T58" i="18"/>
  <c r="P58" i="18"/>
  <c r="X58" i="18" s="1"/>
  <c r="H58" i="18"/>
  <c r="D58" i="18"/>
  <c r="L58" i="18" s="1"/>
  <c r="N58" i="18" s="1"/>
  <c r="B58" i="18"/>
  <c r="T57" i="18"/>
  <c r="P57" i="18"/>
  <c r="X57" i="18" s="1"/>
  <c r="Z57" i="18" s="1"/>
  <c r="H57" i="18"/>
  <c r="D57" i="18"/>
  <c r="B57" i="18"/>
  <c r="X56" i="18"/>
  <c r="T56" i="18"/>
  <c r="Z56" i="18" s="1"/>
  <c r="P56" i="18"/>
  <c r="H56" i="18"/>
  <c r="N56" i="18" s="1"/>
  <c r="D56" i="18"/>
  <c r="L56" i="18" s="1"/>
  <c r="B56" i="18"/>
  <c r="Z55" i="18"/>
  <c r="X55" i="18"/>
  <c r="T55" i="18"/>
  <c r="P55" i="18"/>
  <c r="N55" i="18"/>
  <c r="L55" i="18"/>
  <c r="H55" i="18"/>
  <c r="D55" i="18"/>
  <c r="B55" i="18"/>
  <c r="T54" i="18"/>
  <c r="P54" i="18"/>
  <c r="X54" i="18" s="1"/>
  <c r="Z54" i="18" s="1"/>
  <c r="H54" i="18"/>
  <c r="D54" i="18"/>
  <c r="L54" i="18" s="1"/>
  <c r="N54" i="18" s="1"/>
  <c r="B54" i="18"/>
  <c r="T53" i="18"/>
  <c r="P53" i="18"/>
  <c r="X53" i="18" s="1"/>
  <c r="Z53" i="18" s="1"/>
  <c r="H53" i="18"/>
  <c r="N53" i="18" s="1"/>
  <c r="D53" i="18"/>
  <c r="B53" i="18"/>
  <c r="X52" i="18"/>
  <c r="T52" i="18"/>
  <c r="Z52" i="18" s="1"/>
  <c r="P52" i="18"/>
  <c r="H52" i="18"/>
  <c r="D52" i="18"/>
  <c r="L52" i="18" s="1"/>
  <c r="B52" i="18"/>
  <c r="Z51" i="18"/>
  <c r="X51" i="18"/>
  <c r="T51" i="18"/>
  <c r="P51" i="18"/>
  <c r="N51" i="18"/>
  <c r="L51" i="18"/>
  <c r="H51" i="18"/>
  <c r="D51" i="18"/>
  <c r="B51" i="18"/>
  <c r="T50" i="18"/>
  <c r="P50" i="18"/>
  <c r="X50" i="18" s="1"/>
  <c r="Z50" i="18" s="1"/>
  <c r="H50" i="18"/>
  <c r="D50" i="18"/>
  <c r="L50" i="18" s="1"/>
  <c r="N50" i="18" s="1"/>
  <c r="B50" i="18"/>
  <c r="T49" i="18"/>
  <c r="P49" i="18"/>
  <c r="X49" i="18" s="1"/>
  <c r="Z49" i="18" s="1"/>
  <c r="H49" i="18"/>
  <c r="D49" i="18"/>
  <c r="B49" i="18"/>
  <c r="X48" i="18"/>
  <c r="T48" i="18"/>
  <c r="Z48" i="18" s="1"/>
  <c r="P48" i="18"/>
  <c r="H48" i="18"/>
  <c r="D48" i="18"/>
  <c r="B48" i="18"/>
  <c r="Z47" i="18"/>
  <c r="X47" i="18"/>
  <c r="T47" i="18"/>
  <c r="P47" i="18"/>
  <c r="N47" i="18"/>
  <c r="L47" i="18"/>
  <c r="H47" i="18"/>
  <c r="D47" i="18"/>
  <c r="B47" i="18"/>
  <c r="Z46" i="18"/>
  <c r="T46" i="18"/>
  <c r="P46" i="18"/>
  <c r="X46" i="18" s="1"/>
  <c r="H46" i="18"/>
  <c r="D46" i="18"/>
  <c r="L46" i="18" s="1"/>
  <c r="N46" i="18" s="1"/>
  <c r="B46" i="18"/>
  <c r="T45" i="18"/>
  <c r="P45" i="18"/>
  <c r="X45" i="18" s="1"/>
  <c r="Z45" i="18" s="1"/>
  <c r="L45" i="18"/>
  <c r="H45" i="18"/>
  <c r="N45" i="18" s="1"/>
  <c r="D45" i="18"/>
  <c r="B45" i="18"/>
  <c r="X44" i="18"/>
  <c r="T44" i="18"/>
  <c r="Z44" i="18" s="1"/>
  <c r="P44" i="18"/>
  <c r="H44" i="18"/>
  <c r="N44" i="18" s="1"/>
  <c r="D44" i="18"/>
  <c r="L44" i="18" s="1"/>
  <c r="B44" i="18"/>
  <c r="Z43" i="18"/>
  <c r="X43" i="18"/>
  <c r="T43" i="18"/>
  <c r="P43" i="18"/>
  <c r="N43" i="18"/>
  <c r="L43" i="18"/>
  <c r="H43" i="18"/>
  <c r="D43" i="18"/>
  <c r="B43" i="18"/>
  <c r="T42" i="18"/>
  <c r="P42" i="18"/>
  <c r="X42" i="18" s="1"/>
  <c r="Z42" i="18" s="1"/>
  <c r="H42" i="18"/>
  <c r="D42" i="18"/>
  <c r="L42" i="18" s="1"/>
  <c r="N42" i="18" s="1"/>
  <c r="B42" i="18"/>
  <c r="T41" i="18"/>
  <c r="P41" i="18"/>
  <c r="X41" i="18" s="1"/>
  <c r="Z41" i="18" s="1"/>
  <c r="L41" i="18"/>
  <c r="H41" i="18"/>
  <c r="N41" i="18" s="1"/>
  <c r="D41" i="18"/>
  <c r="B41" i="18"/>
  <c r="X40" i="18"/>
  <c r="T40" i="18"/>
  <c r="Z40" i="18" s="1"/>
  <c r="P40" i="18"/>
  <c r="H40" i="18"/>
  <c r="D40" i="18"/>
  <c r="L40" i="18" s="1"/>
  <c r="B40" i="18"/>
  <c r="Z39" i="18"/>
  <c r="X39" i="18"/>
  <c r="T39" i="18"/>
  <c r="P39" i="18"/>
  <c r="N39" i="18"/>
  <c r="L39" i="18"/>
  <c r="H39" i="18"/>
  <c r="D39" i="18"/>
  <c r="B39" i="18"/>
  <c r="Z38" i="18"/>
  <c r="T38" i="18"/>
  <c r="P38" i="18"/>
  <c r="X38" i="18" s="1"/>
  <c r="H38" i="18"/>
  <c r="D38" i="18"/>
  <c r="L38" i="18" s="1"/>
  <c r="N38" i="18" s="1"/>
  <c r="B38" i="18"/>
  <c r="T37" i="18"/>
  <c r="P37" i="18"/>
  <c r="X37" i="18" s="1"/>
  <c r="Z37" i="18" s="1"/>
  <c r="L37" i="18"/>
  <c r="H37" i="18"/>
  <c r="N37" i="18" s="1"/>
  <c r="D37" i="18"/>
  <c r="B37" i="18"/>
  <c r="X36" i="18"/>
  <c r="T36" i="18"/>
  <c r="Z36" i="18" s="1"/>
  <c r="P36" i="18"/>
  <c r="H36" i="18"/>
  <c r="D36" i="18"/>
  <c r="B36" i="18"/>
  <c r="Z35" i="18"/>
  <c r="X35" i="18"/>
  <c r="T35" i="18"/>
  <c r="P35" i="18"/>
  <c r="N35" i="18"/>
  <c r="L35" i="18"/>
  <c r="H35" i="18"/>
  <c r="D35" i="18"/>
  <c r="B35" i="18"/>
  <c r="Z34" i="18"/>
  <c r="T34" i="18"/>
  <c r="P34" i="18"/>
  <c r="X34" i="18" s="1"/>
  <c r="H34" i="18"/>
  <c r="D34" i="18"/>
  <c r="L34" i="18" s="1"/>
  <c r="N34" i="18" s="1"/>
  <c r="B34" i="18"/>
  <c r="T33" i="18"/>
  <c r="P33" i="18"/>
  <c r="X33" i="18" s="1"/>
  <c r="Z33" i="18" s="1"/>
  <c r="L33" i="18"/>
  <c r="H33" i="18"/>
  <c r="N33" i="18" s="1"/>
  <c r="D33" i="18"/>
  <c r="B33" i="18"/>
  <c r="X32" i="18"/>
  <c r="T32" i="18"/>
  <c r="Z32" i="18" s="1"/>
  <c r="P32" i="18"/>
  <c r="H32" i="18"/>
  <c r="D32" i="18"/>
  <c r="B32" i="18"/>
  <c r="Z31" i="18"/>
  <c r="X31" i="18"/>
  <c r="T31" i="18"/>
  <c r="P31" i="18"/>
  <c r="N31" i="18"/>
  <c r="L31" i="18"/>
  <c r="H31" i="18"/>
  <c r="D31" i="18"/>
  <c r="B31" i="18"/>
  <c r="Z30" i="18"/>
  <c r="T30" i="18"/>
  <c r="P30" i="18"/>
  <c r="X30" i="18" s="1"/>
  <c r="H30" i="18"/>
  <c r="D30" i="18"/>
  <c r="L30" i="18" s="1"/>
  <c r="N30" i="18" s="1"/>
  <c r="B30" i="18"/>
  <c r="T29" i="18"/>
  <c r="P29" i="18"/>
  <c r="X29" i="18" s="1"/>
  <c r="Z29" i="18" s="1"/>
  <c r="L29" i="18"/>
  <c r="H29" i="18"/>
  <c r="N29" i="18" s="1"/>
  <c r="D29" i="18"/>
  <c r="B29" i="18"/>
  <c r="X28" i="18"/>
  <c r="T28" i="18"/>
  <c r="Z28" i="18" s="1"/>
  <c r="P28" i="18"/>
  <c r="H28" i="18"/>
  <c r="D28" i="18"/>
  <c r="L28" i="18" s="1"/>
  <c r="B28" i="18"/>
  <c r="Z27" i="18"/>
  <c r="X27" i="18"/>
  <c r="T27" i="18"/>
  <c r="P27" i="18"/>
  <c r="N27" i="18"/>
  <c r="L27" i="18"/>
  <c r="H27" i="18"/>
  <c r="D27" i="18"/>
  <c r="B27" i="18"/>
  <c r="T26" i="18"/>
  <c r="P26" i="18"/>
  <c r="X26" i="18" s="1"/>
  <c r="Z26" i="18" s="1"/>
  <c r="H26" i="18"/>
  <c r="D26" i="18"/>
  <c r="L26" i="18" s="1"/>
  <c r="N26" i="18" s="1"/>
  <c r="B26" i="18"/>
  <c r="T25" i="18"/>
  <c r="P25" i="18"/>
  <c r="X25" i="18" s="1"/>
  <c r="Z25" i="18" s="1"/>
  <c r="L25" i="18"/>
  <c r="H25" i="18"/>
  <c r="N25" i="18" s="1"/>
  <c r="D25" i="18"/>
  <c r="B25" i="18"/>
  <c r="X24" i="18"/>
  <c r="T24" i="18"/>
  <c r="Z24" i="18" s="1"/>
  <c r="P24" i="18"/>
  <c r="H24" i="18"/>
  <c r="D24" i="18"/>
  <c r="L24" i="18" s="1"/>
  <c r="B24" i="18"/>
  <c r="Z23" i="18"/>
  <c r="X23" i="18"/>
  <c r="T23" i="18"/>
  <c r="P23" i="18"/>
  <c r="N23" i="18"/>
  <c r="L23" i="18"/>
  <c r="H23" i="18"/>
  <c r="D23" i="18"/>
  <c r="B23" i="18"/>
  <c r="Z22" i="18"/>
  <c r="T22" i="18"/>
  <c r="P22" i="18"/>
  <c r="X22" i="18" s="1"/>
  <c r="H22" i="18"/>
  <c r="D22" i="18"/>
  <c r="L22" i="18" s="1"/>
  <c r="N22" i="18" s="1"/>
  <c r="B22" i="18"/>
  <c r="T21" i="18"/>
  <c r="P21" i="18"/>
  <c r="X21" i="18" s="1"/>
  <c r="Z21" i="18" s="1"/>
  <c r="L21" i="18"/>
  <c r="H21" i="18"/>
  <c r="N21" i="18" s="1"/>
  <c r="D21" i="18"/>
  <c r="B21" i="18"/>
  <c r="X20" i="18"/>
  <c r="T20" i="18"/>
  <c r="Z20" i="18" s="1"/>
  <c r="P20" i="18"/>
  <c r="H20" i="18"/>
  <c r="D20" i="18"/>
  <c r="B20" i="18"/>
  <c r="Z19" i="18"/>
  <c r="X19" i="18"/>
  <c r="T19" i="18"/>
  <c r="P19" i="18"/>
  <c r="N19" i="18"/>
  <c r="L19" i="18"/>
  <c r="H19" i="18"/>
  <c r="D19" i="18"/>
  <c r="B19" i="18"/>
  <c r="Z18" i="18"/>
  <c r="T18" i="18"/>
  <c r="P18" i="18"/>
  <c r="X18" i="18" s="1"/>
  <c r="N18" i="18"/>
  <c r="H18" i="18"/>
  <c r="D18" i="18"/>
  <c r="L18" i="18" s="1"/>
  <c r="B18" i="18"/>
  <c r="T17" i="18"/>
  <c r="P17" i="18"/>
  <c r="X17" i="18" s="1"/>
  <c r="Z17" i="18" s="1"/>
  <c r="L17" i="18"/>
  <c r="H17" i="18"/>
  <c r="N17" i="18" s="1"/>
  <c r="D17" i="18"/>
  <c r="B17" i="18"/>
  <c r="X16" i="18"/>
  <c r="T16" i="18"/>
  <c r="Z16" i="18" s="1"/>
  <c r="P16" i="18"/>
  <c r="H16" i="18"/>
  <c r="H12" i="18" s="1"/>
  <c r="D16" i="18"/>
  <c r="B16" i="18"/>
  <c r="Z15" i="18"/>
  <c r="X15" i="18"/>
  <c r="T15" i="18"/>
  <c r="P15" i="18"/>
  <c r="N15" i="18"/>
  <c r="L15" i="18"/>
  <c r="H15" i="18"/>
  <c r="D15" i="18"/>
  <c r="B15" i="18"/>
  <c r="Z14" i="18"/>
  <c r="T14" i="18"/>
  <c r="T12" i="18" s="1"/>
  <c r="P14" i="18"/>
  <c r="X14" i="18" s="1"/>
  <c r="H14" i="18"/>
  <c r="D14" i="18"/>
  <c r="L14" i="18" s="1"/>
  <c r="N14" i="18" s="1"/>
  <c r="B14" i="18"/>
  <c r="Z13" i="18"/>
  <c r="T13" i="18"/>
  <c r="P13" i="18"/>
  <c r="L13" i="18"/>
  <c r="H13" i="18"/>
  <c r="N13" i="18" s="1"/>
  <c r="D13" i="18"/>
  <c r="D12" i="18" s="1"/>
  <c r="F246" i="18" s="1"/>
  <c r="B13" i="18"/>
  <c r="D4" i="18"/>
  <c r="Z262" i="15"/>
  <c r="X262" i="15"/>
  <c r="N262" i="15"/>
  <c r="L262" i="15"/>
  <c r="X258" i="15"/>
  <c r="T258" i="15"/>
  <c r="Z258" i="15" s="1"/>
  <c r="P258" i="15"/>
  <c r="N258" i="15"/>
  <c r="H258" i="15"/>
  <c r="D258" i="15"/>
  <c r="L258" i="15" s="1"/>
  <c r="B258" i="15"/>
  <c r="T257" i="15"/>
  <c r="P257" i="15"/>
  <c r="X257" i="15" s="1"/>
  <c r="Z257" i="15" s="1"/>
  <c r="H257" i="15"/>
  <c r="D257" i="15"/>
  <c r="L257" i="15" s="1"/>
  <c r="N257" i="15" s="1"/>
  <c r="B257" i="15"/>
  <c r="Z256" i="15"/>
  <c r="T256" i="15"/>
  <c r="P256" i="15"/>
  <c r="X256" i="15" s="1"/>
  <c r="H256" i="15"/>
  <c r="N256" i="15" s="1"/>
  <c r="D256" i="15"/>
  <c r="B256" i="15"/>
  <c r="T255" i="15"/>
  <c r="P255" i="15"/>
  <c r="H255" i="15"/>
  <c r="D255" i="15"/>
  <c r="L255" i="15" s="1"/>
  <c r="B255" i="15"/>
  <c r="T254" i="15"/>
  <c r="P254" i="15"/>
  <c r="L254" i="15"/>
  <c r="H254" i="15"/>
  <c r="N254" i="15" s="1"/>
  <c r="D254" i="15"/>
  <c r="B254" i="15"/>
  <c r="X253" i="15"/>
  <c r="Z253" i="15" s="1"/>
  <c r="T253" i="15"/>
  <c r="P253" i="15"/>
  <c r="N253" i="15"/>
  <c r="H253" i="15"/>
  <c r="D253" i="15"/>
  <c r="L253" i="15" s="1"/>
  <c r="B253" i="15"/>
  <c r="T252" i="15"/>
  <c r="P252" i="15"/>
  <c r="X252" i="15" s="1"/>
  <c r="Z252" i="15" s="1"/>
  <c r="L252" i="15"/>
  <c r="H252" i="15"/>
  <c r="N252" i="15" s="1"/>
  <c r="D252" i="15"/>
  <c r="B252" i="15"/>
  <c r="T251" i="15"/>
  <c r="P251" i="15"/>
  <c r="X251" i="15" s="1"/>
  <c r="Z251" i="15" s="1"/>
  <c r="H251" i="15"/>
  <c r="D251" i="15"/>
  <c r="L251" i="15" s="1"/>
  <c r="N251" i="15" s="1"/>
  <c r="B251" i="15"/>
  <c r="T250" i="15"/>
  <c r="P250" i="15"/>
  <c r="P249" i="15" s="1"/>
  <c r="N250" i="15"/>
  <c r="H250" i="15"/>
  <c r="D250" i="15"/>
  <c r="L250" i="15" s="1"/>
  <c r="B250" i="15"/>
  <c r="X247" i="15"/>
  <c r="Z247" i="15" s="1"/>
  <c r="N247" i="15"/>
  <c r="L247" i="15"/>
  <c r="B247" i="15"/>
  <c r="Z246" i="15"/>
  <c r="T246" i="15"/>
  <c r="P246" i="15"/>
  <c r="X246" i="15" s="1"/>
  <c r="L246" i="15"/>
  <c r="H246" i="15"/>
  <c r="N246" i="15" s="1"/>
  <c r="D246" i="15"/>
  <c r="B246" i="15"/>
  <c r="Z245" i="15"/>
  <c r="X245" i="15"/>
  <c r="N245" i="15"/>
  <c r="L245" i="15"/>
  <c r="B245" i="15"/>
  <c r="X244" i="15"/>
  <c r="Z244" i="15" s="1"/>
  <c r="N244" i="15"/>
  <c r="L244" i="15"/>
  <c r="B244" i="15"/>
  <c r="Z243" i="15"/>
  <c r="X243" i="15"/>
  <c r="N243" i="15"/>
  <c r="L243" i="15"/>
  <c r="B243" i="15"/>
  <c r="X242" i="15"/>
  <c r="T242" i="15"/>
  <c r="Z242" i="15" s="1"/>
  <c r="P242" i="15"/>
  <c r="H242" i="15"/>
  <c r="D242" i="15"/>
  <c r="B242" i="15"/>
  <c r="Z241" i="15"/>
  <c r="X241" i="15"/>
  <c r="N241" i="15"/>
  <c r="L241" i="15"/>
  <c r="B241" i="15"/>
  <c r="T240" i="15"/>
  <c r="P240" i="15"/>
  <c r="H240" i="15"/>
  <c r="D240" i="15"/>
  <c r="L240" i="15" s="1"/>
  <c r="N240" i="15" s="1"/>
  <c r="B240" i="15"/>
  <c r="Z239" i="15"/>
  <c r="X239" i="15"/>
  <c r="N239" i="15"/>
  <c r="L239" i="15"/>
  <c r="B239" i="15"/>
  <c r="Z238" i="15"/>
  <c r="X238" i="15"/>
  <c r="L238" i="15"/>
  <c r="N238" i="15" s="1"/>
  <c r="B238" i="15"/>
  <c r="T237" i="15"/>
  <c r="P237" i="15"/>
  <c r="H237" i="15"/>
  <c r="D237" i="15"/>
  <c r="L237" i="15" s="1"/>
  <c r="N237" i="15" s="1"/>
  <c r="B237" i="15"/>
  <c r="X236" i="15"/>
  <c r="Z236" i="15" s="1"/>
  <c r="L236" i="15"/>
  <c r="N236" i="15" s="1"/>
  <c r="B236" i="15"/>
  <c r="Z235" i="15"/>
  <c r="X235" i="15"/>
  <c r="L235" i="15"/>
  <c r="N235" i="15" s="1"/>
  <c r="B235" i="15"/>
  <c r="X234" i="15"/>
  <c r="Z234" i="15" s="1"/>
  <c r="N234" i="15"/>
  <c r="L234" i="15"/>
  <c r="B234" i="15"/>
  <c r="Z233" i="15"/>
  <c r="X233" i="15"/>
  <c r="N233" i="15"/>
  <c r="L233" i="15"/>
  <c r="B233" i="15"/>
  <c r="X232" i="15"/>
  <c r="Z232" i="15" s="1"/>
  <c r="L232" i="15"/>
  <c r="N232" i="15" s="1"/>
  <c r="B232" i="15"/>
  <c r="Z231" i="15"/>
  <c r="X231" i="15"/>
  <c r="L231" i="15"/>
  <c r="N231" i="15" s="1"/>
  <c r="B231" i="15"/>
  <c r="X230" i="15"/>
  <c r="Z230" i="15" s="1"/>
  <c r="N230" i="15"/>
  <c r="L230" i="15"/>
  <c r="B230" i="15"/>
  <c r="T229" i="15"/>
  <c r="P229" i="15"/>
  <c r="X229" i="15" s="1"/>
  <c r="Z229" i="15" s="1"/>
  <c r="H229" i="15"/>
  <c r="D229" i="15"/>
  <c r="L229" i="15" s="1"/>
  <c r="N229" i="15" s="1"/>
  <c r="B229" i="15"/>
  <c r="X228" i="15"/>
  <c r="Z228" i="15" s="1"/>
  <c r="L228" i="15"/>
  <c r="N228" i="15" s="1"/>
  <c r="B228" i="15"/>
  <c r="X227" i="15"/>
  <c r="Z227" i="15" s="1"/>
  <c r="N227" i="15"/>
  <c r="L227" i="15"/>
  <c r="B227" i="15"/>
  <c r="T226" i="15"/>
  <c r="P226" i="15"/>
  <c r="X226" i="15" s="1"/>
  <c r="Z226" i="15" s="1"/>
  <c r="H226" i="15"/>
  <c r="D226" i="15"/>
  <c r="L226" i="15" s="1"/>
  <c r="B226" i="15"/>
  <c r="Z225" i="15"/>
  <c r="X225" i="15"/>
  <c r="N225" i="15"/>
  <c r="L225" i="15"/>
  <c r="B225" i="15"/>
  <c r="X224" i="15"/>
  <c r="Z224" i="15" s="1"/>
  <c r="L224" i="15"/>
  <c r="N224" i="15" s="1"/>
  <c r="B224" i="15"/>
  <c r="Z223" i="15"/>
  <c r="X223" i="15"/>
  <c r="N223" i="15"/>
  <c r="L223" i="15"/>
  <c r="B223" i="15"/>
  <c r="Z222" i="15"/>
  <c r="X222" i="15"/>
  <c r="L222" i="15"/>
  <c r="N222" i="15" s="1"/>
  <c r="B222" i="15"/>
  <c r="T221" i="15"/>
  <c r="P221" i="15"/>
  <c r="H221" i="15"/>
  <c r="D221" i="15"/>
  <c r="L221" i="15" s="1"/>
  <c r="N221" i="15" s="1"/>
  <c r="B221" i="15"/>
  <c r="X220" i="15"/>
  <c r="Z220" i="15" s="1"/>
  <c r="L220" i="15"/>
  <c r="N220" i="15" s="1"/>
  <c r="B220" i="15"/>
  <c r="Z219" i="15"/>
  <c r="X219" i="15"/>
  <c r="L219" i="15"/>
  <c r="N219" i="15" s="1"/>
  <c r="B219" i="15"/>
  <c r="X218" i="15"/>
  <c r="Z218" i="15" s="1"/>
  <c r="N218" i="15"/>
  <c r="L218" i="15"/>
  <c r="B218" i="15"/>
  <c r="T217" i="15"/>
  <c r="P217" i="15"/>
  <c r="X217" i="15" s="1"/>
  <c r="Z217" i="15" s="1"/>
  <c r="H217" i="15"/>
  <c r="D217" i="15"/>
  <c r="L217" i="15" s="1"/>
  <c r="N217" i="15" s="1"/>
  <c r="B217" i="15"/>
  <c r="X216" i="15"/>
  <c r="Z216" i="15" s="1"/>
  <c r="L216" i="15"/>
  <c r="N216" i="15" s="1"/>
  <c r="B216" i="15"/>
  <c r="X215" i="15"/>
  <c r="Z215" i="15" s="1"/>
  <c r="N215" i="15"/>
  <c r="L215" i="15"/>
  <c r="B215" i="15"/>
  <c r="Z214" i="15"/>
  <c r="X214" i="15"/>
  <c r="N214" i="15"/>
  <c r="L214" i="15"/>
  <c r="B214" i="15"/>
  <c r="Z213" i="15"/>
  <c r="X213" i="15"/>
  <c r="N213" i="15"/>
  <c r="L213" i="15"/>
  <c r="B213" i="15"/>
  <c r="T212" i="15"/>
  <c r="P212" i="15"/>
  <c r="H212" i="15"/>
  <c r="D212" i="15"/>
  <c r="L212" i="15" s="1"/>
  <c r="N212" i="15" s="1"/>
  <c r="B212" i="15"/>
  <c r="Z211" i="15"/>
  <c r="X211" i="15"/>
  <c r="N211" i="15"/>
  <c r="L211" i="15"/>
  <c r="B211" i="15"/>
  <c r="T210" i="15"/>
  <c r="P210" i="15"/>
  <c r="X210" i="15" s="1"/>
  <c r="Z210" i="15" s="1"/>
  <c r="L210" i="15"/>
  <c r="H210" i="15"/>
  <c r="N210" i="15" s="1"/>
  <c r="D210" i="15"/>
  <c r="B210" i="15"/>
  <c r="Z209" i="15"/>
  <c r="X209" i="15"/>
  <c r="N209" i="15"/>
  <c r="L209" i="15"/>
  <c r="B209" i="15"/>
  <c r="T208" i="15"/>
  <c r="P208" i="15"/>
  <c r="L208" i="15"/>
  <c r="H208" i="15"/>
  <c r="N208" i="15" s="1"/>
  <c r="D208" i="15"/>
  <c r="B208" i="15"/>
  <c r="X207" i="15"/>
  <c r="Z207" i="15" s="1"/>
  <c r="N207" i="15"/>
  <c r="L207" i="15"/>
  <c r="B207" i="15"/>
  <c r="T206" i="15"/>
  <c r="P206" i="15"/>
  <c r="X206" i="15" s="1"/>
  <c r="Z206" i="15" s="1"/>
  <c r="H206" i="15"/>
  <c r="D206" i="15"/>
  <c r="L206" i="15" s="1"/>
  <c r="B206" i="15"/>
  <c r="Z205" i="15"/>
  <c r="X205" i="15"/>
  <c r="N205" i="15"/>
  <c r="L205" i="15"/>
  <c r="B205" i="15"/>
  <c r="X204" i="15"/>
  <c r="T204" i="15"/>
  <c r="P204" i="15"/>
  <c r="H204" i="15"/>
  <c r="D204" i="15"/>
  <c r="L204" i="15" s="1"/>
  <c r="N204" i="15" s="1"/>
  <c r="B204" i="15"/>
  <c r="Z203" i="15"/>
  <c r="X203" i="15"/>
  <c r="L203" i="15"/>
  <c r="N203" i="15" s="1"/>
  <c r="B203" i="15"/>
  <c r="T202" i="15"/>
  <c r="P202" i="15"/>
  <c r="J202" i="15"/>
  <c r="H202" i="15"/>
  <c r="D202" i="15"/>
  <c r="L202" i="15" s="1"/>
  <c r="B202" i="15"/>
  <c r="Z201" i="15"/>
  <c r="X201" i="15"/>
  <c r="N201" i="15"/>
  <c r="L201" i="15"/>
  <c r="B201" i="15"/>
  <c r="X200" i="15"/>
  <c r="Z200" i="15" s="1"/>
  <c r="L200" i="15"/>
  <c r="N200" i="15" s="1"/>
  <c r="B200" i="15"/>
  <c r="X199" i="15"/>
  <c r="Z199" i="15" s="1"/>
  <c r="T199" i="15"/>
  <c r="P199" i="15"/>
  <c r="H199" i="15"/>
  <c r="L199" i="15" s="1"/>
  <c r="N199" i="15" s="1"/>
  <c r="D199" i="15"/>
  <c r="B199" i="15"/>
  <c r="Z198" i="15"/>
  <c r="X198" i="15"/>
  <c r="L198" i="15"/>
  <c r="N198" i="15" s="1"/>
  <c r="B198" i="15"/>
  <c r="T197" i="15"/>
  <c r="P197" i="15"/>
  <c r="H197" i="15"/>
  <c r="N197" i="15" s="1"/>
  <c r="D197" i="15"/>
  <c r="L197" i="15" s="1"/>
  <c r="B197" i="15"/>
  <c r="X196" i="15"/>
  <c r="Z196" i="15" s="1"/>
  <c r="L196" i="15"/>
  <c r="N196" i="15" s="1"/>
  <c r="B196" i="15"/>
  <c r="Z195" i="15"/>
  <c r="T195" i="15"/>
  <c r="P195" i="15"/>
  <c r="X195" i="15" s="1"/>
  <c r="H195" i="15"/>
  <c r="D195" i="15"/>
  <c r="L195" i="15" s="1"/>
  <c r="N195" i="15" s="1"/>
  <c r="B195" i="15"/>
  <c r="Z194" i="15"/>
  <c r="X194" i="15"/>
  <c r="L194" i="15"/>
  <c r="N194" i="15" s="1"/>
  <c r="B194" i="15"/>
  <c r="T193" i="15"/>
  <c r="X193" i="15" s="1"/>
  <c r="P193" i="15"/>
  <c r="L193" i="15"/>
  <c r="N193" i="15" s="1"/>
  <c r="H193" i="15"/>
  <c r="D193" i="15"/>
  <c r="B193" i="15"/>
  <c r="X192" i="15"/>
  <c r="Z192" i="15" s="1"/>
  <c r="L192" i="15"/>
  <c r="N192" i="15" s="1"/>
  <c r="B192" i="15"/>
  <c r="Z191" i="15"/>
  <c r="X191" i="15"/>
  <c r="L191" i="15"/>
  <c r="N191" i="15" s="1"/>
  <c r="B191" i="15"/>
  <c r="X190" i="15"/>
  <c r="Z190" i="15" s="1"/>
  <c r="T190" i="15"/>
  <c r="P190" i="15"/>
  <c r="L190" i="15"/>
  <c r="H190" i="15"/>
  <c r="N190" i="15" s="1"/>
  <c r="D190" i="15"/>
  <c r="B190" i="15"/>
  <c r="Z189" i="15"/>
  <c r="X189" i="15"/>
  <c r="N189" i="15"/>
  <c r="L189" i="15"/>
  <c r="B189" i="15"/>
  <c r="X188" i="15"/>
  <c r="Z188" i="15" s="1"/>
  <c r="L188" i="15"/>
  <c r="N188" i="15" s="1"/>
  <c r="B188" i="15"/>
  <c r="Z187" i="15"/>
  <c r="T187" i="15"/>
  <c r="P187" i="15"/>
  <c r="X187" i="15" s="1"/>
  <c r="H187" i="15"/>
  <c r="D187" i="15"/>
  <c r="L187" i="15" s="1"/>
  <c r="N187" i="15" s="1"/>
  <c r="B187" i="15"/>
  <c r="Z186" i="15"/>
  <c r="X186" i="15"/>
  <c r="L186" i="15"/>
  <c r="N186" i="15" s="1"/>
  <c r="B186" i="15"/>
  <c r="Z185" i="15"/>
  <c r="T185" i="15"/>
  <c r="X185" i="15" s="1"/>
  <c r="P185" i="15"/>
  <c r="L185" i="15"/>
  <c r="N185" i="15" s="1"/>
  <c r="H185" i="15"/>
  <c r="D185" i="15"/>
  <c r="B185" i="15"/>
  <c r="Z184" i="15"/>
  <c r="X184" i="15"/>
  <c r="N184" i="15"/>
  <c r="L184" i="15"/>
  <c r="B184" i="15"/>
  <c r="X183" i="15"/>
  <c r="Z183" i="15" s="1"/>
  <c r="L183" i="15"/>
  <c r="N183" i="15" s="1"/>
  <c r="B183" i="15"/>
  <c r="T182" i="15"/>
  <c r="P182" i="15"/>
  <c r="X182" i="15" s="1"/>
  <c r="Z182" i="15" s="1"/>
  <c r="L182" i="15"/>
  <c r="H182" i="15"/>
  <c r="D182" i="15"/>
  <c r="B182" i="15"/>
  <c r="Z181" i="15"/>
  <c r="X181" i="15"/>
  <c r="N181" i="15"/>
  <c r="L181" i="15"/>
  <c r="B181" i="15"/>
  <c r="T180" i="15"/>
  <c r="P180" i="15"/>
  <c r="L180" i="15"/>
  <c r="H180" i="15"/>
  <c r="D180" i="15"/>
  <c r="B180" i="15"/>
  <c r="X179" i="15"/>
  <c r="Z179" i="15" s="1"/>
  <c r="L179" i="15"/>
  <c r="N179" i="15" s="1"/>
  <c r="B179" i="15"/>
  <c r="Z178" i="15"/>
  <c r="X178" i="15"/>
  <c r="N178" i="15"/>
  <c r="L178" i="15"/>
  <c r="B178" i="15"/>
  <c r="Z177" i="15"/>
  <c r="X177" i="15"/>
  <c r="N177" i="15"/>
  <c r="L177" i="15"/>
  <c r="B177" i="15"/>
  <c r="X176" i="15"/>
  <c r="Z176" i="15" s="1"/>
  <c r="L176" i="15"/>
  <c r="N176" i="15" s="1"/>
  <c r="B176" i="15"/>
  <c r="X175" i="15"/>
  <c r="Z175" i="15" s="1"/>
  <c r="L175" i="15"/>
  <c r="N175" i="15" s="1"/>
  <c r="B175" i="15"/>
  <c r="Z174" i="15"/>
  <c r="X174" i="15"/>
  <c r="L174" i="15"/>
  <c r="N174" i="15" s="1"/>
  <c r="B174" i="15"/>
  <c r="Z173" i="15"/>
  <c r="X173" i="15"/>
  <c r="N173" i="15"/>
  <c r="L173" i="15"/>
  <c r="B173" i="15"/>
  <c r="T172" i="15"/>
  <c r="P172" i="15"/>
  <c r="X172" i="15" s="1"/>
  <c r="H172" i="15"/>
  <c r="D172" i="15"/>
  <c r="L172" i="15" s="1"/>
  <c r="N172" i="15" s="1"/>
  <c r="B172" i="15"/>
  <c r="X171" i="15"/>
  <c r="Z171" i="15" s="1"/>
  <c r="L171" i="15"/>
  <c r="N171" i="15" s="1"/>
  <c r="B171" i="15"/>
  <c r="X170" i="15"/>
  <c r="Z170" i="15" s="1"/>
  <c r="L170" i="15"/>
  <c r="N170" i="15" s="1"/>
  <c r="B170" i="15"/>
  <c r="Z169" i="15"/>
  <c r="X169" i="15"/>
  <c r="N169" i="15"/>
  <c r="L169" i="15"/>
  <c r="B169" i="15"/>
  <c r="X168" i="15"/>
  <c r="Z168" i="15" s="1"/>
  <c r="L168" i="15"/>
  <c r="N168" i="15" s="1"/>
  <c r="B168" i="15"/>
  <c r="X167" i="15"/>
  <c r="Z167" i="15" s="1"/>
  <c r="N167" i="15"/>
  <c r="L167" i="15"/>
  <c r="B167" i="15"/>
  <c r="Z166" i="15"/>
  <c r="X166" i="15"/>
  <c r="L166" i="15"/>
  <c r="N166" i="15" s="1"/>
  <c r="B166" i="15"/>
  <c r="Z165" i="15"/>
  <c r="X165" i="15"/>
  <c r="N165" i="15"/>
  <c r="L165" i="15"/>
  <c r="B165" i="15"/>
  <c r="X164" i="15"/>
  <c r="Z164" i="15" s="1"/>
  <c r="L164" i="15"/>
  <c r="N164" i="15" s="1"/>
  <c r="B164" i="15"/>
  <c r="X163" i="15"/>
  <c r="Z163" i="15" s="1"/>
  <c r="N163" i="15"/>
  <c r="L163" i="15"/>
  <c r="B163" i="15"/>
  <c r="T162" i="15"/>
  <c r="P162" i="15"/>
  <c r="X162" i="15" s="1"/>
  <c r="Z162" i="15" s="1"/>
  <c r="L162" i="15"/>
  <c r="H162" i="15"/>
  <c r="N162" i="15" s="1"/>
  <c r="D162" i="15"/>
  <c r="B162" i="15"/>
  <c r="Z161" i="15"/>
  <c r="T161" i="15"/>
  <c r="P161" i="15"/>
  <c r="X161" i="15" s="1"/>
  <c r="L161" i="15"/>
  <c r="N161" i="15" s="1"/>
  <c r="H161" i="15"/>
  <c r="D161" i="15"/>
  <c r="Z157" i="15"/>
  <c r="X157" i="15"/>
  <c r="N157" i="15"/>
  <c r="L157" i="15"/>
  <c r="B157" i="15"/>
  <c r="Z156" i="15"/>
  <c r="X156" i="15"/>
  <c r="N156" i="15"/>
  <c r="L156" i="15"/>
  <c r="B156" i="15"/>
  <c r="X155" i="15"/>
  <c r="Z155" i="15" s="1"/>
  <c r="L155" i="15"/>
  <c r="N155" i="15" s="1"/>
  <c r="B155" i="15"/>
  <c r="X154" i="15"/>
  <c r="Z154" i="15" s="1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L151" i="15"/>
  <c r="N151" i="15" s="1"/>
  <c r="B151" i="15"/>
  <c r="X150" i="15"/>
  <c r="Z150" i="15" s="1"/>
  <c r="N150" i="15"/>
  <c r="L150" i="15"/>
  <c r="B150" i="15"/>
  <c r="Z149" i="15"/>
  <c r="X149" i="15"/>
  <c r="N149" i="15"/>
  <c r="L149" i="15"/>
  <c r="B149" i="15"/>
  <c r="Z148" i="15"/>
  <c r="X148" i="15"/>
  <c r="L148" i="15"/>
  <c r="N148" i="15" s="1"/>
  <c r="B148" i="15"/>
  <c r="Z147" i="15"/>
  <c r="X147" i="15"/>
  <c r="L147" i="15"/>
  <c r="N147" i="15" s="1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L144" i="15"/>
  <c r="N144" i="15" s="1"/>
  <c r="B144" i="15"/>
  <c r="X143" i="15"/>
  <c r="Z143" i="15" s="1"/>
  <c r="L143" i="15"/>
  <c r="N143" i="15" s="1"/>
  <c r="B143" i="15"/>
  <c r="X142" i="15"/>
  <c r="Z142" i="15" s="1"/>
  <c r="N142" i="15"/>
  <c r="L142" i="15"/>
  <c r="B142" i="15"/>
  <c r="Z141" i="15"/>
  <c r="X141" i="15"/>
  <c r="L141" i="15"/>
  <c r="N141" i="15" s="1"/>
  <c r="B141" i="15"/>
  <c r="Z140" i="15"/>
  <c r="X140" i="15"/>
  <c r="L140" i="15"/>
  <c r="N140" i="15" s="1"/>
  <c r="B140" i="15"/>
  <c r="X139" i="15"/>
  <c r="Z139" i="15" s="1"/>
  <c r="L139" i="15"/>
  <c r="N139" i="15" s="1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L136" i="15"/>
  <c r="N136" i="15" s="1"/>
  <c r="B136" i="15"/>
  <c r="Z135" i="15"/>
  <c r="X135" i="15"/>
  <c r="L135" i="15"/>
  <c r="N135" i="15" s="1"/>
  <c r="B135" i="15"/>
  <c r="X134" i="15"/>
  <c r="Z134" i="15" s="1"/>
  <c r="N134" i="15"/>
  <c r="L134" i="15"/>
  <c r="B134" i="15"/>
  <c r="Z133" i="15"/>
  <c r="X133" i="15"/>
  <c r="L133" i="15"/>
  <c r="N133" i="15" s="1"/>
  <c r="B133" i="15"/>
  <c r="Z132" i="15"/>
  <c r="X132" i="15"/>
  <c r="L132" i="15"/>
  <c r="N132" i="15" s="1"/>
  <c r="B132" i="15"/>
  <c r="X131" i="15"/>
  <c r="Z131" i="15" s="1"/>
  <c r="L131" i="15"/>
  <c r="N131" i="15" s="1"/>
  <c r="J131" i="15"/>
  <c r="B131" i="15"/>
  <c r="X130" i="15"/>
  <c r="Z130" i="15" s="1"/>
  <c r="N130" i="15"/>
  <c r="L130" i="15"/>
  <c r="B130" i="15"/>
  <c r="Z129" i="15"/>
  <c r="X129" i="15"/>
  <c r="L129" i="15"/>
  <c r="N129" i="15" s="1"/>
  <c r="B129" i="15"/>
  <c r="Z128" i="15"/>
  <c r="X128" i="15"/>
  <c r="L128" i="15"/>
  <c r="N128" i="15" s="1"/>
  <c r="B128" i="15"/>
  <c r="X127" i="15"/>
  <c r="Z127" i="15" s="1"/>
  <c r="L127" i="15"/>
  <c r="N127" i="15" s="1"/>
  <c r="B127" i="15"/>
  <c r="X126" i="15"/>
  <c r="Z126" i="15" s="1"/>
  <c r="L126" i="15"/>
  <c r="N126" i="15" s="1"/>
  <c r="B126" i="15"/>
  <c r="Z125" i="15"/>
  <c r="X125" i="15"/>
  <c r="N125" i="15"/>
  <c r="L125" i="15"/>
  <c r="B125" i="15"/>
  <c r="Z124" i="15"/>
  <c r="X124" i="15"/>
  <c r="L124" i="15"/>
  <c r="N124" i="15" s="1"/>
  <c r="B124" i="15"/>
  <c r="Z123" i="15"/>
  <c r="X123" i="15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Z120" i="15"/>
  <c r="X120" i="15"/>
  <c r="L120" i="15"/>
  <c r="N120" i="15" s="1"/>
  <c r="B120" i="15"/>
  <c r="Z119" i="15"/>
  <c r="X119" i="15"/>
  <c r="L119" i="15"/>
  <c r="N119" i="15" s="1"/>
  <c r="B119" i="15"/>
  <c r="Z118" i="15"/>
  <c r="X118" i="15"/>
  <c r="N118" i="15"/>
  <c r="L118" i="15"/>
  <c r="B118" i="15"/>
  <c r="Z117" i="15"/>
  <c r="X117" i="15"/>
  <c r="N117" i="15"/>
  <c r="L117" i="15"/>
  <c r="B117" i="15"/>
  <c r="X116" i="15"/>
  <c r="Z116" i="15" s="1"/>
  <c r="L116" i="15"/>
  <c r="N116" i="15" s="1"/>
  <c r="B116" i="15"/>
  <c r="X115" i="15"/>
  <c r="Z115" i="15" s="1"/>
  <c r="N115" i="15"/>
  <c r="L115" i="15"/>
  <c r="B115" i="15"/>
  <c r="X114" i="15"/>
  <c r="Z114" i="15" s="1"/>
  <c r="L114" i="15"/>
  <c r="N114" i="15" s="1"/>
  <c r="B114" i="15"/>
  <c r="Z113" i="15"/>
  <c r="X113" i="15"/>
  <c r="L113" i="15"/>
  <c r="N113" i="15" s="1"/>
  <c r="B113" i="15"/>
  <c r="Z112" i="15"/>
  <c r="X112" i="15"/>
  <c r="L112" i="15"/>
  <c r="N112" i="15" s="1"/>
  <c r="J112" i="15"/>
  <c r="B112" i="15"/>
  <c r="Z111" i="15"/>
  <c r="X111" i="15"/>
  <c r="N111" i="15"/>
  <c r="L111" i="15"/>
  <c r="B111" i="15"/>
  <c r="X110" i="15"/>
  <c r="Z110" i="15" s="1"/>
  <c r="N110" i="15"/>
  <c r="L110" i="15"/>
  <c r="B110" i="15"/>
  <c r="Z109" i="15"/>
  <c r="X109" i="15"/>
  <c r="N109" i="15"/>
  <c r="L109" i="15"/>
  <c r="B109" i="15"/>
  <c r="X108" i="15"/>
  <c r="Z108" i="15" s="1"/>
  <c r="L108" i="15"/>
  <c r="N108" i="15" s="1"/>
  <c r="B108" i="15"/>
  <c r="T107" i="15"/>
  <c r="P107" i="15"/>
  <c r="H107" i="15"/>
  <c r="D107" i="15"/>
  <c r="Z105" i="15"/>
  <c r="T105" i="15"/>
  <c r="P105" i="15"/>
  <c r="X105" i="15" s="1"/>
  <c r="N105" i="15"/>
  <c r="H105" i="15"/>
  <c r="L105" i="15" s="1"/>
  <c r="D105" i="15"/>
  <c r="B105" i="15"/>
  <c r="T104" i="15"/>
  <c r="P104" i="15"/>
  <c r="X104" i="15" s="1"/>
  <c r="Z104" i="15" s="1"/>
  <c r="H104" i="15"/>
  <c r="N104" i="15" s="1"/>
  <c r="D104" i="15"/>
  <c r="L104" i="15" s="1"/>
  <c r="B104" i="15"/>
  <c r="T103" i="15"/>
  <c r="P103" i="15"/>
  <c r="H103" i="15"/>
  <c r="D103" i="15"/>
  <c r="B103" i="15"/>
  <c r="T102" i="15"/>
  <c r="P102" i="15"/>
  <c r="H102" i="15"/>
  <c r="D102" i="15"/>
  <c r="L102" i="15" s="1"/>
  <c r="B102" i="15"/>
  <c r="T101" i="15"/>
  <c r="Z101" i="15" s="1"/>
  <c r="P101" i="15"/>
  <c r="X101" i="15" s="1"/>
  <c r="H101" i="15"/>
  <c r="N101" i="15" s="1"/>
  <c r="D101" i="15"/>
  <c r="B101" i="15"/>
  <c r="T100" i="15"/>
  <c r="P100" i="15"/>
  <c r="X100" i="15" s="1"/>
  <c r="Z100" i="15" s="1"/>
  <c r="L100" i="15"/>
  <c r="H100" i="15"/>
  <c r="D100" i="15"/>
  <c r="B100" i="15"/>
  <c r="T99" i="15"/>
  <c r="P99" i="15"/>
  <c r="X99" i="15" s="1"/>
  <c r="Z99" i="15" s="1"/>
  <c r="H99" i="15"/>
  <c r="D99" i="15"/>
  <c r="B99" i="15"/>
  <c r="T98" i="15"/>
  <c r="P98" i="15"/>
  <c r="X98" i="15" s="1"/>
  <c r="H98" i="15"/>
  <c r="D98" i="15"/>
  <c r="L98" i="15" s="1"/>
  <c r="B98" i="15"/>
  <c r="T97" i="15"/>
  <c r="P97" i="15"/>
  <c r="L97" i="15"/>
  <c r="H97" i="15"/>
  <c r="N97" i="15" s="1"/>
  <c r="D97" i="15"/>
  <c r="B97" i="15"/>
  <c r="T96" i="15"/>
  <c r="P96" i="15"/>
  <c r="X96" i="15" s="1"/>
  <c r="Z96" i="15" s="1"/>
  <c r="L96" i="15"/>
  <c r="H96" i="15"/>
  <c r="D96" i="15"/>
  <c r="B96" i="15"/>
  <c r="T95" i="15"/>
  <c r="P95" i="15"/>
  <c r="X95" i="15" s="1"/>
  <c r="Z95" i="15" s="1"/>
  <c r="H95" i="15"/>
  <c r="D95" i="15"/>
  <c r="B95" i="15"/>
  <c r="T94" i="15"/>
  <c r="P94" i="15"/>
  <c r="X94" i="15" s="1"/>
  <c r="H94" i="15"/>
  <c r="N94" i="15" s="1"/>
  <c r="D94" i="15"/>
  <c r="B94" i="15"/>
  <c r="T93" i="15"/>
  <c r="P93" i="15"/>
  <c r="L93" i="15"/>
  <c r="H93" i="15"/>
  <c r="N93" i="15" s="1"/>
  <c r="D93" i="15"/>
  <c r="B93" i="15"/>
  <c r="T92" i="15"/>
  <c r="P92" i="15"/>
  <c r="X92" i="15" s="1"/>
  <c r="Z92" i="15" s="1"/>
  <c r="L92" i="15"/>
  <c r="H92" i="15"/>
  <c r="D92" i="15"/>
  <c r="B92" i="15"/>
  <c r="T91" i="15"/>
  <c r="P91" i="15"/>
  <c r="X91" i="15" s="1"/>
  <c r="Z91" i="15" s="1"/>
  <c r="H91" i="15"/>
  <c r="N91" i="15" s="1"/>
  <c r="D91" i="15"/>
  <c r="B91" i="15"/>
  <c r="T90" i="15"/>
  <c r="P90" i="15"/>
  <c r="X90" i="15" s="1"/>
  <c r="L90" i="15"/>
  <c r="H90" i="15"/>
  <c r="N90" i="15" s="1"/>
  <c r="D90" i="15"/>
  <c r="B90" i="15"/>
  <c r="T89" i="15"/>
  <c r="P89" i="15"/>
  <c r="X89" i="15" s="1"/>
  <c r="L89" i="15"/>
  <c r="H89" i="15"/>
  <c r="N89" i="15" s="1"/>
  <c r="D89" i="15"/>
  <c r="B89" i="15"/>
  <c r="T88" i="15"/>
  <c r="P88" i="15"/>
  <c r="X88" i="15" s="1"/>
  <c r="Z88" i="15" s="1"/>
  <c r="L88" i="15"/>
  <c r="H88" i="15"/>
  <c r="N88" i="15" s="1"/>
  <c r="D88" i="15"/>
  <c r="B88" i="15"/>
  <c r="T87" i="15"/>
  <c r="P87" i="15"/>
  <c r="X87" i="15" s="1"/>
  <c r="H87" i="15"/>
  <c r="D87" i="15"/>
  <c r="B87" i="15"/>
  <c r="T86" i="15"/>
  <c r="Z86" i="15" s="1"/>
  <c r="P86" i="15"/>
  <c r="X86" i="15" s="1"/>
  <c r="L86" i="15"/>
  <c r="H86" i="15"/>
  <c r="N86" i="15" s="1"/>
  <c r="D86" i="15"/>
  <c r="B86" i="15"/>
  <c r="T85" i="15"/>
  <c r="P85" i="15"/>
  <c r="L85" i="15"/>
  <c r="H85" i="15"/>
  <c r="N85" i="15" s="1"/>
  <c r="D85" i="15"/>
  <c r="B85" i="15"/>
  <c r="T84" i="15"/>
  <c r="P84" i="15"/>
  <c r="X84" i="15" s="1"/>
  <c r="Z84" i="15" s="1"/>
  <c r="L84" i="15"/>
  <c r="H84" i="15"/>
  <c r="D84" i="15"/>
  <c r="B84" i="15"/>
  <c r="T83" i="15"/>
  <c r="Z83" i="15" s="1"/>
  <c r="P83" i="15"/>
  <c r="X83" i="15" s="1"/>
  <c r="H83" i="15"/>
  <c r="D83" i="15"/>
  <c r="B83" i="15"/>
  <c r="T82" i="15"/>
  <c r="P82" i="15"/>
  <c r="X82" i="15" s="1"/>
  <c r="L82" i="15"/>
  <c r="H82" i="15"/>
  <c r="N82" i="15" s="1"/>
  <c r="D82" i="15"/>
  <c r="B82" i="15"/>
  <c r="T81" i="15"/>
  <c r="P81" i="15"/>
  <c r="X81" i="15" s="1"/>
  <c r="L81" i="15"/>
  <c r="H81" i="15"/>
  <c r="N81" i="15" s="1"/>
  <c r="D81" i="15"/>
  <c r="B81" i="15"/>
  <c r="T80" i="15"/>
  <c r="P80" i="15"/>
  <c r="X80" i="15" s="1"/>
  <c r="Z80" i="15" s="1"/>
  <c r="L80" i="15"/>
  <c r="H80" i="15"/>
  <c r="N80" i="15" s="1"/>
  <c r="D80" i="15"/>
  <c r="B80" i="15"/>
  <c r="T79" i="15"/>
  <c r="P79" i="15"/>
  <c r="X79" i="15" s="1"/>
  <c r="H79" i="15"/>
  <c r="N79" i="15" s="1"/>
  <c r="D79" i="15"/>
  <c r="B79" i="15"/>
  <c r="T78" i="15"/>
  <c r="Z78" i="15" s="1"/>
  <c r="P78" i="15"/>
  <c r="X78" i="15" s="1"/>
  <c r="L78" i="15"/>
  <c r="H78" i="15"/>
  <c r="N78" i="15" s="1"/>
  <c r="D78" i="15"/>
  <c r="B78" i="15"/>
  <c r="T77" i="15"/>
  <c r="P77" i="15"/>
  <c r="L77" i="15"/>
  <c r="H77" i="15"/>
  <c r="N77" i="15" s="1"/>
  <c r="D77" i="15"/>
  <c r="B77" i="15"/>
  <c r="T76" i="15"/>
  <c r="P76" i="15"/>
  <c r="X76" i="15" s="1"/>
  <c r="Z76" i="15" s="1"/>
  <c r="L76" i="15"/>
  <c r="H76" i="15"/>
  <c r="D76" i="15"/>
  <c r="B76" i="15"/>
  <c r="T75" i="15"/>
  <c r="Z75" i="15" s="1"/>
  <c r="P75" i="15"/>
  <c r="X75" i="15" s="1"/>
  <c r="H75" i="15"/>
  <c r="N75" i="15" s="1"/>
  <c r="D75" i="15"/>
  <c r="B75" i="15"/>
  <c r="T74" i="15"/>
  <c r="P74" i="15"/>
  <c r="X74" i="15" s="1"/>
  <c r="L74" i="15"/>
  <c r="H74" i="15"/>
  <c r="N74" i="15" s="1"/>
  <c r="D74" i="15"/>
  <c r="B74" i="15"/>
  <c r="T73" i="15"/>
  <c r="P73" i="15"/>
  <c r="X73" i="15" s="1"/>
  <c r="L73" i="15"/>
  <c r="H73" i="15"/>
  <c r="N73" i="15" s="1"/>
  <c r="D73" i="15"/>
  <c r="B73" i="15"/>
  <c r="T72" i="15"/>
  <c r="P72" i="15"/>
  <c r="X72" i="15" s="1"/>
  <c r="Z72" i="15" s="1"/>
  <c r="L72" i="15"/>
  <c r="H72" i="15"/>
  <c r="N72" i="15" s="1"/>
  <c r="D72" i="15"/>
  <c r="B72" i="15"/>
  <c r="T71" i="15"/>
  <c r="P71" i="15"/>
  <c r="X71" i="15" s="1"/>
  <c r="H71" i="15"/>
  <c r="D71" i="15"/>
  <c r="B71" i="15"/>
  <c r="T70" i="15"/>
  <c r="Z70" i="15" s="1"/>
  <c r="P70" i="15"/>
  <c r="X70" i="15" s="1"/>
  <c r="L70" i="15"/>
  <c r="H70" i="15"/>
  <c r="N70" i="15" s="1"/>
  <c r="D70" i="15"/>
  <c r="B70" i="15"/>
  <c r="T69" i="15"/>
  <c r="P69" i="15"/>
  <c r="L69" i="15"/>
  <c r="H69" i="15"/>
  <c r="N69" i="15" s="1"/>
  <c r="D69" i="15"/>
  <c r="B69" i="15"/>
  <c r="T68" i="15"/>
  <c r="P68" i="15"/>
  <c r="X68" i="15" s="1"/>
  <c r="Z68" i="15" s="1"/>
  <c r="L68" i="15"/>
  <c r="H68" i="15"/>
  <c r="D68" i="15"/>
  <c r="B68" i="15"/>
  <c r="T67" i="15"/>
  <c r="Z67" i="15" s="1"/>
  <c r="P67" i="15"/>
  <c r="X67" i="15" s="1"/>
  <c r="H67" i="15"/>
  <c r="D67" i="15"/>
  <c r="B67" i="15"/>
  <c r="T66" i="15"/>
  <c r="P66" i="15"/>
  <c r="X66" i="15" s="1"/>
  <c r="L66" i="15"/>
  <c r="H66" i="15"/>
  <c r="N66" i="15" s="1"/>
  <c r="D66" i="15"/>
  <c r="B66" i="15"/>
  <c r="T65" i="15"/>
  <c r="P65" i="15"/>
  <c r="X65" i="15" s="1"/>
  <c r="L65" i="15"/>
  <c r="H65" i="15"/>
  <c r="N65" i="15" s="1"/>
  <c r="D65" i="15"/>
  <c r="B65" i="15"/>
  <c r="T64" i="15"/>
  <c r="P64" i="15"/>
  <c r="X64" i="15" s="1"/>
  <c r="Z64" i="15" s="1"/>
  <c r="L64" i="15"/>
  <c r="H64" i="15"/>
  <c r="N64" i="15" s="1"/>
  <c r="D64" i="15"/>
  <c r="B64" i="15"/>
  <c r="T63" i="15"/>
  <c r="P63" i="15"/>
  <c r="X63" i="15" s="1"/>
  <c r="H63" i="15"/>
  <c r="D63" i="15"/>
  <c r="B63" i="15"/>
  <c r="T62" i="15"/>
  <c r="Z62" i="15" s="1"/>
  <c r="P62" i="15"/>
  <c r="X62" i="15" s="1"/>
  <c r="L62" i="15"/>
  <c r="H62" i="15"/>
  <c r="N62" i="15" s="1"/>
  <c r="D62" i="15"/>
  <c r="B62" i="15"/>
  <c r="T61" i="15"/>
  <c r="P61" i="15"/>
  <c r="L61" i="15"/>
  <c r="H61" i="15"/>
  <c r="N61" i="15" s="1"/>
  <c r="D61" i="15"/>
  <c r="B61" i="15"/>
  <c r="T60" i="15"/>
  <c r="P60" i="15"/>
  <c r="X60" i="15" s="1"/>
  <c r="Z60" i="15" s="1"/>
  <c r="L60" i="15"/>
  <c r="H60" i="15"/>
  <c r="D60" i="15"/>
  <c r="B60" i="15"/>
  <c r="T59" i="15"/>
  <c r="Z59" i="15" s="1"/>
  <c r="P59" i="15"/>
  <c r="X59" i="15" s="1"/>
  <c r="H59" i="15"/>
  <c r="D59" i="15"/>
  <c r="B59" i="15"/>
  <c r="T58" i="15"/>
  <c r="P58" i="15"/>
  <c r="X58" i="15" s="1"/>
  <c r="L58" i="15"/>
  <c r="H58" i="15"/>
  <c r="N58" i="15" s="1"/>
  <c r="D58" i="15"/>
  <c r="B58" i="15"/>
  <c r="T57" i="15"/>
  <c r="P57" i="15"/>
  <c r="X57" i="15" s="1"/>
  <c r="L57" i="15"/>
  <c r="H57" i="15"/>
  <c r="N57" i="15" s="1"/>
  <c r="D57" i="15"/>
  <c r="B57" i="15"/>
  <c r="T56" i="15"/>
  <c r="P56" i="15"/>
  <c r="X56" i="15" s="1"/>
  <c r="Z56" i="15" s="1"/>
  <c r="L56" i="15"/>
  <c r="H56" i="15"/>
  <c r="N56" i="15" s="1"/>
  <c r="D56" i="15"/>
  <c r="B56" i="15"/>
  <c r="T55" i="15"/>
  <c r="P55" i="15"/>
  <c r="X55" i="15" s="1"/>
  <c r="H55" i="15"/>
  <c r="D55" i="15"/>
  <c r="B55" i="15"/>
  <c r="T54" i="15"/>
  <c r="Z54" i="15" s="1"/>
  <c r="P54" i="15"/>
  <c r="X54" i="15" s="1"/>
  <c r="L54" i="15"/>
  <c r="H54" i="15"/>
  <c r="N54" i="15" s="1"/>
  <c r="D54" i="15"/>
  <c r="B54" i="15"/>
  <c r="T53" i="15"/>
  <c r="P53" i="15"/>
  <c r="L53" i="15"/>
  <c r="H53" i="15"/>
  <c r="N53" i="15" s="1"/>
  <c r="D53" i="15"/>
  <c r="B53" i="15"/>
  <c r="T52" i="15"/>
  <c r="P52" i="15"/>
  <c r="X52" i="15" s="1"/>
  <c r="Z52" i="15" s="1"/>
  <c r="L52" i="15"/>
  <c r="H52" i="15"/>
  <c r="D52" i="15"/>
  <c r="B52" i="15"/>
  <c r="T51" i="15"/>
  <c r="Z51" i="15" s="1"/>
  <c r="P51" i="15"/>
  <c r="X51" i="15" s="1"/>
  <c r="H51" i="15"/>
  <c r="D51" i="15"/>
  <c r="B51" i="15"/>
  <c r="T50" i="15"/>
  <c r="P50" i="15"/>
  <c r="X50" i="15" s="1"/>
  <c r="L50" i="15"/>
  <c r="H50" i="15"/>
  <c r="N50" i="15" s="1"/>
  <c r="D50" i="15"/>
  <c r="B50" i="15"/>
  <c r="T49" i="15"/>
  <c r="P49" i="15"/>
  <c r="X49" i="15" s="1"/>
  <c r="L49" i="15"/>
  <c r="H49" i="15"/>
  <c r="N49" i="15" s="1"/>
  <c r="D49" i="15"/>
  <c r="B49" i="15"/>
  <c r="T48" i="15"/>
  <c r="P48" i="15"/>
  <c r="X48" i="15" s="1"/>
  <c r="Z48" i="15" s="1"/>
  <c r="L48" i="15"/>
  <c r="H48" i="15"/>
  <c r="N48" i="15" s="1"/>
  <c r="D48" i="15"/>
  <c r="B48" i="15"/>
  <c r="T47" i="15"/>
  <c r="P47" i="15"/>
  <c r="X47" i="15" s="1"/>
  <c r="H47" i="15"/>
  <c r="D47" i="15"/>
  <c r="B47" i="15"/>
  <c r="T46" i="15"/>
  <c r="Z46" i="15" s="1"/>
  <c r="P46" i="15"/>
  <c r="X46" i="15" s="1"/>
  <c r="L46" i="15"/>
  <c r="H46" i="15"/>
  <c r="N46" i="15" s="1"/>
  <c r="D46" i="15"/>
  <c r="B46" i="15"/>
  <c r="T45" i="15"/>
  <c r="P45" i="15"/>
  <c r="L45" i="15"/>
  <c r="H45" i="15"/>
  <c r="N45" i="15" s="1"/>
  <c r="D45" i="15"/>
  <c r="B45" i="15"/>
  <c r="T44" i="15"/>
  <c r="P44" i="15"/>
  <c r="X44" i="15" s="1"/>
  <c r="Z44" i="15" s="1"/>
  <c r="L44" i="15"/>
  <c r="H44" i="15"/>
  <c r="D44" i="15"/>
  <c r="B44" i="15"/>
  <c r="T43" i="15"/>
  <c r="Z43" i="15" s="1"/>
  <c r="P43" i="15"/>
  <c r="X43" i="15" s="1"/>
  <c r="H43" i="15"/>
  <c r="D43" i="15"/>
  <c r="B43" i="15"/>
  <c r="T42" i="15"/>
  <c r="P42" i="15"/>
  <c r="X42" i="15" s="1"/>
  <c r="L42" i="15"/>
  <c r="H42" i="15"/>
  <c r="N42" i="15" s="1"/>
  <c r="D42" i="15"/>
  <c r="B42" i="15"/>
  <c r="T41" i="15"/>
  <c r="P41" i="15"/>
  <c r="X41" i="15" s="1"/>
  <c r="L41" i="15"/>
  <c r="H41" i="15"/>
  <c r="N41" i="15" s="1"/>
  <c r="D41" i="15"/>
  <c r="B41" i="15"/>
  <c r="T40" i="15"/>
  <c r="P40" i="15"/>
  <c r="X40" i="15" s="1"/>
  <c r="Z40" i="15" s="1"/>
  <c r="L40" i="15"/>
  <c r="H40" i="15"/>
  <c r="N40" i="15" s="1"/>
  <c r="D40" i="15"/>
  <c r="B40" i="15"/>
  <c r="T39" i="15"/>
  <c r="P39" i="15"/>
  <c r="X39" i="15" s="1"/>
  <c r="H39" i="15"/>
  <c r="D39" i="15"/>
  <c r="B39" i="15"/>
  <c r="T38" i="15"/>
  <c r="Z38" i="15" s="1"/>
  <c r="P38" i="15"/>
  <c r="X38" i="15" s="1"/>
  <c r="L38" i="15"/>
  <c r="H38" i="15"/>
  <c r="N38" i="15" s="1"/>
  <c r="D38" i="15"/>
  <c r="B38" i="15"/>
  <c r="T37" i="15"/>
  <c r="P37" i="15"/>
  <c r="L37" i="15"/>
  <c r="H37" i="15"/>
  <c r="N37" i="15" s="1"/>
  <c r="D37" i="15"/>
  <c r="B37" i="15"/>
  <c r="T36" i="15"/>
  <c r="P36" i="15"/>
  <c r="X36" i="15" s="1"/>
  <c r="Z36" i="15" s="1"/>
  <c r="L36" i="15"/>
  <c r="H36" i="15"/>
  <c r="D36" i="15"/>
  <c r="B36" i="15"/>
  <c r="T35" i="15"/>
  <c r="Z35" i="15" s="1"/>
  <c r="P35" i="15"/>
  <c r="X35" i="15" s="1"/>
  <c r="H35" i="15"/>
  <c r="D35" i="15"/>
  <c r="B35" i="15"/>
  <c r="T34" i="15"/>
  <c r="P34" i="15"/>
  <c r="X34" i="15" s="1"/>
  <c r="L34" i="15"/>
  <c r="H34" i="15"/>
  <c r="N34" i="15" s="1"/>
  <c r="D34" i="15"/>
  <c r="B34" i="15"/>
  <c r="T33" i="15"/>
  <c r="P33" i="15"/>
  <c r="X33" i="15" s="1"/>
  <c r="L33" i="15"/>
  <c r="H33" i="15"/>
  <c r="N33" i="15" s="1"/>
  <c r="D33" i="15"/>
  <c r="B33" i="15"/>
  <c r="T32" i="15"/>
  <c r="P32" i="15"/>
  <c r="X32" i="15" s="1"/>
  <c r="Z32" i="15" s="1"/>
  <c r="L32" i="15"/>
  <c r="H32" i="15"/>
  <c r="N32" i="15" s="1"/>
  <c r="D32" i="15"/>
  <c r="B32" i="15"/>
  <c r="T31" i="15"/>
  <c r="P31" i="15"/>
  <c r="X31" i="15" s="1"/>
  <c r="H31" i="15"/>
  <c r="D31" i="15"/>
  <c r="B31" i="15"/>
  <c r="T30" i="15"/>
  <c r="Z30" i="15" s="1"/>
  <c r="P30" i="15"/>
  <c r="X30" i="15" s="1"/>
  <c r="L30" i="15"/>
  <c r="H30" i="15"/>
  <c r="N30" i="15" s="1"/>
  <c r="D30" i="15"/>
  <c r="B30" i="15"/>
  <c r="T29" i="15"/>
  <c r="P29" i="15"/>
  <c r="L29" i="15"/>
  <c r="H29" i="15"/>
  <c r="N29" i="15" s="1"/>
  <c r="D29" i="15"/>
  <c r="B29" i="15"/>
  <c r="T28" i="15"/>
  <c r="P28" i="15"/>
  <c r="X28" i="15" s="1"/>
  <c r="Z28" i="15" s="1"/>
  <c r="L28" i="15"/>
  <c r="H28" i="15"/>
  <c r="D28" i="15"/>
  <c r="B28" i="15"/>
  <c r="T27" i="15"/>
  <c r="Z27" i="15" s="1"/>
  <c r="P27" i="15"/>
  <c r="X27" i="15" s="1"/>
  <c r="H27" i="15"/>
  <c r="D27" i="15"/>
  <c r="B27" i="15"/>
  <c r="T26" i="15"/>
  <c r="P26" i="15"/>
  <c r="X26" i="15" s="1"/>
  <c r="L26" i="15"/>
  <c r="H26" i="15"/>
  <c r="N26" i="15" s="1"/>
  <c r="D26" i="15"/>
  <c r="B26" i="15"/>
  <c r="T25" i="15"/>
  <c r="P25" i="15"/>
  <c r="X25" i="15" s="1"/>
  <c r="L25" i="15"/>
  <c r="H25" i="15"/>
  <c r="N25" i="15" s="1"/>
  <c r="D25" i="15"/>
  <c r="B25" i="15"/>
  <c r="T24" i="15"/>
  <c r="P24" i="15"/>
  <c r="X24" i="15" s="1"/>
  <c r="Z24" i="15" s="1"/>
  <c r="L24" i="15"/>
  <c r="H24" i="15"/>
  <c r="N24" i="15" s="1"/>
  <c r="D24" i="15"/>
  <c r="B24" i="15"/>
  <c r="T23" i="15"/>
  <c r="P23" i="15"/>
  <c r="X23" i="15" s="1"/>
  <c r="H23" i="15"/>
  <c r="D23" i="15"/>
  <c r="B23" i="15"/>
  <c r="T22" i="15"/>
  <c r="Z22" i="15" s="1"/>
  <c r="P22" i="15"/>
  <c r="X22" i="15" s="1"/>
  <c r="L22" i="15"/>
  <c r="H22" i="15"/>
  <c r="N22" i="15" s="1"/>
  <c r="D22" i="15"/>
  <c r="B22" i="15"/>
  <c r="T21" i="15"/>
  <c r="P21" i="15"/>
  <c r="L21" i="15"/>
  <c r="H21" i="15"/>
  <c r="N21" i="15" s="1"/>
  <c r="D21" i="15"/>
  <c r="B21" i="15"/>
  <c r="T20" i="15"/>
  <c r="P20" i="15"/>
  <c r="X20" i="15" s="1"/>
  <c r="Z20" i="15" s="1"/>
  <c r="L20" i="15"/>
  <c r="H20" i="15"/>
  <c r="D20" i="15"/>
  <c r="B20" i="15"/>
  <c r="T19" i="15"/>
  <c r="Z19" i="15" s="1"/>
  <c r="P19" i="15"/>
  <c r="X19" i="15" s="1"/>
  <c r="H19" i="15"/>
  <c r="D19" i="15"/>
  <c r="B19" i="15"/>
  <c r="T18" i="15"/>
  <c r="P18" i="15"/>
  <c r="X18" i="15" s="1"/>
  <c r="L18" i="15"/>
  <c r="H18" i="15"/>
  <c r="N18" i="15" s="1"/>
  <c r="D18" i="15"/>
  <c r="B18" i="15"/>
  <c r="T17" i="15"/>
  <c r="P17" i="15"/>
  <c r="X17" i="15" s="1"/>
  <c r="L17" i="15"/>
  <c r="H17" i="15"/>
  <c r="N17" i="15" s="1"/>
  <c r="D17" i="15"/>
  <c r="B17" i="15"/>
  <c r="T16" i="15"/>
  <c r="P16" i="15"/>
  <c r="X16" i="15" s="1"/>
  <c r="Z16" i="15" s="1"/>
  <c r="L16" i="15"/>
  <c r="H16" i="15"/>
  <c r="N16" i="15" s="1"/>
  <c r="D16" i="15"/>
  <c r="B16" i="15"/>
  <c r="T15" i="15"/>
  <c r="P15" i="15"/>
  <c r="X15" i="15" s="1"/>
  <c r="H15" i="15"/>
  <c r="D15" i="15"/>
  <c r="B15" i="15"/>
  <c r="T14" i="15"/>
  <c r="Z14" i="15" s="1"/>
  <c r="P14" i="15"/>
  <c r="X14" i="15" s="1"/>
  <c r="L14" i="15"/>
  <c r="H14" i="15"/>
  <c r="N14" i="15" s="1"/>
  <c r="D14" i="15"/>
  <c r="B14" i="15"/>
  <c r="T13" i="15"/>
  <c r="P13" i="15"/>
  <c r="L13" i="15"/>
  <c r="H13" i="15"/>
  <c r="H12" i="15" s="1"/>
  <c r="D13" i="15"/>
  <c r="B13" i="15"/>
  <c r="D4" i="15"/>
  <c r="Z271" i="12"/>
  <c r="X271" i="12"/>
  <c r="N271" i="12"/>
  <c r="L271" i="12"/>
  <c r="Z267" i="12"/>
  <c r="X267" i="12"/>
  <c r="T267" i="12"/>
  <c r="P267" i="12"/>
  <c r="N267" i="12"/>
  <c r="L267" i="12"/>
  <c r="H267" i="12"/>
  <c r="F267" i="12"/>
  <c r="D267" i="12"/>
  <c r="B267" i="12"/>
  <c r="T266" i="12"/>
  <c r="P266" i="12"/>
  <c r="H266" i="12"/>
  <c r="D266" i="12"/>
  <c r="B266" i="12"/>
  <c r="T265" i="12"/>
  <c r="Z265" i="12" s="1"/>
  <c r="P265" i="12"/>
  <c r="X265" i="12" s="1"/>
  <c r="N265" i="12"/>
  <c r="H265" i="12"/>
  <c r="D265" i="12"/>
  <c r="L265" i="12" s="1"/>
  <c r="B265" i="12"/>
  <c r="X264" i="12"/>
  <c r="T264" i="12"/>
  <c r="Z264" i="12" s="1"/>
  <c r="P264" i="12"/>
  <c r="L264" i="12"/>
  <c r="H264" i="12"/>
  <c r="N264" i="12" s="1"/>
  <c r="D264" i="12"/>
  <c r="B264" i="12"/>
  <c r="Z263" i="12"/>
  <c r="X263" i="12"/>
  <c r="T263" i="12"/>
  <c r="P263" i="12"/>
  <c r="H263" i="12"/>
  <c r="L263" i="12" s="1"/>
  <c r="N263" i="12" s="1"/>
  <c r="D263" i="12"/>
  <c r="B263" i="12"/>
  <c r="T262" i="12"/>
  <c r="P262" i="12"/>
  <c r="X262" i="12" s="1"/>
  <c r="Z262" i="12" s="1"/>
  <c r="H262" i="12"/>
  <c r="D262" i="12"/>
  <c r="L262" i="12" s="1"/>
  <c r="B262" i="12"/>
  <c r="X261" i="12"/>
  <c r="Z261" i="12" s="1"/>
  <c r="T261" i="12"/>
  <c r="P261" i="12"/>
  <c r="L261" i="12"/>
  <c r="N261" i="12" s="1"/>
  <c r="H261" i="12"/>
  <c r="D261" i="12"/>
  <c r="B261" i="12"/>
  <c r="T260" i="12"/>
  <c r="P260" i="12"/>
  <c r="H260" i="12"/>
  <c r="D260" i="12"/>
  <c r="B260" i="12"/>
  <c r="T259" i="12"/>
  <c r="P259" i="12"/>
  <c r="H259" i="12"/>
  <c r="N259" i="12" s="1"/>
  <c r="D259" i="12"/>
  <c r="L259" i="12" s="1"/>
  <c r="B259" i="12"/>
  <c r="X256" i="12"/>
  <c r="Z256" i="12" s="1"/>
  <c r="N256" i="12"/>
  <c r="L256" i="12"/>
  <c r="B256" i="12"/>
  <c r="X255" i="12"/>
  <c r="Z255" i="12" s="1"/>
  <c r="T255" i="12"/>
  <c r="P255" i="12"/>
  <c r="L255" i="12"/>
  <c r="N255" i="12" s="1"/>
  <c r="H255" i="12"/>
  <c r="D255" i="12"/>
  <c r="B255" i="12"/>
  <c r="X254" i="12"/>
  <c r="Z254" i="12" s="1"/>
  <c r="N254" i="12"/>
  <c r="L254" i="12"/>
  <c r="B254" i="12"/>
  <c r="Z253" i="12"/>
  <c r="X253" i="12"/>
  <c r="N253" i="12"/>
  <c r="L253" i="12"/>
  <c r="B253" i="12"/>
  <c r="Z252" i="12"/>
  <c r="X252" i="12"/>
  <c r="N252" i="12"/>
  <c r="L252" i="12"/>
  <c r="B252" i="12"/>
  <c r="Z251" i="12"/>
  <c r="T251" i="12"/>
  <c r="X251" i="12" s="1"/>
  <c r="P251" i="12"/>
  <c r="N251" i="12"/>
  <c r="L251" i="12"/>
  <c r="H251" i="12"/>
  <c r="D251" i="12"/>
  <c r="B251" i="12"/>
  <c r="X250" i="12"/>
  <c r="Z250" i="12" s="1"/>
  <c r="L250" i="12"/>
  <c r="N250" i="12" s="1"/>
  <c r="B250" i="12"/>
  <c r="T249" i="12"/>
  <c r="P249" i="12"/>
  <c r="X249" i="12" s="1"/>
  <c r="Z249" i="12" s="1"/>
  <c r="H249" i="12"/>
  <c r="N249" i="12" s="1"/>
  <c r="D249" i="12"/>
  <c r="L249" i="12" s="1"/>
  <c r="B249" i="12"/>
  <c r="X248" i="12"/>
  <c r="Z248" i="12" s="1"/>
  <c r="N248" i="12"/>
  <c r="L248" i="12"/>
  <c r="B248" i="12"/>
  <c r="X247" i="12"/>
  <c r="Z247" i="12" s="1"/>
  <c r="N247" i="12"/>
  <c r="L247" i="12"/>
  <c r="B247" i="12"/>
  <c r="X246" i="12"/>
  <c r="T246" i="12"/>
  <c r="Z246" i="12" s="1"/>
  <c r="P246" i="12"/>
  <c r="L246" i="12"/>
  <c r="H246" i="12"/>
  <c r="D246" i="12"/>
  <c r="B246" i="12"/>
  <c r="Z245" i="12"/>
  <c r="X245" i="12"/>
  <c r="N245" i="12"/>
  <c r="L245" i="12"/>
  <c r="B245" i="12"/>
  <c r="Z244" i="12"/>
  <c r="X244" i="12"/>
  <c r="N244" i="12"/>
  <c r="L244" i="12"/>
  <c r="B244" i="12"/>
  <c r="Z243" i="12"/>
  <c r="X243" i="12"/>
  <c r="N243" i="12"/>
  <c r="L243" i="12"/>
  <c r="B243" i="12"/>
  <c r="X242" i="12"/>
  <c r="Z242" i="12" s="1"/>
  <c r="L242" i="12"/>
  <c r="N242" i="12" s="1"/>
  <c r="B242" i="12"/>
  <c r="Z241" i="12"/>
  <c r="X241" i="12"/>
  <c r="N241" i="12"/>
  <c r="L241" i="12"/>
  <c r="B241" i="12"/>
  <c r="Z240" i="12"/>
  <c r="X240" i="12"/>
  <c r="N240" i="12"/>
  <c r="L240" i="12"/>
  <c r="B240" i="12"/>
  <c r="Z239" i="12"/>
  <c r="X239" i="12"/>
  <c r="N239" i="12"/>
  <c r="L239" i="12"/>
  <c r="B239" i="12"/>
  <c r="X238" i="12"/>
  <c r="Z238" i="12" s="1"/>
  <c r="N238" i="12"/>
  <c r="L238" i="12"/>
  <c r="B238" i="12"/>
  <c r="Z237" i="12"/>
  <c r="X237" i="12"/>
  <c r="T237" i="12"/>
  <c r="P237" i="12"/>
  <c r="H237" i="12"/>
  <c r="L237" i="12" s="1"/>
  <c r="N237" i="12" s="1"/>
  <c r="D237" i="12"/>
  <c r="B237" i="12"/>
  <c r="Z236" i="12"/>
  <c r="X236" i="12"/>
  <c r="L236" i="12"/>
  <c r="N236" i="12" s="1"/>
  <c r="B236" i="12"/>
  <c r="Z235" i="12"/>
  <c r="X235" i="12"/>
  <c r="N235" i="12"/>
  <c r="L235" i="12"/>
  <c r="B235" i="12"/>
  <c r="T234" i="12"/>
  <c r="Z234" i="12" s="1"/>
  <c r="P234" i="12"/>
  <c r="X234" i="12" s="1"/>
  <c r="H234" i="12"/>
  <c r="D234" i="12"/>
  <c r="L234" i="12" s="1"/>
  <c r="N234" i="12" s="1"/>
  <c r="B234" i="12"/>
  <c r="X233" i="12"/>
  <c r="Z233" i="12" s="1"/>
  <c r="N233" i="12"/>
  <c r="L233" i="12"/>
  <c r="B233" i="12"/>
  <c r="X232" i="12"/>
  <c r="Z232" i="12" s="1"/>
  <c r="N232" i="12"/>
  <c r="L232" i="12"/>
  <c r="B232" i="12"/>
  <c r="Z231" i="12"/>
  <c r="X231" i="12"/>
  <c r="N231" i="12"/>
  <c r="L231" i="12"/>
  <c r="B231" i="12"/>
  <c r="X230" i="12"/>
  <c r="Z230" i="12" s="1"/>
  <c r="L230" i="12"/>
  <c r="N230" i="12" s="1"/>
  <c r="F230" i="12"/>
  <c r="B230" i="12"/>
  <c r="X229" i="12"/>
  <c r="Z229" i="12" s="1"/>
  <c r="N229" i="12"/>
  <c r="L229" i="12"/>
  <c r="B229" i="12"/>
  <c r="X228" i="12"/>
  <c r="T228" i="12"/>
  <c r="P228" i="12"/>
  <c r="L228" i="12"/>
  <c r="H228" i="12"/>
  <c r="N228" i="12" s="1"/>
  <c r="D228" i="12"/>
  <c r="B228" i="12"/>
  <c r="Z227" i="12"/>
  <c r="X227" i="12"/>
  <c r="N227" i="12"/>
  <c r="L227" i="12"/>
  <c r="B227" i="12"/>
  <c r="X226" i="12"/>
  <c r="Z226" i="12" s="1"/>
  <c r="L226" i="12"/>
  <c r="N226" i="12" s="1"/>
  <c r="B226" i="12"/>
  <c r="Z225" i="12"/>
  <c r="X225" i="12"/>
  <c r="N225" i="12"/>
  <c r="L225" i="12"/>
  <c r="B225" i="12"/>
  <c r="T224" i="12"/>
  <c r="Z224" i="12" s="1"/>
  <c r="P224" i="12"/>
  <c r="X224" i="12" s="1"/>
  <c r="H224" i="12"/>
  <c r="D224" i="12"/>
  <c r="B224" i="12"/>
  <c r="Z223" i="12"/>
  <c r="X223" i="12"/>
  <c r="N223" i="12"/>
  <c r="L223" i="12"/>
  <c r="B223" i="12"/>
  <c r="X222" i="12"/>
  <c r="Z222" i="12" s="1"/>
  <c r="L222" i="12"/>
  <c r="N222" i="12" s="1"/>
  <c r="B222" i="12"/>
  <c r="Z221" i="12"/>
  <c r="X221" i="12"/>
  <c r="L221" i="12"/>
  <c r="N221" i="12" s="1"/>
  <c r="B221" i="12"/>
  <c r="Z220" i="12"/>
  <c r="X220" i="12"/>
  <c r="L220" i="12"/>
  <c r="N220" i="12" s="1"/>
  <c r="B220" i="12"/>
  <c r="T219" i="12"/>
  <c r="Z219" i="12" s="1"/>
  <c r="P219" i="12"/>
  <c r="X219" i="12" s="1"/>
  <c r="H219" i="12"/>
  <c r="D219" i="12"/>
  <c r="L219" i="12" s="1"/>
  <c r="N219" i="12" s="1"/>
  <c r="B219" i="12"/>
  <c r="X218" i="12"/>
  <c r="Z218" i="12" s="1"/>
  <c r="L218" i="12"/>
  <c r="N218" i="12" s="1"/>
  <c r="F218" i="12"/>
  <c r="B218" i="12"/>
  <c r="X217" i="12"/>
  <c r="Z217" i="12" s="1"/>
  <c r="T217" i="12"/>
  <c r="P217" i="12"/>
  <c r="N217" i="12"/>
  <c r="L217" i="12"/>
  <c r="H217" i="12"/>
  <c r="F217" i="12"/>
  <c r="D217" i="12"/>
  <c r="B217" i="12"/>
  <c r="Z216" i="12"/>
  <c r="X216" i="12"/>
  <c r="N216" i="12"/>
  <c r="L216" i="12"/>
  <c r="B216" i="12"/>
  <c r="Z215" i="12"/>
  <c r="T215" i="12"/>
  <c r="X215" i="12" s="1"/>
  <c r="P215" i="12"/>
  <c r="N215" i="12"/>
  <c r="L215" i="12"/>
  <c r="H215" i="12"/>
  <c r="D215" i="12"/>
  <c r="B215" i="12"/>
  <c r="X214" i="12"/>
  <c r="Z214" i="12" s="1"/>
  <c r="L214" i="12"/>
  <c r="N214" i="12" s="1"/>
  <c r="B214" i="12"/>
  <c r="T213" i="12"/>
  <c r="P213" i="12"/>
  <c r="X213" i="12" s="1"/>
  <c r="Z213" i="12" s="1"/>
  <c r="H213" i="12"/>
  <c r="N213" i="12" s="1"/>
  <c r="D213" i="12"/>
  <c r="L213" i="12" s="1"/>
  <c r="B213" i="12"/>
  <c r="X212" i="12"/>
  <c r="Z212" i="12" s="1"/>
  <c r="N212" i="12"/>
  <c r="L212" i="12"/>
  <c r="B212" i="12"/>
  <c r="Z211" i="12"/>
  <c r="X211" i="12"/>
  <c r="T211" i="12"/>
  <c r="P211" i="12"/>
  <c r="L211" i="12"/>
  <c r="N211" i="12" s="1"/>
  <c r="H211" i="12"/>
  <c r="D211" i="12"/>
  <c r="B211" i="12"/>
  <c r="X210" i="12"/>
  <c r="Z210" i="12" s="1"/>
  <c r="L210" i="12"/>
  <c r="N210" i="12" s="1"/>
  <c r="B210" i="12"/>
  <c r="Z209" i="12"/>
  <c r="X209" i="12"/>
  <c r="T209" i="12"/>
  <c r="P209" i="12"/>
  <c r="N209" i="12"/>
  <c r="H209" i="12"/>
  <c r="L209" i="12" s="1"/>
  <c r="D209" i="12"/>
  <c r="B209" i="12"/>
  <c r="Z208" i="12"/>
  <c r="X208" i="12"/>
  <c r="L208" i="12"/>
  <c r="N208" i="12" s="1"/>
  <c r="B208" i="12"/>
  <c r="T207" i="12"/>
  <c r="Z207" i="12" s="1"/>
  <c r="P207" i="12"/>
  <c r="X207" i="12" s="1"/>
  <c r="H207" i="12"/>
  <c r="D207" i="12"/>
  <c r="L207" i="12" s="1"/>
  <c r="N207" i="12" s="1"/>
  <c r="B207" i="12"/>
  <c r="X206" i="12"/>
  <c r="Z206" i="12" s="1"/>
  <c r="L206" i="12"/>
  <c r="N206" i="12" s="1"/>
  <c r="F206" i="12"/>
  <c r="B206" i="12"/>
  <c r="X205" i="12"/>
  <c r="Z205" i="12" s="1"/>
  <c r="N205" i="12"/>
  <c r="L205" i="12"/>
  <c r="B205" i="12"/>
  <c r="X204" i="12"/>
  <c r="T204" i="12"/>
  <c r="P204" i="12"/>
  <c r="L204" i="12"/>
  <c r="H204" i="12"/>
  <c r="N204" i="12" s="1"/>
  <c r="D204" i="12"/>
  <c r="B204" i="12"/>
  <c r="Z203" i="12"/>
  <c r="X203" i="12"/>
  <c r="N203" i="12"/>
  <c r="L203" i="12"/>
  <c r="B203" i="12"/>
  <c r="T202" i="12"/>
  <c r="P202" i="12"/>
  <c r="H202" i="12"/>
  <c r="N202" i="12" s="1"/>
  <c r="D202" i="12"/>
  <c r="L202" i="12" s="1"/>
  <c r="B202" i="12"/>
  <c r="Z201" i="12"/>
  <c r="X201" i="12"/>
  <c r="L201" i="12"/>
  <c r="N201" i="12" s="1"/>
  <c r="B201" i="12"/>
  <c r="T200" i="12"/>
  <c r="P200" i="12"/>
  <c r="X200" i="12" s="1"/>
  <c r="H200" i="12"/>
  <c r="N200" i="12" s="1"/>
  <c r="D200" i="12"/>
  <c r="L200" i="12" s="1"/>
  <c r="B200" i="12"/>
  <c r="Z199" i="12"/>
  <c r="X199" i="12"/>
  <c r="N199" i="12"/>
  <c r="L199" i="12"/>
  <c r="B199" i="12"/>
  <c r="X198" i="12"/>
  <c r="T198" i="12"/>
  <c r="Z198" i="12" s="1"/>
  <c r="P198" i="12"/>
  <c r="L198" i="12"/>
  <c r="H198" i="12"/>
  <c r="D198" i="12"/>
  <c r="B198" i="12"/>
  <c r="Z197" i="12"/>
  <c r="X197" i="12"/>
  <c r="N197" i="12"/>
  <c r="L197" i="12"/>
  <c r="B197" i="12"/>
  <c r="Z196" i="12"/>
  <c r="X196" i="12"/>
  <c r="L196" i="12"/>
  <c r="N196" i="12" s="1"/>
  <c r="B196" i="12"/>
  <c r="T195" i="12"/>
  <c r="X195" i="12" s="1"/>
  <c r="Z195" i="12" s="1"/>
  <c r="P195" i="12"/>
  <c r="N195" i="12"/>
  <c r="L195" i="12"/>
  <c r="H195" i="12"/>
  <c r="D195" i="12"/>
  <c r="B195" i="12"/>
  <c r="X194" i="12"/>
  <c r="Z194" i="12" s="1"/>
  <c r="L194" i="12"/>
  <c r="N194" i="12" s="1"/>
  <c r="B194" i="12"/>
  <c r="Z193" i="12"/>
  <c r="X193" i="12"/>
  <c r="L193" i="12"/>
  <c r="N193" i="12" s="1"/>
  <c r="B193" i="12"/>
  <c r="T192" i="12"/>
  <c r="P192" i="12"/>
  <c r="X192" i="12" s="1"/>
  <c r="H192" i="12"/>
  <c r="D192" i="12"/>
  <c r="L192" i="12" s="1"/>
  <c r="B192" i="12"/>
  <c r="Z191" i="12"/>
  <c r="X191" i="12"/>
  <c r="N191" i="12"/>
  <c r="L191" i="12"/>
  <c r="B191" i="12"/>
  <c r="X190" i="12"/>
  <c r="T190" i="12"/>
  <c r="Z190" i="12" s="1"/>
  <c r="P190" i="12"/>
  <c r="L190" i="12"/>
  <c r="H190" i="12"/>
  <c r="D190" i="12"/>
  <c r="B190" i="12"/>
  <c r="Z189" i="12"/>
  <c r="X189" i="12"/>
  <c r="N189" i="12"/>
  <c r="L189" i="12"/>
  <c r="B189" i="12"/>
  <c r="Z188" i="12"/>
  <c r="X188" i="12"/>
  <c r="N188" i="12"/>
  <c r="L188" i="12"/>
  <c r="B188" i="12"/>
  <c r="Z187" i="12"/>
  <c r="T187" i="12"/>
  <c r="X187" i="12" s="1"/>
  <c r="P187" i="12"/>
  <c r="N187" i="12"/>
  <c r="L187" i="12"/>
  <c r="H187" i="12"/>
  <c r="D187" i="12"/>
  <c r="B187" i="12"/>
  <c r="X186" i="12"/>
  <c r="Z186" i="12" s="1"/>
  <c r="L186" i="12"/>
  <c r="N186" i="12" s="1"/>
  <c r="B186" i="12"/>
  <c r="T185" i="12"/>
  <c r="P185" i="12"/>
  <c r="X185" i="12" s="1"/>
  <c r="Z185" i="12" s="1"/>
  <c r="H185" i="12"/>
  <c r="D185" i="12"/>
  <c r="L185" i="12" s="1"/>
  <c r="B185" i="12"/>
  <c r="X184" i="12"/>
  <c r="Z184" i="12" s="1"/>
  <c r="N184" i="12"/>
  <c r="L184" i="12"/>
  <c r="F184" i="12"/>
  <c r="B184" i="12"/>
  <c r="Z183" i="12"/>
  <c r="X183" i="12"/>
  <c r="N183" i="12"/>
  <c r="L183" i="12"/>
  <c r="B183" i="12"/>
  <c r="X182" i="12"/>
  <c r="Z182" i="12" s="1"/>
  <c r="L182" i="12"/>
  <c r="N182" i="12" s="1"/>
  <c r="F182" i="12"/>
  <c r="B182" i="12"/>
  <c r="X181" i="12"/>
  <c r="Z181" i="12" s="1"/>
  <c r="N181" i="12"/>
  <c r="L181" i="12"/>
  <c r="B181" i="12"/>
  <c r="X180" i="12"/>
  <c r="Z180" i="12" s="1"/>
  <c r="N180" i="12"/>
  <c r="L180" i="12"/>
  <c r="F180" i="12"/>
  <c r="B180" i="12"/>
  <c r="Z179" i="12"/>
  <c r="X179" i="12"/>
  <c r="N179" i="12"/>
  <c r="L179" i="12"/>
  <c r="B179" i="12"/>
  <c r="X178" i="12"/>
  <c r="Z178" i="12" s="1"/>
  <c r="L178" i="12"/>
  <c r="N178" i="12" s="1"/>
  <c r="F178" i="12"/>
  <c r="B178" i="12"/>
  <c r="X177" i="12"/>
  <c r="Z177" i="12" s="1"/>
  <c r="T177" i="12"/>
  <c r="P177" i="12"/>
  <c r="N177" i="12"/>
  <c r="L177" i="12"/>
  <c r="H177" i="12"/>
  <c r="F177" i="12"/>
  <c r="D177" i="12"/>
  <c r="B177" i="12"/>
  <c r="Z176" i="12"/>
  <c r="X176" i="12"/>
  <c r="N176" i="12"/>
  <c r="L176" i="12"/>
  <c r="B176" i="12"/>
  <c r="Z175" i="12"/>
  <c r="X175" i="12"/>
  <c r="N175" i="12"/>
  <c r="L175" i="12"/>
  <c r="B175" i="12"/>
  <c r="X174" i="12"/>
  <c r="Z174" i="12" s="1"/>
  <c r="L174" i="12"/>
  <c r="N174" i="12" s="1"/>
  <c r="B174" i="12"/>
  <c r="Z173" i="12"/>
  <c r="X173" i="12"/>
  <c r="N173" i="12"/>
  <c r="L173" i="12"/>
  <c r="B173" i="12"/>
  <c r="Z172" i="12"/>
  <c r="X172" i="12"/>
  <c r="N172" i="12"/>
  <c r="L172" i="12"/>
  <c r="B172" i="12"/>
  <c r="Z171" i="12"/>
  <c r="X171" i="12"/>
  <c r="N171" i="12"/>
  <c r="L171" i="12"/>
  <c r="B171" i="12"/>
  <c r="X170" i="12"/>
  <c r="Z170" i="12" s="1"/>
  <c r="L170" i="12"/>
  <c r="N170" i="12" s="1"/>
  <c r="B170" i="12"/>
  <c r="Z169" i="12"/>
  <c r="X169" i="12"/>
  <c r="N169" i="12"/>
  <c r="L169" i="12"/>
  <c r="B169" i="12"/>
  <c r="Z168" i="12"/>
  <c r="X168" i="12"/>
  <c r="N168" i="12"/>
  <c r="L168" i="12"/>
  <c r="B168" i="12"/>
  <c r="Z167" i="12"/>
  <c r="T167" i="12"/>
  <c r="X167" i="12" s="1"/>
  <c r="P167" i="12"/>
  <c r="N167" i="12"/>
  <c r="L167" i="12"/>
  <c r="H167" i="12"/>
  <c r="D167" i="12"/>
  <c r="B167" i="12"/>
  <c r="T166" i="12"/>
  <c r="Z166" i="12" s="1"/>
  <c r="P166" i="12"/>
  <c r="X166" i="12" s="1"/>
  <c r="H166" i="12"/>
  <c r="D166" i="12"/>
  <c r="L166" i="12" s="1"/>
  <c r="X162" i="12"/>
  <c r="Z162" i="12" s="1"/>
  <c r="N162" i="12"/>
  <c r="L162" i="12"/>
  <c r="B162" i="12"/>
  <c r="Z161" i="12"/>
  <c r="X161" i="12"/>
  <c r="L161" i="12"/>
  <c r="N161" i="12" s="1"/>
  <c r="B161" i="12"/>
  <c r="Z160" i="12"/>
  <c r="X160" i="12"/>
  <c r="L160" i="12"/>
  <c r="N160" i="12" s="1"/>
  <c r="B160" i="12"/>
  <c r="Z159" i="12"/>
  <c r="X159" i="12"/>
  <c r="N159" i="12"/>
  <c r="L159" i="12"/>
  <c r="B159" i="12"/>
  <c r="X158" i="12"/>
  <c r="Z158" i="12" s="1"/>
  <c r="L158" i="12"/>
  <c r="N158" i="12" s="1"/>
  <c r="B158" i="12"/>
  <c r="Z157" i="12"/>
  <c r="X157" i="12"/>
  <c r="L157" i="12"/>
  <c r="N157" i="12" s="1"/>
  <c r="B157" i="12"/>
  <c r="Z156" i="12"/>
  <c r="X156" i="12"/>
  <c r="L156" i="12"/>
  <c r="N156" i="12" s="1"/>
  <c r="B156" i="12"/>
  <c r="Z155" i="12"/>
  <c r="X155" i="12"/>
  <c r="N155" i="12"/>
  <c r="L155" i="12"/>
  <c r="B155" i="12"/>
  <c r="X154" i="12"/>
  <c r="Z154" i="12" s="1"/>
  <c r="L154" i="12"/>
  <c r="N154" i="12" s="1"/>
  <c r="B154" i="12"/>
  <c r="Z153" i="12"/>
  <c r="X153" i="12"/>
  <c r="L153" i="12"/>
  <c r="N153" i="12" s="1"/>
  <c r="B153" i="12"/>
  <c r="Z152" i="12"/>
  <c r="X152" i="12"/>
  <c r="L152" i="12"/>
  <c r="N152" i="12" s="1"/>
  <c r="B152" i="12"/>
  <c r="Z151" i="12"/>
  <c r="X151" i="12"/>
  <c r="N151" i="12"/>
  <c r="L151" i="12"/>
  <c r="B151" i="12"/>
  <c r="X150" i="12"/>
  <c r="Z150" i="12" s="1"/>
  <c r="N150" i="12"/>
  <c r="L150" i="12"/>
  <c r="B150" i="12"/>
  <c r="Z149" i="12"/>
  <c r="X149" i="12"/>
  <c r="L149" i="12"/>
  <c r="N149" i="12" s="1"/>
  <c r="B149" i="12"/>
  <c r="Z148" i="12"/>
  <c r="X148" i="12"/>
  <c r="L148" i="12"/>
  <c r="N148" i="12" s="1"/>
  <c r="B148" i="12"/>
  <c r="Z147" i="12"/>
  <c r="X147" i="12"/>
  <c r="L147" i="12"/>
  <c r="N147" i="12" s="1"/>
  <c r="B147" i="12"/>
  <c r="X146" i="12"/>
  <c r="Z146" i="12" s="1"/>
  <c r="L146" i="12"/>
  <c r="N146" i="12" s="1"/>
  <c r="B146" i="12"/>
  <c r="Z145" i="12"/>
  <c r="X145" i="12"/>
  <c r="L145" i="12"/>
  <c r="N145" i="12" s="1"/>
  <c r="B145" i="12"/>
  <c r="Z144" i="12"/>
  <c r="X144" i="12"/>
  <c r="L144" i="12"/>
  <c r="N144" i="12" s="1"/>
  <c r="B144" i="12"/>
  <c r="Z143" i="12"/>
  <c r="X143" i="12"/>
  <c r="N143" i="12"/>
  <c r="L143" i="12"/>
  <c r="B143" i="12"/>
  <c r="X142" i="12"/>
  <c r="Z142" i="12" s="1"/>
  <c r="L142" i="12"/>
  <c r="N142" i="12" s="1"/>
  <c r="B142" i="12"/>
  <c r="Z141" i="12"/>
  <c r="X141" i="12"/>
  <c r="L141" i="12"/>
  <c r="N141" i="12" s="1"/>
  <c r="B141" i="12"/>
  <c r="Z140" i="12"/>
  <c r="X140" i="12"/>
  <c r="L140" i="12"/>
  <c r="N140" i="12" s="1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Z136" i="12"/>
  <c r="X136" i="12"/>
  <c r="L136" i="12"/>
  <c r="N136" i="12" s="1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Z133" i="12"/>
  <c r="X133" i="12"/>
  <c r="L133" i="12"/>
  <c r="N133" i="12" s="1"/>
  <c r="B133" i="12"/>
  <c r="Z132" i="12"/>
  <c r="X132" i="12"/>
  <c r="L132" i="12"/>
  <c r="N132" i="12" s="1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Z129" i="12"/>
  <c r="X129" i="12"/>
  <c r="L129" i="12"/>
  <c r="N129" i="12" s="1"/>
  <c r="B129" i="12"/>
  <c r="Z128" i="12"/>
  <c r="X128" i="12"/>
  <c r="L128" i="12"/>
  <c r="N128" i="12" s="1"/>
  <c r="B128" i="12"/>
  <c r="Z127" i="12"/>
  <c r="X127" i="12"/>
  <c r="L127" i="12"/>
  <c r="N127" i="12" s="1"/>
  <c r="B127" i="12"/>
  <c r="X126" i="12"/>
  <c r="Z126" i="12" s="1"/>
  <c r="L126" i="12"/>
  <c r="N126" i="12" s="1"/>
  <c r="B126" i="12"/>
  <c r="Z125" i="12"/>
  <c r="X125" i="12"/>
  <c r="L125" i="12"/>
  <c r="N125" i="12" s="1"/>
  <c r="B125" i="12"/>
  <c r="Z124" i="12"/>
  <c r="X124" i="12"/>
  <c r="L124" i="12"/>
  <c r="N124" i="12" s="1"/>
  <c r="B124" i="12"/>
  <c r="Z123" i="12"/>
  <c r="X123" i="12"/>
  <c r="L123" i="12"/>
  <c r="N123" i="12" s="1"/>
  <c r="B123" i="12"/>
  <c r="X122" i="12"/>
  <c r="Z122" i="12" s="1"/>
  <c r="L122" i="12"/>
  <c r="N122" i="12" s="1"/>
  <c r="B122" i="12"/>
  <c r="Z121" i="12"/>
  <c r="X121" i="12"/>
  <c r="L121" i="12"/>
  <c r="N121" i="12" s="1"/>
  <c r="B121" i="12"/>
  <c r="Z120" i="12"/>
  <c r="X120" i="12"/>
  <c r="L120" i="12"/>
  <c r="N120" i="12" s="1"/>
  <c r="B120" i="12"/>
  <c r="Z119" i="12"/>
  <c r="X119" i="12"/>
  <c r="L119" i="12"/>
  <c r="N119" i="12" s="1"/>
  <c r="B119" i="12"/>
  <c r="X118" i="12"/>
  <c r="Z118" i="12" s="1"/>
  <c r="N118" i="12"/>
  <c r="L118" i="12"/>
  <c r="B118" i="12"/>
  <c r="Z117" i="12"/>
  <c r="X117" i="12"/>
  <c r="L117" i="12"/>
  <c r="N117" i="12" s="1"/>
  <c r="B117" i="12"/>
  <c r="Z116" i="12"/>
  <c r="X116" i="12"/>
  <c r="L116" i="12"/>
  <c r="N116" i="12" s="1"/>
  <c r="B116" i="12"/>
  <c r="Z115" i="12"/>
  <c r="X115" i="12"/>
  <c r="L115" i="12"/>
  <c r="N115" i="12" s="1"/>
  <c r="B115" i="12"/>
  <c r="X114" i="12"/>
  <c r="Z114" i="12" s="1"/>
  <c r="L114" i="12"/>
  <c r="N114" i="12" s="1"/>
  <c r="B114" i="12"/>
  <c r="Z113" i="12"/>
  <c r="X113" i="12"/>
  <c r="L113" i="12"/>
  <c r="N113" i="12" s="1"/>
  <c r="B113" i="12"/>
  <c r="X112" i="12"/>
  <c r="Z112" i="12" s="1"/>
  <c r="L112" i="12"/>
  <c r="N112" i="12" s="1"/>
  <c r="B112" i="12"/>
  <c r="Z111" i="12"/>
  <c r="X111" i="12"/>
  <c r="L111" i="12"/>
  <c r="N111" i="12" s="1"/>
  <c r="B111" i="12"/>
  <c r="T110" i="12"/>
  <c r="P110" i="12"/>
  <c r="X110" i="12" s="1"/>
  <c r="H110" i="12"/>
  <c r="N110" i="12" s="1"/>
  <c r="D110" i="12"/>
  <c r="L110" i="12" s="1"/>
  <c r="T108" i="12"/>
  <c r="Z108" i="12" s="1"/>
  <c r="P108" i="12"/>
  <c r="X108" i="12" s="1"/>
  <c r="L108" i="12"/>
  <c r="H108" i="12"/>
  <c r="N108" i="12" s="1"/>
  <c r="D108" i="12"/>
  <c r="B108" i="12"/>
  <c r="T107" i="12"/>
  <c r="P107" i="12"/>
  <c r="X107" i="12" s="1"/>
  <c r="L107" i="12"/>
  <c r="H107" i="12"/>
  <c r="N107" i="12" s="1"/>
  <c r="D107" i="12"/>
  <c r="B107" i="12"/>
  <c r="T106" i="12"/>
  <c r="P106" i="12"/>
  <c r="X106" i="12" s="1"/>
  <c r="L106" i="12"/>
  <c r="H106" i="12"/>
  <c r="N106" i="12" s="1"/>
  <c r="D106" i="12"/>
  <c r="B106" i="12"/>
  <c r="T105" i="12"/>
  <c r="P105" i="12"/>
  <c r="X105" i="12" s="1"/>
  <c r="H105" i="12"/>
  <c r="D105" i="12"/>
  <c r="B105" i="12"/>
  <c r="T104" i="12"/>
  <c r="Z104" i="12" s="1"/>
  <c r="P104" i="12"/>
  <c r="L104" i="12"/>
  <c r="H104" i="12"/>
  <c r="N104" i="12" s="1"/>
  <c r="D104" i="12"/>
  <c r="B104" i="12"/>
  <c r="T103" i="12"/>
  <c r="P103" i="12"/>
  <c r="L103" i="12"/>
  <c r="H103" i="12"/>
  <c r="D103" i="12"/>
  <c r="B103" i="12"/>
  <c r="T102" i="12"/>
  <c r="Z102" i="12" s="1"/>
  <c r="P102" i="12"/>
  <c r="X102" i="12" s="1"/>
  <c r="L102" i="12"/>
  <c r="H102" i="12"/>
  <c r="D102" i="12"/>
  <c r="B102" i="12"/>
  <c r="T101" i="12"/>
  <c r="P101" i="12"/>
  <c r="H101" i="12"/>
  <c r="D101" i="12"/>
  <c r="B101" i="12"/>
  <c r="T100" i="12"/>
  <c r="P100" i="12"/>
  <c r="L100" i="12"/>
  <c r="H100" i="12"/>
  <c r="N100" i="12" s="1"/>
  <c r="D100" i="12"/>
  <c r="B100" i="12"/>
  <c r="T99" i="12"/>
  <c r="P99" i="12"/>
  <c r="X99" i="12" s="1"/>
  <c r="L99" i="12"/>
  <c r="H99" i="12"/>
  <c r="N99" i="12" s="1"/>
  <c r="D99" i="12"/>
  <c r="B99" i="12"/>
  <c r="T98" i="12"/>
  <c r="Z98" i="12" s="1"/>
  <c r="P98" i="12"/>
  <c r="X98" i="12" s="1"/>
  <c r="L98" i="12"/>
  <c r="H98" i="12"/>
  <c r="N98" i="12" s="1"/>
  <c r="D98" i="12"/>
  <c r="B98" i="12"/>
  <c r="T97" i="12"/>
  <c r="P97" i="12"/>
  <c r="X97" i="12" s="1"/>
  <c r="L97" i="12"/>
  <c r="H97" i="12"/>
  <c r="N97" i="12" s="1"/>
  <c r="D97" i="12"/>
  <c r="B97" i="12"/>
  <c r="T96" i="12"/>
  <c r="P96" i="12"/>
  <c r="L96" i="12"/>
  <c r="H96" i="12"/>
  <c r="N96" i="12" s="1"/>
  <c r="D96" i="12"/>
  <c r="B96" i="12"/>
  <c r="T95" i="12"/>
  <c r="P95" i="12"/>
  <c r="X95" i="12" s="1"/>
  <c r="L95" i="12"/>
  <c r="H95" i="12"/>
  <c r="N95" i="12" s="1"/>
  <c r="D95" i="12"/>
  <c r="B95" i="12"/>
  <c r="T94" i="12"/>
  <c r="Z94" i="12" s="1"/>
  <c r="P94" i="12"/>
  <c r="X94" i="12" s="1"/>
  <c r="L94" i="12"/>
  <c r="H94" i="12"/>
  <c r="N94" i="12" s="1"/>
  <c r="D94" i="12"/>
  <c r="B94" i="12"/>
  <c r="T93" i="12"/>
  <c r="P93" i="12"/>
  <c r="X93" i="12" s="1"/>
  <c r="L93" i="12"/>
  <c r="H93" i="12"/>
  <c r="N93" i="12" s="1"/>
  <c r="D93" i="12"/>
  <c r="B93" i="12"/>
  <c r="T92" i="12"/>
  <c r="P92" i="12"/>
  <c r="L92" i="12"/>
  <c r="H92" i="12"/>
  <c r="N92" i="12" s="1"/>
  <c r="D92" i="12"/>
  <c r="B92" i="12"/>
  <c r="T91" i="12"/>
  <c r="P91" i="12"/>
  <c r="X91" i="12" s="1"/>
  <c r="L91" i="12"/>
  <c r="H91" i="12"/>
  <c r="N91" i="12" s="1"/>
  <c r="D91" i="12"/>
  <c r="B91" i="12"/>
  <c r="T90" i="12"/>
  <c r="Z90" i="12" s="1"/>
  <c r="P90" i="12"/>
  <c r="X90" i="12" s="1"/>
  <c r="L90" i="12"/>
  <c r="H90" i="12"/>
  <c r="N90" i="12" s="1"/>
  <c r="D90" i="12"/>
  <c r="B90" i="12"/>
  <c r="T89" i="12"/>
  <c r="P89" i="12"/>
  <c r="X89" i="12" s="1"/>
  <c r="L89" i="12"/>
  <c r="H89" i="12"/>
  <c r="N89" i="12" s="1"/>
  <c r="D89" i="12"/>
  <c r="B89" i="12"/>
  <c r="T88" i="12"/>
  <c r="P88" i="12"/>
  <c r="L88" i="12"/>
  <c r="H88" i="12"/>
  <c r="N88" i="12" s="1"/>
  <c r="D88" i="12"/>
  <c r="B88" i="12"/>
  <c r="T87" i="12"/>
  <c r="P87" i="12"/>
  <c r="X87" i="12" s="1"/>
  <c r="L87" i="12"/>
  <c r="H87" i="12"/>
  <c r="N87" i="12" s="1"/>
  <c r="D87" i="12"/>
  <c r="B87" i="12"/>
  <c r="T86" i="12"/>
  <c r="Z86" i="12" s="1"/>
  <c r="P86" i="12"/>
  <c r="X86" i="12" s="1"/>
  <c r="L86" i="12"/>
  <c r="H86" i="12"/>
  <c r="N86" i="12" s="1"/>
  <c r="D86" i="12"/>
  <c r="B86" i="12"/>
  <c r="T85" i="12"/>
  <c r="P85" i="12"/>
  <c r="X85" i="12" s="1"/>
  <c r="L85" i="12"/>
  <c r="H85" i="12"/>
  <c r="N85" i="12" s="1"/>
  <c r="D85" i="12"/>
  <c r="B85" i="12"/>
  <c r="T84" i="12"/>
  <c r="P84" i="12"/>
  <c r="L84" i="12"/>
  <c r="H84" i="12"/>
  <c r="N84" i="12" s="1"/>
  <c r="D84" i="12"/>
  <c r="B84" i="12"/>
  <c r="T83" i="12"/>
  <c r="P83" i="12"/>
  <c r="X83" i="12" s="1"/>
  <c r="L83" i="12"/>
  <c r="H83" i="12"/>
  <c r="N83" i="12" s="1"/>
  <c r="D83" i="12"/>
  <c r="B83" i="12"/>
  <c r="T82" i="12"/>
  <c r="Z82" i="12" s="1"/>
  <c r="P82" i="12"/>
  <c r="X82" i="12" s="1"/>
  <c r="L82" i="12"/>
  <c r="H82" i="12"/>
  <c r="N82" i="12" s="1"/>
  <c r="D82" i="12"/>
  <c r="B82" i="12"/>
  <c r="T81" i="12"/>
  <c r="P81" i="12"/>
  <c r="X81" i="12" s="1"/>
  <c r="L81" i="12"/>
  <c r="H81" i="12"/>
  <c r="N81" i="12" s="1"/>
  <c r="D81" i="12"/>
  <c r="B81" i="12"/>
  <c r="T80" i="12"/>
  <c r="P80" i="12"/>
  <c r="L80" i="12"/>
  <c r="H80" i="12"/>
  <c r="N80" i="12" s="1"/>
  <c r="D80" i="12"/>
  <c r="B80" i="12"/>
  <c r="T79" i="12"/>
  <c r="P79" i="12"/>
  <c r="X79" i="12" s="1"/>
  <c r="L79" i="12"/>
  <c r="H79" i="12"/>
  <c r="N79" i="12" s="1"/>
  <c r="D79" i="12"/>
  <c r="B79" i="12"/>
  <c r="T78" i="12"/>
  <c r="Z78" i="12" s="1"/>
  <c r="P78" i="12"/>
  <c r="X78" i="12" s="1"/>
  <c r="L78" i="12"/>
  <c r="H78" i="12"/>
  <c r="N78" i="12" s="1"/>
  <c r="D78" i="12"/>
  <c r="B78" i="12"/>
  <c r="T77" i="12"/>
  <c r="P77" i="12"/>
  <c r="X77" i="12" s="1"/>
  <c r="L77" i="12"/>
  <c r="H77" i="12"/>
  <c r="N77" i="12" s="1"/>
  <c r="D77" i="12"/>
  <c r="B77" i="12"/>
  <c r="T76" i="12"/>
  <c r="P76" i="12"/>
  <c r="L76" i="12"/>
  <c r="H76" i="12"/>
  <c r="N76" i="12" s="1"/>
  <c r="D76" i="12"/>
  <c r="B76" i="12"/>
  <c r="T75" i="12"/>
  <c r="P75" i="12"/>
  <c r="X75" i="12" s="1"/>
  <c r="L75" i="12"/>
  <c r="H75" i="12"/>
  <c r="N75" i="12" s="1"/>
  <c r="D75" i="12"/>
  <c r="B75" i="12"/>
  <c r="T74" i="12"/>
  <c r="Z74" i="12" s="1"/>
  <c r="P74" i="12"/>
  <c r="X74" i="12" s="1"/>
  <c r="L74" i="12"/>
  <c r="H74" i="12"/>
  <c r="N74" i="12" s="1"/>
  <c r="D74" i="12"/>
  <c r="B74" i="12"/>
  <c r="T73" i="12"/>
  <c r="P73" i="12"/>
  <c r="X73" i="12" s="1"/>
  <c r="L73" i="12"/>
  <c r="H73" i="12"/>
  <c r="N73" i="12" s="1"/>
  <c r="D73" i="12"/>
  <c r="B73" i="12"/>
  <c r="T72" i="12"/>
  <c r="P72" i="12"/>
  <c r="L72" i="12"/>
  <c r="H72" i="12"/>
  <c r="N72" i="12" s="1"/>
  <c r="D72" i="12"/>
  <c r="B72" i="12"/>
  <c r="T71" i="12"/>
  <c r="P71" i="12"/>
  <c r="X71" i="12" s="1"/>
  <c r="L71" i="12"/>
  <c r="H71" i="12"/>
  <c r="N71" i="12" s="1"/>
  <c r="D71" i="12"/>
  <c r="B71" i="12"/>
  <c r="T70" i="12"/>
  <c r="P70" i="12"/>
  <c r="L70" i="12"/>
  <c r="H70" i="12"/>
  <c r="N70" i="12" s="1"/>
  <c r="D70" i="12"/>
  <c r="B70" i="12"/>
  <c r="T69" i="12"/>
  <c r="P69" i="12"/>
  <c r="X69" i="12" s="1"/>
  <c r="L69" i="12"/>
  <c r="H69" i="12"/>
  <c r="N69" i="12" s="1"/>
  <c r="D69" i="12"/>
  <c r="B69" i="12"/>
  <c r="T68" i="12"/>
  <c r="P68" i="12"/>
  <c r="L68" i="12"/>
  <c r="H68" i="12"/>
  <c r="N68" i="12" s="1"/>
  <c r="D68" i="12"/>
  <c r="B68" i="12"/>
  <c r="T67" i="12"/>
  <c r="P67" i="12"/>
  <c r="X67" i="12" s="1"/>
  <c r="L67" i="12"/>
  <c r="H67" i="12"/>
  <c r="N67" i="12" s="1"/>
  <c r="D67" i="12"/>
  <c r="B67" i="12"/>
  <c r="T66" i="12"/>
  <c r="P66" i="12"/>
  <c r="L66" i="12"/>
  <c r="H66" i="12"/>
  <c r="N66" i="12" s="1"/>
  <c r="D66" i="12"/>
  <c r="B66" i="12"/>
  <c r="T65" i="12"/>
  <c r="P65" i="12"/>
  <c r="X65" i="12" s="1"/>
  <c r="L65" i="12"/>
  <c r="H65" i="12"/>
  <c r="N65" i="12" s="1"/>
  <c r="D65" i="12"/>
  <c r="B65" i="12"/>
  <c r="T64" i="12"/>
  <c r="P64" i="12"/>
  <c r="L64" i="12"/>
  <c r="H64" i="12"/>
  <c r="N64" i="12" s="1"/>
  <c r="D64" i="12"/>
  <c r="B64" i="12"/>
  <c r="T63" i="12"/>
  <c r="P63" i="12"/>
  <c r="X63" i="12" s="1"/>
  <c r="L63" i="12"/>
  <c r="H63" i="12"/>
  <c r="N63" i="12" s="1"/>
  <c r="D63" i="12"/>
  <c r="B63" i="12"/>
  <c r="T62" i="12"/>
  <c r="P62" i="12"/>
  <c r="L62" i="12"/>
  <c r="H62" i="12"/>
  <c r="N62" i="12" s="1"/>
  <c r="D62" i="12"/>
  <c r="B62" i="12"/>
  <c r="T61" i="12"/>
  <c r="P61" i="12"/>
  <c r="X61" i="12" s="1"/>
  <c r="L61" i="12"/>
  <c r="H61" i="12"/>
  <c r="N61" i="12" s="1"/>
  <c r="D61" i="12"/>
  <c r="B61" i="12"/>
  <c r="T60" i="12"/>
  <c r="P60" i="12"/>
  <c r="L60" i="12"/>
  <c r="H60" i="12"/>
  <c r="N60" i="12" s="1"/>
  <c r="D60" i="12"/>
  <c r="B60" i="12"/>
  <c r="T59" i="12"/>
  <c r="P59" i="12"/>
  <c r="X59" i="12" s="1"/>
  <c r="L59" i="12"/>
  <c r="H59" i="12"/>
  <c r="N59" i="12" s="1"/>
  <c r="D59" i="12"/>
  <c r="B59" i="12"/>
  <c r="T58" i="12"/>
  <c r="P58" i="12"/>
  <c r="L58" i="12"/>
  <c r="H58" i="12"/>
  <c r="N58" i="12" s="1"/>
  <c r="D58" i="12"/>
  <c r="B58" i="12"/>
  <c r="T57" i="12"/>
  <c r="P57" i="12"/>
  <c r="X57" i="12" s="1"/>
  <c r="L57" i="12"/>
  <c r="H57" i="12"/>
  <c r="N57" i="12" s="1"/>
  <c r="D57" i="12"/>
  <c r="B57" i="12"/>
  <c r="T56" i="12"/>
  <c r="P56" i="12"/>
  <c r="L56" i="12"/>
  <c r="H56" i="12"/>
  <c r="N56" i="12" s="1"/>
  <c r="D56" i="12"/>
  <c r="B56" i="12"/>
  <c r="T55" i="12"/>
  <c r="P55" i="12"/>
  <c r="X55" i="12" s="1"/>
  <c r="L55" i="12"/>
  <c r="H55" i="12"/>
  <c r="N55" i="12" s="1"/>
  <c r="D55" i="12"/>
  <c r="B55" i="12"/>
  <c r="T54" i="12"/>
  <c r="P54" i="12"/>
  <c r="L54" i="12"/>
  <c r="H54" i="12"/>
  <c r="N54" i="12" s="1"/>
  <c r="D54" i="12"/>
  <c r="B54" i="12"/>
  <c r="T53" i="12"/>
  <c r="P53" i="12"/>
  <c r="X53" i="12" s="1"/>
  <c r="L53" i="12"/>
  <c r="H53" i="12"/>
  <c r="N53" i="12" s="1"/>
  <c r="D53" i="12"/>
  <c r="B53" i="12"/>
  <c r="T52" i="12"/>
  <c r="P52" i="12"/>
  <c r="L52" i="12"/>
  <c r="H52" i="12"/>
  <c r="N52" i="12" s="1"/>
  <c r="D52" i="12"/>
  <c r="B52" i="12"/>
  <c r="T51" i="12"/>
  <c r="P51" i="12"/>
  <c r="X51" i="12" s="1"/>
  <c r="L51" i="12"/>
  <c r="H51" i="12"/>
  <c r="N51" i="12" s="1"/>
  <c r="D51" i="12"/>
  <c r="B51" i="12"/>
  <c r="T50" i="12"/>
  <c r="P50" i="12"/>
  <c r="L50" i="12"/>
  <c r="H50" i="12"/>
  <c r="N50" i="12" s="1"/>
  <c r="D50" i="12"/>
  <c r="B50" i="12"/>
  <c r="T49" i="12"/>
  <c r="P49" i="12"/>
  <c r="X49" i="12" s="1"/>
  <c r="L49" i="12"/>
  <c r="H49" i="12"/>
  <c r="N49" i="12" s="1"/>
  <c r="D49" i="12"/>
  <c r="B49" i="12"/>
  <c r="T48" i="12"/>
  <c r="P48" i="12"/>
  <c r="L48" i="12"/>
  <c r="H48" i="12"/>
  <c r="N48" i="12" s="1"/>
  <c r="D48" i="12"/>
  <c r="B48" i="12"/>
  <c r="T47" i="12"/>
  <c r="P47" i="12"/>
  <c r="X47" i="12" s="1"/>
  <c r="L47" i="12"/>
  <c r="H47" i="12"/>
  <c r="N47" i="12" s="1"/>
  <c r="D47" i="12"/>
  <c r="B47" i="12"/>
  <c r="T46" i="12"/>
  <c r="P46" i="12"/>
  <c r="L46" i="12"/>
  <c r="H46" i="12"/>
  <c r="N46" i="12" s="1"/>
  <c r="D46" i="12"/>
  <c r="B46" i="12"/>
  <c r="T45" i="12"/>
  <c r="P45" i="12"/>
  <c r="X45" i="12" s="1"/>
  <c r="L45" i="12"/>
  <c r="H45" i="12"/>
  <c r="N45" i="12" s="1"/>
  <c r="D45" i="12"/>
  <c r="B45" i="12"/>
  <c r="T44" i="12"/>
  <c r="P44" i="12"/>
  <c r="L44" i="12"/>
  <c r="H44" i="12"/>
  <c r="N44" i="12" s="1"/>
  <c r="D44" i="12"/>
  <c r="B44" i="12"/>
  <c r="T43" i="12"/>
  <c r="P43" i="12"/>
  <c r="X43" i="12" s="1"/>
  <c r="L43" i="12"/>
  <c r="H43" i="12"/>
  <c r="N43" i="12" s="1"/>
  <c r="D43" i="12"/>
  <c r="B43" i="12"/>
  <c r="T42" i="12"/>
  <c r="P42" i="12"/>
  <c r="L42" i="12"/>
  <c r="H42" i="12"/>
  <c r="N42" i="12" s="1"/>
  <c r="D42" i="12"/>
  <c r="B42" i="12"/>
  <c r="T41" i="12"/>
  <c r="P41" i="12"/>
  <c r="X41" i="12" s="1"/>
  <c r="L41" i="12"/>
  <c r="H41" i="12"/>
  <c r="N41" i="12" s="1"/>
  <c r="D41" i="12"/>
  <c r="B41" i="12"/>
  <c r="T40" i="12"/>
  <c r="P40" i="12"/>
  <c r="L40" i="12"/>
  <c r="H40" i="12"/>
  <c r="N40" i="12" s="1"/>
  <c r="D40" i="12"/>
  <c r="B40" i="12"/>
  <c r="T39" i="12"/>
  <c r="P39" i="12"/>
  <c r="X39" i="12" s="1"/>
  <c r="L39" i="12"/>
  <c r="H39" i="12"/>
  <c r="N39" i="12" s="1"/>
  <c r="D39" i="12"/>
  <c r="B39" i="12"/>
  <c r="T38" i="12"/>
  <c r="P38" i="12"/>
  <c r="L38" i="12"/>
  <c r="H38" i="12"/>
  <c r="N38" i="12" s="1"/>
  <c r="D38" i="12"/>
  <c r="B38" i="12"/>
  <c r="T37" i="12"/>
  <c r="P37" i="12"/>
  <c r="X37" i="12" s="1"/>
  <c r="L37" i="12"/>
  <c r="H37" i="12"/>
  <c r="N37" i="12" s="1"/>
  <c r="D37" i="12"/>
  <c r="B37" i="12"/>
  <c r="T36" i="12"/>
  <c r="P36" i="12"/>
  <c r="L36" i="12"/>
  <c r="H36" i="12"/>
  <c r="N36" i="12" s="1"/>
  <c r="D36" i="12"/>
  <c r="B36" i="12"/>
  <c r="T35" i="12"/>
  <c r="P35" i="12"/>
  <c r="X35" i="12" s="1"/>
  <c r="L35" i="12"/>
  <c r="H35" i="12"/>
  <c r="N35" i="12" s="1"/>
  <c r="D35" i="12"/>
  <c r="B35" i="12"/>
  <c r="T34" i="12"/>
  <c r="P34" i="12"/>
  <c r="L34" i="12"/>
  <c r="H34" i="12"/>
  <c r="N34" i="12" s="1"/>
  <c r="D34" i="12"/>
  <c r="B34" i="12"/>
  <c r="T33" i="12"/>
  <c r="P33" i="12"/>
  <c r="X33" i="12" s="1"/>
  <c r="L33" i="12"/>
  <c r="H33" i="12"/>
  <c r="N33" i="12" s="1"/>
  <c r="D33" i="12"/>
  <c r="B33" i="12"/>
  <c r="T32" i="12"/>
  <c r="P32" i="12"/>
  <c r="L32" i="12"/>
  <c r="H32" i="12"/>
  <c r="N32" i="12" s="1"/>
  <c r="D32" i="12"/>
  <c r="B32" i="12"/>
  <c r="T31" i="12"/>
  <c r="P31" i="12"/>
  <c r="X31" i="12" s="1"/>
  <c r="L31" i="12"/>
  <c r="H31" i="12"/>
  <c r="N31" i="12" s="1"/>
  <c r="D31" i="12"/>
  <c r="B31" i="12"/>
  <c r="T30" i="12"/>
  <c r="P30" i="12"/>
  <c r="L30" i="12"/>
  <c r="H30" i="12"/>
  <c r="N30" i="12" s="1"/>
  <c r="D30" i="12"/>
  <c r="B30" i="12"/>
  <c r="T29" i="12"/>
  <c r="P29" i="12"/>
  <c r="X29" i="12" s="1"/>
  <c r="L29" i="12"/>
  <c r="H29" i="12"/>
  <c r="N29" i="12" s="1"/>
  <c r="D29" i="12"/>
  <c r="B29" i="12"/>
  <c r="T28" i="12"/>
  <c r="P28" i="12"/>
  <c r="L28" i="12"/>
  <c r="H28" i="12"/>
  <c r="N28" i="12" s="1"/>
  <c r="D28" i="12"/>
  <c r="B28" i="12"/>
  <c r="T27" i="12"/>
  <c r="P27" i="12"/>
  <c r="X27" i="12" s="1"/>
  <c r="L27" i="12"/>
  <c r="H27" i="12"/>
  <c r="N27" i="12" s="1"/>
  <c r="D27" i="12"/>
  <c r="B27" i="12"/>
  <c r="T26" i="12"/>
  <c r="P26" i="12"/>
  <c r="L26" i="12"/>
  <c r="H26" i="12"/>
  <c r="N26" i="12" s="1"/>
  <c r="D26" i="12"/>
  <c r="B26" i="12"/>
  <c r="T25" i="12"/>
  <c r="P25" i="12"/>
  <c r="X25" i="12" s="1"/>
  <c r="L25" i="12"/>
  <c r="H25" i="12"/>
  <c r="N25" i="12" s="1"/>
  <c r="D25" i="12"/>
  <c r="B25" i="12"/>
  <c r="T24" i="12"/>
  <c r="P24" i="12"/>
  <c r="L24" i="12"/>
  <c r="H24" i="12"/>
  <c r="N24" i="12" s="1"/>
  <c r="D24" i="12"/>
  <c r="B24" i="12"/>
  <c r="T23" i="12"/>
  <c r="P23" i="12"/>
  <c r="X23" i="12" s="1"/>
  <c r="L23" i="12"/>
  <c r="H23" i="12"/>
  <c r="N23" i="12" s="1"/>
  <c r="D23" i="12"/>
  <c r="B23" i="12"/>
  <c r="T22" i="12"/>
  <c r="P22" i="12"/>
  <c r="L22" i="12"/>
  <c r="H22" i="12"/>
  <c r="N22" i="12" s="1"/>
  <c r="D22" i="12"/>
  <c r="B22" i="12"/>
  <c r="T21" i="12"/>
  <c r="P21" i="12"/>
  <c r="X21" i="12" s="1"/>
  <c r="L21" i="12"/>
  <c r="H21" i="12"/>
  <c r="N21" i="12" s="1"/>
  <c r="D21" i="12"/>
  <c r="B21" i="12"/>
  <c r="T20" i="12"/>
  <c r="P20" i="12"/>
  <c r="L20" i="12"/>
  <c r="H20" i="12"/>
  <c r="N20" i="12" s="1"/>
  <c r="D20" i="12"/>
  <c r="B20" i="12"/>
  <c r="T19" i="12"/>
  <c r="P19" i="12"/>
  <c r="X19" i="12" s="1"/>
  <c r="L19" i="12"/>
  <c r="H19" i="12"/>
  <c r="N19" i="12" s="1"/>
  <c r="D19" i="12"/>
  <c r="B19" i="12"/>
  <c r="T18" i="12"/>
  <c r="P18" i="12"/>
  <c r="L18" i="12"/>
  <c r="H18" i="12"/>
  <c r="N18" i="12" s="1"/>
  <c r="D18" i="12"/>
  <c r="B18" i="12"/>
  <c r="T17" i="12"/>
  <c r="P17" i="12"/>
  <c r="X17" i="12" s="1"/>
  <c r="L17" i="12"/>
  <c r="H17" i="12"/>
  <c r="N17" i="12" s="1"/>
  <c r="D17" i="12"/>
  <c r="B17" i="12"/>
  <c r="T16" i="12"/>
  <c r="P16" i="12"/>
  <c r="L16" i="12"/>
  <c r="H16" i="12"/>
  <c r="N16" i="12" s="1"/>
  <c r="D16" i="12"/>
  <c r="B16" i="12"/>
  <c r="T15" i="12"/>
  <c r="P15" i="12"/>
  <c r="X15" i="12" s="1"/>
  <c r="L15" i="12"/>
  <c r="H15" i="12"/>
  <c r="N15" i="12" s="1"/>
  <c r="D15" i="12"/>
  <c r="B15" i="12"/>
  <c r="T14" i="12"/>
  <c r="T12" i="12" s="1"/>
  <c r="V137" i="12" s="1"/>
  <c r="P14" i="12"/>
  <c r="P12" i="12" s="1"/>
  <c r="R168" i="12" s="1"/>
  <c r="L14" i="12"/>
  <c r="H14" i="12"/>
  <c r="N14" i="12" s="1"/>
  <c r="D14" i="12"/>
  <c r="B14" i="12"/>
  <c r="T13" i="12"/>
  <c r="Z13" i="12" s="1"/>
  <c r="P13" i="12"/>
  <c r="L13" i="12"/>
  <c r="H13" i="12"/>
  <c r="D13" i="12"/>
  <c r="B13" i="12"/>
  <c r="D12" i="12"/>
  <c r="F271" i="12" s="1"/>
  <c r="D4" i="12"/>
  <c r="V99" i="9"/>
  <c r="F99" i="9"/>
  <c r="F96" i="9"/>
  <c r="Z94" i="9"/>
  <c r="X94" i="9"/>
  <c r="V94" i="9"/>
  <c r="N94" i="9"/>
  <c r="L94" i="9"/>
  <c r="F94" i="9"/>
  <c r="F92" i="9"/>
  <c r="Z90" i="9"/>
  <c r="X90" i="9"/>
  <c r="V90" i="9"/>
  <c r="T90" i="9"/>
  <c r="P90" i="9"/>
  <c r="N90" i="9"/>
  <c r="L90" i="9"/>
  <c r="H90" i="9"/>
  <c r="F90" i="9"/>
  <c r="D90" i="9"/>
  <c r="Z88" i="9"/>
  <c r="X88" i="9"/>
  <c r="V88" i="9"/>
  <c r="N88" i="9"/>
  <c r="L88" i="9"/>
  <c r="F88" i="9"/>
  <c r="B88" i="9"/>
  <c r="X87" i="9"/>
  <c r="Z87" i="9" s="1"/>
  <c r="V87" i="9"/>
  <c r="L87" i="9"/>
  <c r="N87" i="9" s="1"/>
  <c r="F87" i="9"/>
  <c r="B87" i="9"/>
  <c r="T86" i="9"/>
  <c r="P86" i="9"/>
  <c r="X86" i="9" s="1"/>
  <c r="Z86" i="9" s="1"/>
  <c r="L86" i="9"/>
  <c r="N86" i="9" s="1"/>
  <c r="H86" i="9"/>
  <c r="F86" i="9"/>
  <c r="D86" i="9"/>
  <c r="B86" i="9"/>
  <c r="Z85" i="9"/>
  <c r="X85" i="9"/>
  <c r="L85" i="9"/>
  <c r="N85" i="9" s="1"/>
  <c r="F85" i="9"/>
  <c r="B85" i="9"/>
  <c r="Z84" i="9"/>
  <c r="V84" i="9"/>
  <c r="T84" i="9"/>
  <c r="X84" i="9" s="1"/>
  <c r="P84" i="9"/>
  <c r="H84" i="9"/>
  <c r="F84" i="9"/>
  <c r="D84" i="9"/>
  <c r="B84" i="9"/>
  <c r="X83" i="9"/>
  <c r="Z83" i="9" s="1"/>
  <c r="V83" i="9"/>
  <c r="L83" i="9"/>
  <c r="N83" i="9" s="1"/>
  <c r="F83" i="9"/>
  <c r="B83" i="9"/>
  <c r="Z82" i="9"/>
  <c r="X82" i="9"/>
  <c r="V82" i="9"/>
  <c r="N82" i="9"/>
  <c r="L82" i="9"/>
  <c r="J82" i="9"/>
  <c r="B82" i="9"/>
  <c r="Z81" i="9"/>
  <c r="X81" i="9"/>
  <c r="V81" i="9"/>
  <c r="T81" i="9"/>
  <c r="P81" i="9"/>
  <c r="J81" i="9"/>
  <c r="H81" i="9"/>
  <c r="D81" i="9"/>
  <c r="L81" i="9" s="1"/>
  <c r="B81" i="9"/>
  <c r="Z80" i="9"/>
  <c r="X80" i="9"/>
  <c r="V80" i="9"/>
  <c r="N80" i="9"/>
  <c r="L80" i="9"/>
  <c r="F80" i="9"/>
  <c r="B80" i="9"/>
  <c r="X79" i="9"/>
  <c r="Z79" i="9" s="1"/>
  <c r="V79" i="9"/>
  <c r="L79" i="9"/>
  <c r="N79" i="9" s="1"/>
  <c r="F79" i="9"/>
  <c r="B79" i="9"/>
  <c r="Z78" i="9"/>
  <c r="X78" i="9"/>
  <c r="N78" i="9"/>
  <c r="L78" i="9"/>
  <c r="J78" i="9"/>
  <c r="F78" i="9"/>
  <c r="B78" i="9"/>
  <c r="X77" i="9"/>
  <c r="Z77" i="9" s="1"/>
  <c r="R77" i="9"/>
  <c r="N77" i="9"/>
  <c r="L77" i="9"/>
  <c r="F77" i="9"/>
  <c r="B77" i="9"/>
  <c r="X76" i="9"/>
  <c r="Z76" i="9" s="1"/>
  <c r="V76" i="9"/>
  <c r="T76" i="9"/>
  <c r="P76" i="9"/>
  <c r="L76" i="9"/>
  <c r="N76" i="9" s="1"/>
  <c r="H76" i="9"/>
  <c r="F76" i="9"/>
  <c r="D76" i="9"/>
  <c r="B76" i="9"/>
  <c r="Z75" i="9"/>
  <c r="X75" i="9"/>
  <c r="L75" i="9"/>
  <c r="N75" i="9" s="1"/>
  <c r="F75" i="9"/>
  <c r="B75" i="9"/>
  <c r="X74" i="9"/>
  <c r="Z74" i="9" s="1"/>
  <c r="V74" i="9"/>
  <c r="N74" i="9"/>
  <c r="L74" i="9"/>
  <c r="F74" i="9"/>
  <c r="B74" i="9"/>
  <c r="T73" i="9"/>
  <c r="P73" i="9"/>
  <c r="N73" i="9"/>
  <c r="L73" i="9"/>
  <c r="H73" i="9"/>
  <c r="F73" i="9"/>
  <c r="D73" i="9"/>
  <c r="B73" i="9"/>
  <c r="Z72" i="9"/>
  <c r="X72" i="9"/>
  <c r="R72" i="9"/>
  <c r="L72" i="9"/>
  <c r="N72" i="9" s="1"/>
  <c r="B72" i="9"/>
  <c r="X71" i="9"/>
  <c r="Z71" i="9" s="1"/>
  <c r="V71" i="9"/>
  <c r="L71" i="9"/>
  <c r="N71" i="9" s="1"/>
  <c r="F71" i="9"/>
  <c r="B71" i="9"/>
  <c r="Z70" i="9"/>
  <c r="V70" i="9"/>
  <c r="T70" i="9"/>
  <c r="P70" i="9"/>
  <c r="X70" i="9" s="1"/>
  <c r="H70" i="9"/>
  <c r="F70" i="9"/>
  <c r="D70" i="9"/>
  <c r="B70" i="9"/>
  <c r="X69" i="9"/>
  <c r="Z69" i="9" s="1"/>
  <c r="L69" i="9"/>
  <c r="N69" i="9" s="1"/>
  <c r="F69" i="9"/>
  <c r="B69" i="9"/>
  <c r="X68" i="9"/>
  <c r="Z68" i="9" s="1"/>
  <c r="V68" i="9"/>
  <c r="N68" i="9"/>
  <c r="L68" i="9"/>
  <c r="F68" i="9"/>
  <c r="B68" i="9"/>
  <c r="X67" i="9"/>
  <c r="Z67" i="9" s="1"/>
  <c r="V67" i="9"/>
  <c r="N67" i="9"/>
  <c r="L67" i="9"/>
  <c r="F67" i="9"/>
  <c r="B67" i="9"/>
  <c r="Z66" i="9"/>
  <c r="X66" i="9"/>
  <c r="V66" i="9"/>
  <c r="L66" i="9"/>
  <c r="N66" i="9" s="1"/>
  <c r="F66" i="9"/>
  <c r="B66" i="9"/>
  <c r="T65" i="9"/>
  <c r="P65" i="9"/>
  <c r="X65" i="9" s="1"/>
  <c r="H65" i="9"/>
  <c r="F65" i="9"/>
  <c r="D65" i="9"/>
  <c r="L65" i="9" s="1"/>
  <c r="B65" i="9"/>
  <c r="Z64" i="9"/>
  <c r="X64" i="9"/>
  <c r="N64" i="9"/>
  <c r="L64" i="9"/>
  <c r="F64" i="9"/>
  <c r="B64" i="9"/>
  <c r="Z63" i="9"/>
  <c r="X63" i="9"/>
  <c r="N63" i="9"/>
  <c r="L63" i="9"/>
  <c r="F63" i="9"/>
  <c r="B63" i="9"/>
  <c r="Z62" i="9"/>
  <c r="X62" i="9"/>
  <c r="V62" i="9"/>
  <c r="N62" i="9"/>
  <c r="L62" i="9"/>
  <c r="J62" i="9"/>
  <c r="F62" i="9"/>
  <c r="B62" i="9"/>
  <c r="X61" i="9"/>
  <c r="Z61" i="9" s="1"/>
  <c r="N61" i="9"/>
  <c r="L61" i="9"/>
  <c r="F61" i="9"/>
  <c r="B61" i="9"/>
  <c r="X60" i="9"/>
  <c r="V60" i="9"/>
  <c r="T60" i="9"/>
  <c r="Z60" i="9" s="1"/>
  <c r="P60" i="9"/>
  <c r="L60" i="9"/>
  <c r="H60" i="9"/>
  <c r="N60" i="9" s="1"/>
  <c r="F60" i="9"/>
  <c r="D60" i="9"/>
  <c r="B60" i="9"/>
  <c r="Z59" i="9"/>
  <c r="X59" i="9"/>
  <c r="V59" i="9"/>
  <c r="L59" i="9"/>
  <c r="N59" i="9" s="1"/>
  <c r="F59" i="9"/>
  <c r="B59" i="9"/>
  <c r="T58" i="9"/>
  <c r="P58" i="9"/>
  <c r="N58" i="9"/>
  <c r="H58" i="9"/>
  <c r="F58" i="9"/>
  <c r="D58" i="9"/>
  <c r="L58" i="9" s="1"/>
  <c r="B58" i="9"/>
  <c r="X57" i="9"/>
  <c r="Z57" i="9" s="1"/>
  <c r="V57" i="9"/>
  <c r="N57" i="9"/>
  <c r="L57" i="9"/>
  <c r="F57" i="9"/>
  <c r="B57" i="9"/>
  <c r="V56" i="9"/>
  <c r="T56" i="9"/>
  <c r="P56" i="9"/>
  <c r="X56" i="9" s="1"/>
  <c r="Z56" i="9" s="1"/>
  <c r="J56" i="9"/>
  <c r="H56" i="9"/>
  <c r="F56" i="9"/>
  <c r="D56" i="9"/>
  <c r="L56" i="9" s="1"/>
  <c r="N56" i="9" s="1"/>
  <c r="B56" i="9"/>
  <c r="X55" i="9"/>
  <c r="Z55" i="9" s="1"/>
  <c r="N55" i="9"/>
  <c r="L55" i="9"/>
  <c r="F55" i="9"/>
  <c r="B55" i="9"/>
  <c r="X54" i="9"/>
  <c r="V54" i="9"/>
  <c r="T54" i="9"/>
  <c r="Z54" i="9" s="1"/>
  <c r="P54" i="9"/>
  <c r="L54" i="9"/>
  <c r="H54" i="9"/>
  <c r="N54" i="9" s="1"/>
  <c r="F54" i="9"/>
  <c r="D54" i="9"/>
  <c r="B54" i="9"/>
  <c r="Z53" i="9"/>
  <c r="X53" i="9"/>
  <c r="V53" i="9"/>
  <c r="L53" i="9"/>
  <c r="N53" i="9" s="1"/>
  <c r="F53" i="9"/>
  <c r="B53" i="9"/>
  <c r="T52" i="9"/>
  <c r="P52" i="9"/>
  <c r="N52" i="9"/>
  <c r="H52" i="9"/>
  <c r="F52" i="9"/>
  <c r="D52" i="9"/>
  <c r="L52" i="9" s="1"/>
  <c r="B52" i="9"/>
  <c r="X51" i="9"/>
  <c r="Z51" i="9" s="1"/>
  <c r="V51" i="9"/>
  <c r="N51" i="9"/>
  <c r="L51" i="9"/>
  <c r="F51" i="9"/>
  <c r="B51" i="9"/>
  <c r="V50" i="9"/>
  <c r="T50" i="9"/>
  <c r="P50" i="9"/>
  <c r="X50" i="9" s="1"/>
  <c r="Z50" i="9" s="1"/>
  <c r="J50" i="9"/>
  <c r="H50" i="9"/>
  <c r="F50" i="9"/>
  <c r="D50" i="9"/>
  <c r="L50" i="9" s="1"/>
  <c r="N50" i="9" s="1"/>
  <c r="B50" i="9"/>
  <c r="X49" i="9"/>
  <c r="Z49" i="9" s="1"/>
  <c r="N49" i="9"/>
  <c r="L49" i="9"/>
  <c r="F49" i="9"/>
  <c r="B49" i="9"/>
  <c r="X48" i="9"/>
  <c r="V48" i="9"/>
  <c r="T48" i="9"/>
  <c r="Z48" i="9" s="1"/>
  <c r="P48" i="9"/>
  <c r="L48" i="9"/>
  <c r="H48" i="9"/>
  <c r="N48" i="9" s="1"/>
  <c r="F48" i="9"/>
  <c r="D48" i="9"/>
  <c r="B48" i="9"/>
  <c r="Z47" i="9"/>
  <c r="X47" i="9"/>
  <c r="V47" i="9"/>
  <c r="L47" i="9"/>
  <c r="N47" i="9" s="1"/>
  <c r="F47" i="9"/>
  <c r="B47" i="9"/>
  <c r="Z46" i="9"/>
  <c r="X46" i="9"/>
  <c r="V46" i="9"/>
  <c r="N46" i="9"/>
  <c r="L46" i="9"/>
  <c r="B46" i="9"/>
  <c r="V45" i="9"/>
  <c r="T45" i="9"/>
  <c r="P45" i="9"/>
  <c r="X45" i="9" s="1"/>
  <c r="Z45" i="9" s="1"/>
  <c r="L45" i="9"/>
  <c r="H45" i="9"/>
  <c r="N45" i="9" s="1"/>
  <c r="D45" i="9"/>
  <c r="B45" i="9"/>
  <c r="X44" i="9"/>
  <c r="Z44" i="9" s="1"/>
  <c r="V44" i="9"/>
  <c r="N44" i="9"/>
  <c r="L44" i="9"/>
  <c r="F44" i="9"/>
  <c r="B44" i="9"/>
  <c r="V43" i="9"/>
  <c r="T43" i="9"/>
  <c r="P43" i="9"/>
  <c r="H43" i="9"/>
  <c r="F43" i="9"/>
  <c r="D43" i="9"/>
  <c r="B43" i="9"/>
  <c r="Z42" i="9"/>
  <c r="X42" i="9"/>
  <c r="V42" i="9"/>
  <c r="N42" i="9"/>
  <c r="L42" i="9"/>
  <c r="F42" i="9"/>
  <c r="B42" i="9"/>
  <c r="X41" i="9"/>
  <c r="Z41" i="9" s="1"/>
  <c r="T41" i="9"/>
  <c r="R41" i="9"/>
  <c r="P41" i="9"/>
  <c r="N41" i="9"/>
  <c r="L41" i="9"/>
  <c r="H41" i="9"/>
  <c r="F41" i="9"/>
  <c r="D41" i="9"/>
  <c r="B41" i="9"/>
  <c r="Z40" i="9"/>
  <c r="X40" i="9"/>
  <c r="V40" i="9"/>
  <c r="N40" i="9"/>
  <c r="L40" i="9"/>
  <c r="J40" i="9"/>
  <c r="B40" i="9"/>
  <c r="V39" i="9"/>
  <c r="T39" i="9"/>
  <c r="P39" i="9"/>
  <c r="X39" i="9" s="1"/>
  <c r="Z39" i="9" s="1"/>
  <c r="H39" i="9"/>
  <c r="D39" i="9"/>
  <c r="B39" i="9"/>
  <c r="Z38" i="9"/>
  <c r="X38" i="9"/>
  <c r="N38" i="9"/>
  <c r="L38" i="9"/>
  <c r="J38" i="9"/>
  <c r="F38" i="9"/>
  <c r="B38" i="9"/>
  <c r="X37" i="9"/>
  <c r="Z37" i="9" s="1"/>
  <c r="V37" i="9"/>
  <c r="N37" i="9"/>
  <c r="L37" i="9"/>
  <c r="F37" i="9"/>
  <c r="B37" i="9"/>
  <c r="Z36" i="9"/>
  <c r="X36" i="9"/>
  <c r="V36" i="9"/>
  <c r="L36" i="9"/>
  <c r="N36" i="9" s="1"/>
  <c r="F36" i="9"/>
  <c r="B36" i="9"/>
  <c r="X35" i="9"/>
  <c r="Z35" i="9" s="1"/>
  <c r="V35" i="9"/>
  <c r="L35" i="9"/>
  <c r="N35" i="9" s="1"/>
  <c r="F35" i="9"/>
  <c r="B35" i="9"/>
  <c r="X34" i="9"/>
  <c r="Z34" i="9" s="1"/>
  <c r="N34" i="9"/>
  <c r="L34" i="9"/>
  <c r="J34" i="9"/>
  <c r="F34" i="9"/>
  <c r="B34" i="9"/>
  <c r="X33" i="9"/>
  <c r="Z33" i="9" s="1"/>
  <c r="V33" i="9"/>
  <c r="N33" i="9"/>
  <c r="L33" i="9"/>
  <c r="F33" i="9"/>
  <c r="B33" i="9"/>
  <c r="Z32" i="9"/>
  <c r="X32" i="9"/>
  <c r="V32" i="9"/>
  <c r="N32" i="9"/>
  <c r="L32" i="9"/>
  <c r="F32" i="9"/>
  <c r="B32" i="9"/>
  <c r="V31" i="9"/>
  <c r="T31" i="9"/>
  <c r="P31" i="9"/>
  <c r="X31" i="9" s="1"/>
  <c r="J31" i="9"/>
  <c r="H31" i="9"/>
  <c r="F31" i="9"/>
  <c r="D31" i="9"/>
  <c r="B31" i="9"/>
  <c r="X30" i="9"/>
  <c r="Z30" i="9" s="1"/>
  <c r="V30" i="9"/>
  <c r="N30" i="9"/>
  <c r="L30" i="9"/>
  <c r="F30" i="9"/>
  <c r="B30" i="9"/>
  <c r="Z29" i="9"/>
  <c r="X29" i="9"/>
  <c r="L29" i="9"/>
  <c r="N29" i="9" s="1"/>
  <c r="F29" i="9"/>
  <c r="B29" i="9"/>
  <c r="Z28" i="9"/>
  <c r="X28" i="9"/>
  <c r="V28" i="9"/>
  <c r="N28" i="9"/>
  <c r="L28" i="9"/>
  <c r="F28" i="9"/>
  <c r="B28" i="9"/>
  <c r="X27" i="9"/>
  <c r="Z27" i="9" s="1"/>
  <c r="N27" i="9"/>
  <c r="L27" i="9"/>
  <c r="J27" i="9"/>
  <c r="F27" i="9"/>
  <c r="B27" i="9"/>
  <c r="X26" i="9"/>
  <c r="Z26" i="9" s="1"/>
  <c r="V26" i="9"/>
  <c r="N26" i="9"/>
  <c r="L26" i="9"/>
  <c r="F26" i="9"/>
  <c r="B26" i="9"/>
  <c r="Z25" i="9"/>
  <c r="X25" i="9"/>
  <c r="N25" i="9"/>
  <c r="L25" i="9"/>
  <c r="F25" i="9"/>
  <c r="B25" i="9"/>
  <c r="Z24" i="9"/>
  <c r="X24" i="9"/>
  <c r="V24" i="9"/>
  <c r="N24" i="9"/>
  <c r="L24" i="9"/>
  <c r="F24" i="9"/>
  <c r="B24" i="9"/>
  <c r="X23" i="9"/>
  <c r="Z23" i="9" s="1"/>
  <c r="N23" i="9"/>
  <c r="L23" i="9"/>
  <c r="J23" i="9"/>
  <c r="F23" i="9"/>
  <c r="B23" i="9"/>
  <c r="Z22" i="9"/>
  <c r="X22" i="9"/>
  <c r="N22" i="9"/>
  <c r="L22" i="9"/>
  <c r="F22" i="9"/>
  <c r="B22" i="9"/>
  <c r="Z21" i="9"/>
  <c r="X21" i="9"/>
  <c r="N21" i="9"/>
  <c r="L21" i="9"/>
  <c r="F21" i="9"/>
  <c r="B21" i="9"/>
  <c r="Z20" i="9"/>
  <c r="X20" i="9"/>
  <c r="V20" i="9"/>
  <c r="N20" i="9"/>
  <c r="L20" i="9"/>
  <c r="J20" i="9"/>
  <c r="F20" i="9"/>
  <c r="B20" i="9"/>
  <c r="X19" i="9"/>
  <c r="T19" i="9"/>
  <c r="Z19" i="9" s="1"/>
  <c r="P19" i="9"/>
  <c r="H19" i="9"/>
  <c r="F19" i="9"/>
  <c r="D19" i="9"/>
  <c r="L19" i="9" s="1"/>
  <c r="B19" i="9"/>
  <c r="T18" i="9"/>
  <c r="Z18" i="9" s="1"/>
  <c r="P18" i="9"/>
  <c r="X18" i="9" s="1"/>
  <c r="H18" i="9"/>
  <c r="F18" i="9"/>
  <c r="D18" i="9"/>
  <c r="L18" i="9" s="1"/>
  <c r="N18" i="9" s="1"/>
  <c r="V16" i="9"/>
  <c r="J16" i="9"/>
  <c r="F16" i="9"/>
  <c r="Z14" i="9"/>
  <c r="V14" i="9"/>
  <c r="T14" i="9"/>
  <c r="T16" i="9" s="1"/>
  <c r="P14" i="9"/>
  <c r="H14" i="9"/>
  <c r="N14" i="9" s="1"/>
  <c r="F14" i="9"/>
  <c r="D14" i="9"/>
  <c r="D16" i="9" s="1"/>
  <c r="Z12" i="9"/>
  <c r="T12" i="9"/>
  <c r="P12" i="9"/>
  <c r="R69" i="9" s="1"/>
  <c r="L12" i="9"/>
  <c r="H12" i="9"/>
  <c r="J96" i="9" s="1"/>
  <c r="D12" i="9"/>
  <c r="F82" i="9" s="1"/>
  <c r="D4" i="9"/>
  <c r="V31" i="6"/>
  <c r="J31" i="6"/>
  <c r="V29" i="6"/>
  <c r="T29" i="6"/>
  <c r="P29" i="6"/>
  <c r="X29" i="6" s="1"/>
  <c r="L29" i="6"/>
  <c r="J29" i="6"/>
  <c r="H29" i="6"/>
  <c r="N29" i="6" s="1"/>
  <c r="D29" i="6"/>
  <c r="V28" i="6"/>
  <c r="T28" i="6"/>
  <c r="Z28" i="6" s="1"/>
  <c r="P28" i="6"/>
  <c r="X28" i="6" s="1"/>
  <c r="L28" i="6"/>
  <c r="J28" i="6"/>
  <c r="H28" i="6"/>
  <c r="N28" i="6" s="1"/>
  <c r="D28" i="6"/>
  <c r="V26" i="6"/>
  <c r="J26" i="6"/>
  <c r="Z24" i="6"/>
  <c r="X24" i="6"/>
  <c r="V24" i="6"/>
  <c r="N24" i="6"/>
  <c r="L24" i="6"/>
  <c r="J24" i="6"/>
  <c r="F24" i="6"/>
  <c r="Z20" i="6"/>
  <c r="T20" i="6"/>
  <c r="P20" i="6"/>
  <c r="X20" i="6" s="1"/>
  <c r="H20" i="6"/>
  <c r="N20" i="6" s="1"/>
  <c r="D20" i="6"/>
  <c r="Z18" i="6"/>
  <c r="T18" i="6"/>
  <c r="P18" i="6"/>
  <c r="X18" i="6" s="1"/>
  <c r="H18" i="6"/>
  <c r="N18" i="6" s="1"/>
  <c r="D18" i="6"/>
  <c r="L18" i="6" s="1"/>
  <c r="H16" i="6"/>
  <c r="N16" i="6" s="1"/>
  <c r="Z14" i="6"/>
  <c r="T14" i="6"/>
  <c r="T16" i="6" s="1"/>
  <c r="P14" i="6"/>
  <c r="X14" i="6" s="1"/>
  <c r="H14" i="6"/>
  <c r="N14" i="6" s="1"/>
  <c r="D14" i="6"/>
  <c r="D16" i="6" s="1"/>
  <c r="Z12" i="6"/>
  <c r="T12" i="6"/>
  <c r="V22" i="6" s="1"/>
  <c r="P12" i="6"/>
  <c r="X12" i="6" s="1"/>
  <c r="N12" i="6"/>
  <c r="L12" i="6"/>
  <c r="H12" i="6"/>
  <c r="J22" i="6" s="1"/>
  <c r="D12" i="6"/>
  <c r="F22" i="6" s="1"/>
  <c r="D4" i="6"/>
  <c r="Z318" i="3"/>
  <c r="X318" i="3"/>
  <c r="T318" i="3"/>
  <c r="P318" i="3"/>
  <c r="H318" i="3"/>
  <c r="D318" i="3"/>
  <c r="L318" i="3" s="1"/>
  <c r="N318" i="3" s="1"/>
  <c r="Z317" i="3"/>
  <c r="X317" i="3"/>
  <c r="T317" i="3"/>
  <c r="P317" i="3"/>
  <c r="H317" i="3"/>
  <c r="D317" i="3"/>
  <c r="L317" i="3" s="1"/>
  <c r="N317" i="3" s="1"/>
  <c r="Z313" i="3"/>
  <c r="X313" i="3"/>
  <c r="N313" i="3"/>
  <c r="L313" i="3"/>
  <c r="T309" i="3"/>
  <c r="P309" i="3"/>
  <c r="X309" i="3" s="1"/>
  <c r="Z309" i="3" s="1"/>
  <c r="H309" i="3"/>
  <c r="D309" i="3"/>
  <c r="L309" i="3" s="1"/>
  <c r="B309" i="3"/>
  <c r="X308" i="3"/>
  <c r="T308" i="3"/>
  <c r="Z308" i="3" s="1"/>
  <c r="P308" i="3"/>
  <c r="H308" i="3"/>
  <c r="N308" i="3" s="1"/>
  <c r="D308" i="3"/>
  <c r="B308" i="3"/>
  <c r="T307" i="3"/>
  <c r="X307" i="3" s="1"/>
  <c r="Z307" i="3" s="1"/>
  <c r="P307" i="3"/>
  <c r="N307" i="3"/>
  <c r="L307" i="3"/>
  <c r="H307" i="3"/>
  <c r="D307" i="3"/>
  <c r="B307" i="3"/>
  <c r="X306" i="3"/>
  <c r="T306" i="3"/>
  <c r="Z306" i="3" s="1"/>
  <c r="P306" i="3"/>
  <c r="N306" i="3"/>
  <c r="H306" i="3"/>
  <c r="D306" i="3"/>
  <c r="L306" i="3" s="1"/>
  <c r="B306" i="3"/>
  <c r="Z305" i="3"/>
  <c r="X305" i="3"/>
  <c r="T305" i="3"/>
  <c r="P305" i="3"/>
  <c r="N305" i="3"/>
  <c r="L305" i="3"/>
  <c r="H305" i="3"/>
  <c r="D305" i="3"/>
  <c r="B305" i="3"/>
  <c r="T304" i="3"/>
  <c r="P304" i="3"/>
  <c r="X304" i="3" s="1"/>
  <c r="Z304" i="3" s="1"/>
  <c r="H304" i="3"/>
  <c r="D304" i="3"/>
  <c r="L304" i="3" s="1"/>
  <c r="B304" i="3"/>
  <c r="T303" i="3"/>
  <c r="P303" i="3"/>
  <c r="X303" i="3" s="1"/>
  <c r="H303" i="3"/>
  <c r="D303" i="3"/>
  <c r="L303" i="3" s="1"/>
  <c r="N303" i="3" s="1"/>
  <c r="B303" i="3"/>
  <c r="T302" i="3"/>
  <c r="Z302" i="3" s="1"/>
  <c r="P302" i="3"/>
  <c r="L302" i="3"/>
  <c r="H302" i="3"/>
  <c r="N302" i="3" s="1"/>
  <c r="D302" i="3"/>
  <c r="B302" i="3"/>
  <c r="Z301" i="3"/>
  <c r="X301" i="3"/>
  <c r="T301" i="3"/>
  <c r="P301" i="3"/>
  <c r="N301" i="3"/>
  <c r="H301" i="3"/>
  <c r="L301" i="3" s="1"/>
  <c r="D301" i="3"/>
  <c r="B301" i="3"/>
  <c r="T300" i="3"/>
  <c r="P300" i="3"/>
  <c r="X300" i="3" s="1"/>
  <c r="Z300" i="3" s="1"/>
  <c r="L300" i="3"/>
  <c r="H300" i="3"/>
  <c r="N300" i="3" s="1"/>
  <c r="D300" i="3"/>
  <c r="B300" i="3"/>
  <c r="Z299" i="3"/>
  <c r="X299" i="3"/>
  <c r="T299" i="3"/>
  <c r="P299" i="3"/>
  <c r="N299" i="3"/>
  <c r="L299" i="3"/>
  <c r="H299" i="3"/>
  <c r="D299" i="3"/>
  <c r="B299" i="3"/>
  <c r="T298" i="3"/>
  <c r="P298" i="3"/>
  <c r="X298" i="3" s="1"/>
  <c r="H298" i="3"/>
  <c r="D298" i="3"/>
  <c r="L298" i="3" s="1"/>
  <c r="N298" i="3" s="1"/>
  <c r="B298" i="3"/>
  <c r="T297" i="3"/>
  <c r="P297" i="3"/>
  <c r="P296" i="3" s="1"/>
  <c r="H297" i="3"/>
  <c r="N297" i="3" s="1"/>
  <c r="D297" i="3"/>
  <c r="L297" i="3" s="1"/>
  <c r="B297" i="3"/>
  <c r="X294" i="3"/>
  <c r="Z294" i="3" s="1"/>
  <c r="N294" i="3"/>
  <c r="L294" i="3"/>
  <c r="B294" i="3"/>
  <c r="Z293" i="3"/>
  <c r="X293" i="3"/>
  <c r="T293" i="3"/>
  <c r="P293" i="3"/>
  <c r="N293" i="3"/>
  <c r="L293" i="3"/>
  <c r="H293" i="3"/>
  <c r="D293" i="3"/>
  <c r="B293" i="3"/>
  <c r="X292" i="3"/>
  <c r="Z292" i="3" s="1"/>
  <c r="N292" i="3"/>
  <c r="L292" i="3"/>
  <c r="B292" i="3"/>
  <c r="X291" i="3"/>
  <c r="Z291" i="3" s="1"/>
  <c r="N291" i="3"/>
  <c r="L291" i="3"/>
  <c r="B291" i="3"/>
  <c r="Z290" i="3"/>
  <c r="X290" i="3"/>
  <c r="L290" i="3"/>
  <c r="N290" i="3" s="1"/>
  <c r="B290" i="3"/>
  <c r="T289" i="3"/>
  <c r="X289" i="3" s="1"/>
  <c r="Z289" i="3" s="1"/>
  <c r="P289" i="3"/>
  <c r="L289" i="3"/>
  <c r="N289" i="3" s="1"/>
  <c r="H289" i="3"/>
  <c r="D289" i="3"/>
  <c r="B289" i="3"/>
  <c r="X288" i="3"/>
  <c r="Z288" i="3" s="1"/>
  <c r="L288" i="3"/>
  <c r="N288" i="3" s="1"/>
  <c r="B288" i="3"/>
  <c r="T287" i="3"/>
  <c r="P287" i="3"/>
  <c r="X287" i="3" s="1"/>
  <c r="Z287" i="3" s="1"/>
  <c r="H287" i="3"/>
  <c r="N287" i="3" s="1"/>
  <c r="D287" i="3"/>
  <c r="L287" i="3" s="1"/>
  <c r="B287" i="3"/>
  <c r="X286" i="3"/>
  <c r="Z286" i="3" s="1"/>
  <c r="N286" i="3"/>
  <c r="L286" i="3"/>
  <c r="B286" i="3"/>
  <c r="Z285" i="3"/>
  <c r="X285" i="3"/>
  <c r="N285" i="3"/>
  <c r="L285" i="3"/>
  <c r="B285" i="3"/>
  <c r="T284" i="3"/>
  <c r="Z284" i="3" s="1"/>
  <c r="P284" i="3"/>
  <c r="X284" i="3" s="1"/>
  <c r="L284" i="3"/>
  <c r="H284" i="3"/>
  <c r="D284" i="3"/>
  <c r="B284" i="3"/>
  <c r="X283" i="3"/>
  <c r="Z283" i="3" s="1"/>
  <c r="N283" i="3"/>
  <c r="L283" i="3"/>
  <c r="B283" i="3"/>
  <c r="Z282" i="3"/>
  <c r="X282" i="3"/>
  <c r="L282" i="3"/>
  <c r="N282" i="3" s="1"/>
  <c r="B282" i="3"/>
  <c r="Z281" i="3"/>
  <c r="X281" i="3"/>
  <c r="N281" i="3"/>
  <c r="L281" i="3"/>
  <c r="B281" i="3"/>
  <c r="X280" i="3"/>
  <c r="Z280" i="3" s="1"/>
  <c r="L280" i="3"/>
  <c r="N280" i="3" s="1"/>
  <c r="B280" i="3"/>
  <c r="X279" i="3"/>
  <c r="Z279" i="3" s="1"/>
  <c r="N279" i="3"/>
  <c r="L279" i="3"/>
  <c r="B279" i="3"/>
  <c r="Z278" i="3"/>
  <c r="X278" i="3"/>
  <c r="L278" i="3"/>
  <c r="N278" i="3" s="1"/>
  <c r="B278" i="3"/>
  <c r="Z277" i="3"/>
  <c r="X277" i="3"/>
  <c r="N277" i="3"/>
  <c r="L277" i="3"/>
  <c r="B277" i="3"/>
  <c r="X276" i="3"/>
  <c r="Z276" i="3" s="1"/>
  <c r="L276" i="3"/>
  <c r="N276" i="3" s="1"/>
  <c r="B276" i="3"/>
  <c r="X275" i="3"/>
  <c r="Z275" i="3" s="1"/>
  <c r="T275" i="3"/>
  <c r="P275" i="3"/>
  <c r="H275" i="3"/>
  <c r="L275" i="3" s="1"/>
  <c r="N275" i="3" s="1"/>
  <c r="D275" i="3"/>
  <c r="B275" i="3"/>
  <c r="X274" i="3"/>
  <c r="Z274" i="3" s="1"/>
  <c r="L274" i="3"/>
  <c r="N274" i="3" s="1"/>
  <c r="B274" i="3"/>
  <c r="Z273" i="3"/>
  <c r="X273" i="3"/>
  <c r="N273" i="3"/>
  <c r="L273" i="3"/>
  <c r="B273" i="3"/>
  <c r="X272" i="3"/>
  <c r="T272" i="3"/>
  <c r="Z272" i="3" s="1"/>
  <c r="P272" i="3"/>
  <c r="H272" i="3"/>
  <c r="D272" i="3"/>
  <c r="L272" i="3" s="1"/>
  <c r="N272" i="3" s="1"/>
  <c r="B272" i="3"/>
  <c r="Z271" i="3"/>
  <c r="X271" i="3"/>
  <c r="L271" i="3"/>
  <c r="N271" i="3" s="1"/>
  <c r="B271" i="3"/>
  <c r="X270" i="3"/>
  <c r="Z270" i="3" s="1"/>
  <c r="N270" i="3"/>
  <c r="L270" i="3"/>
  <c r="B270" i="3"/>
  <c r="Z269" i="3"/>
  <c r="X269" i="3"/>
  <c r="N269" i="3"/>
  <c r="L269" i="3"/>
  <c r="B269" i="3"/>
  <c r="X268" i="3"/>
  <c r="Z268" i="3" s="1"/>
  <c r="L268" i="3"/>
  <c r="N268" i="3" s="1"/>
  <c r="B268" i="3"/>
  <c r="Z267" i="3"/>
  <c r="X267" i="3"/>
  <c r="L267" i="3"/>
  <c r="N267" i="3" s="1"/>
  <c r="B267" i="3"/>
  <c r="X266" i="3"/>
  <c r="T266" i="3"/>
  <c r="P266" i="3"/>
  <c r="H266" i="3"/>
  <c r="D266" i="3"/>
  <c r="L266" i="3" s="1"/>
  <c r="B266" i="3"/>
  <c r="Z265" i="3"/>
  <c r="X265" i="3"/>
  <c r="N265" i="3"/>
  <c r="L265" i="3"/>
  <c r="B265" i="3"/>
  <c r="X264" i="3"/>
  <c r="Z264" i="3" s="1"/>
  <c r="L264" i="3"/>
  <c r="N264" i="3" s="1"/>
  <c r="B264" i="3"/>
  <c r="X263" i="3"/>
  <c r="Z263" i="3" s="1"/>
  <c r="N263" i="3"/>
  <c r="L263" i="3"/>
  <c r="B263" i="3"/>
  <c r="T262" i="3"/>
  <c r="P262" i="3"/>
  <c r="X262" i="3" s="1"/>
  <c r="Z262" i="3" s="1"/>
  <c r="H262" i="3"/>
  <c r="D262" i="3"/>
  <c r="B262" i="3"/>
  <c r="Z261" i="3"/>
  <c r="X261" i="3"/>
  <c r="N261" i="3"/>
  <c r="L261" i="3"/>
  <c r="B261" i="3"/>
  <c r="X260" i="3"/>
  <c r="Z260" i="3" s="1"/>
  <c r="L260" i="3"/>
  <c r="N260" i="3" s="1"/>
  <c r="B260" i="3"/>
  <c r="Z259" i="3"/>
  <c r="X259" i="3"/>
  <c r="N259" i="3"/>
  <c r="L259" i="3"/>
  <c r="B259" i="3"/>
  <c r="X258" i="3"/>
  <c r="Z258" i="3" s="1"/>
  <c r="L258" i="3"/>
  <c r="N258" i="3" s="1"/>
  <c r="B258" i="3"/>
  <c r="T257" i="3"/>
  <c r="Z257" i="3" s="1"/>
  <c r="P257" i="3"/>
  <c r="X257" i="3" s="1"/>
  <c r="H257" i="3"/>
  <c r="D257" i="3"/>
  <c r="L257" i="3" s="1"/>
  <c r="N257" i="3" s="1"/>
  <c r="B257" i="3"/>
  <c r="X256" i="3"/>
  <c r="Z256" i="3" s="1"/>
  <c r="L256" i="3"/>
  <c r="N256" i="3" s="1"/>
  <c r="B256" i="3"/>
  <c r="Z255" i="3"/>
  <c r="X255" i="3"/>
  <c r="T255" i="3"/>
  <c r="P255" i="3"/>
  <c r="H255" i="3"/>
  <c r="D255" i="3"/>
  <c r="L255" i="3" s="1"/>
  <c r="N255" i="3" s="1"/>
  <c r="B255" i="3"/>
  <c r="Z254" i="3"/>
  <c r="X254" i="3"/>
  <c r="L254" i="3"/>
  <c r="N254" i="3" s="1"/>
  <c r="B254" i="3"/>
  <c r="T253" i="3"/>
  <c r="X253" i="3" s="1"/>
  <c r="Z253" i="3" s="1"/>
  <c r="P253" i="3"/>
  <c r="L253" i="3"/>
  <c r="N253" i="3" s="1"/>
  <c r="H253" i="3"/>
  <c r="D253" i="3"/>
  <c r="B253" i="3"/>
  <c r="X252" i="3"/>
  <c r="Z252" i="3" s="1"/>
  <c r="N252" i="3"/>
  <c r="L252" i="3"/>
  <c r="B252" i="3"/>
  <c r="T251" i="3"/>
  <c r="P251" i="3"/>
  <c r="X251" i="3" s="1"/>
  <c r="Z251" i="3" s="1"/>
  <c r="H251" i="3"/>
  <c r="N251" i="3" s="1"/>
  <c r="D251" i="3"/>
  <c r="L251" i="3" s="1"/>
  <c r="B251" i="3"/>
  <c r="X250" i="3"/>
  <c r="Z250" i="3" s="1"/>
  <c r="N250" i="3"/>
  <c r="L250" i="3"/>
  <c r="B250" i="3"/>
  <c r="Z249" i="3"/>
  <c r="X249" i="3"/>
  <c r="T249" i="3"/>
  <c r="P249" i="3"/>
  <c r="N249" i="3"/>
  <c r="L249" i="3"/>
  <c r="H249" i="3"/>
  <c r="D249" i="3"/>
  <c r="B249" i="3"/>
  <c r="X248" i="3"/>
  <c r="Z248" i="3" s="1"/>
  <c r="L248" i="3"/>
  <c r="N248" i="3" s="1"/>
  <c r="B248" i="3"/>
  <c r="X247" i="3"/>
  <c r="Z247" i="3" s="1"/>
  <c r="T247" i="3"/>
  <c r="P247" i="3"/>
  <c r="N247" i="3"/>
  <c r="H247" i="3"/>
  <c r="L247" i="3" s="1"/>
  <c r="D247" i="3"/>
  <c r="B247" i="3"/>
  <c r="X246" i="3"/>
  <c r="Z246" i="3" s="1"/>
  <c r="L246" i="3"/>
  <c r="N246" i="3" s="1"/>
  <c r="B246" i="3"/>
  <c r="T245" i="3"/>
  <c r="P245" i="3"/>
  <c r="X245" i="3" s="1"/>
  <c r="H245" i="3"/>
  <c r="D245" i="3"/>
  <c r="L245" i="3" s="1"/>
  <c r="N245" i="3" s="1"/>
  <c r="B245" i="3"/>
  <c r="X244" i="3"/>
  <c r="Z244" i="3" s="1"/>
  <c r="L244" i="3"/>
  <c r="N244" i="3" s="1"/>
  <c r="B244" i="3"/>
  <c r="Z243" i="3"/>
  <c r="X243" i="3"/>
  <c r="L243" i="3"/>
  <c r="N243" i="3" s="1"/>
  <c r="B243" i="3"/>
  <c r="X242" i="3"/>
  <c r="T242" i="3"/>
  <c r="Z242" i="3" s="1"/>
  <c r="P242" i="3"/>
  <c r="H242" i="3"/>
  <c r="N242" i="3" s="1"/>
  <c r="D242" i="3"/>
  <c r="L242" i="3" s="1"/>
  <c r="B242" i="3"/>
  <c r="Z241" i="3"/>
  <c r="X241" i="3"/>
  <c r="N241" i="3"/>
  <c r="L241" i="3"/>
  <c r="B241" i="3"/>
  <c r="X240" i="3"/>
  <c r="Z240" i="3" s="1"/>
  <c r="L240" i="3"/>
  <c r="N240" i="3" s="1"/>
  <c r="B240" i="3"/>
  <c r="X239" i="3"/>
  <c r="Z239" i="3" s="1"/>
  <c r="T239" i="3"/>
  <c r="P239" i="3"/>
  <c r="H239" i="3"/>
  <c r="L239" i="3" s="1"/>
  <c r="N239" i="3" s="1"/>
  <c r="D239" i="3"/>
  <c r="B239" i="3"/>
  <c r="X238" i="3"/>
  <c r="Z238" i="3" s="1"/>
  <c r="L238" i="3"/>
  <c r="N238" i="3" s="1"/>
  <c r="B238" i="3"/>
  <c r="T237" i="3"/>
  <c r="P237" i="3"/>
  <c r="X237" i="3" s="1"/>
  <c r="H237" i="3"/>
  <c r="D237" i="3"/>
  <c r="L237" i="3" s="1"/>
  <c r="N237" i="3" s="1"/>
  <c r="B237" i="3"/>
  <c r="X236" i="3"/>
  <c r="Z236" i="3" s="1"/>
  <c r="L236" i="3"/>
  <c r="N236" i="3" s="1"/>
  <c r="B236" i="3"/>
  <c r="Z235" i="3"/>
  <c r="X235" i="3"/>
  <c r="T235" i="3"/>
  <c r="P235" i="3"/>
  <c r="H235" i="3"/>
  <c r="D235" i="3"/>
  <c r="L235" i="3" s="1"/>
  <c r="N235" i="3" s="1"/>
  <c r="B235" i="3"/>
  <c r="Z234" i="3"/>
  <c r="X234" i="3"/>
  <c r="L234" i="3"/>
  <c r="N234" i="3" s="1"/>
  <c r="B234" i="3"/>
  <c r="Z233" i="3"/>
  <c r="T233" i="3"/>
  <c r="X233" i="3" s="1"/>
  <c r="P233" i="3"/>
  <c r="L233" i="3"/>
  <c r="N233" i="3" s="1"/>
  <c r="H233" i="3"/>
  <c r="D233" i="3"/>
  <c r="B233" i="3"/>
  <c r="X232" i="3"/>
  <c r="Z232" i="3" s="1"/>
  <c r="L232" i="3"/>
  <c r="N232" i="3" s="1"/>
  <c r="B232" i="3"/>
  <c r="Z231" i="3"/>
  <c r="X231" i="3"/>
  <c r="N231" i="3"/>
  <c r="L231" i="3"/>
  <c r="B231" i="3"/>
  <c r="T230" i="3"/>
  <c r="P230" i="3"/>
  <c r="X230" i="3" s="1"/>
  <c r="Z230" i="3" s="1"/>
  <c r="L230" i="3"/>
  <c r="H230" i="3"/>
  <c r="N230" i="3" s="1"/>
  <c r="D230" i="3"/>
  <c r="B230" i="3"/>
  <c r="Z229" i="3"/>
  <c r="X229" i="3"/>
  <c r="N229" i="3"/>
  <c r="L229" i="3"/>
  <c r="B229" i="3"/>
  <c r="X228" i="3"/>
  <c r="Z228" i="3" s="1"/>
  <c r="L228" i="3"/>
  <c r="N228" i="3" s="1"/>
  <c r="B228" i="3"/>
  <c r="Z227" i="3"/>
  <c r="X227" i="3"/>
  <c r="L227" i="3"/>
  <c r="N227" i="3" s="1"/>
  <c r="B227" i="3"/>
  <c r="X226" i="3"/>
  <c r="T226" i="3"/>
  <c r="P226" i="3"/>
  <c r="H226" i="3"/>
  <c r="D226" i="3"/>
  <c r="B226" i="3"/>
  <c r="Z225" i="3"/>
  <c r="X225" i="3"/>
  <c r="N225" i="3"/>
  <c r="L225" i="3"/>
  <c r="B225" i="3"/>
  <c r="T224" i="3"/>
  <c r="P224" i="3"/>
  <c r="H224" i="3"/>
  <c r="D224" i="3"/>
  <c r="L224" i="3" s="1"/>
  <c r="N224" i="3" s="1"/>
  <c r="B224" i="3"/>
  <c r="Z223" i="3"/>
  <c r="X223" i="3"/>
  <c r="N223" i="3"/>
  <c r="L223" i="3"/>
  <c r="B223" i="3"/>
  <c r="X222" i="3"/>
  <c r="Z222" i="3" s="1"/>
  <c r="L222" i="3"/>
  <c r="N222" i="3" s="1"/>
  <c r="B222" i="3"/>
  <c r="T221" i="3"/>
  <c r="Z221" i="3" s="1"/>
  <c r="P221" i="3"/>
  <c r="X221" i="3" s="1"/>
  <c r="H221" i="3"/>
  <c r="D221" i="3"/>
  <c r="L221" i="3" s="1"/>
  <c r="N221" i="3" s="1"/>
  <c r="B221" i="3"/>
  <c r="X220" i="3"/>
  <c r="Z220" i="3" s="1"/>
  <c r="L220" i="3"/>
  <c r="N220" i="3" s="1"/>
  <c r="B220" i="3"/>
  <c r="Z219" i="3"/>
  <c r="X219" i="3"/>
  <c r="T219" i="3"/>
  <c r="P219" i="3"/>
  <c r="H219" i="3"/>
  <c r="D219" i="3"/>
  <c r="L219" i="3" s="1"/>
  <c r="N219" i="3" s="1"/>
  <c r="B219" i="3"/>
  <c r="Z218" i="3"/>
  <c r="X218" i="3"/>
  <c r="L218" i="3"/>
  <c r="N218" i="3" s="1"/>
  <c r="B218" i="3"/>
  <c r="Z217" i="3"/>
  <c r="X217" i="3"/>
  <c r="N217" i="3"/>
  <c r="L217" i="3"/>
  <c r="B217" i="3"/>
  <c r="X216" i="3"/>
  <c r="Z216" i="3" s="1"/>
  <c r="L216" i="3"/>
  <c r="N216" i="3" s="1"/>
  <c r="B216" i="3"/>
  <c r="X215" i="3"/>
  <c r="Z215" i="3" s="1"/>
  <c r="N215" i="3"/>
  <c r="L215" i="3"/>
  <c r="B215" i="3"/>
  <c r="Z214" i="3"/>
  <c r="X214" i="3"/>
  <c r="L214" i="3"/>
  <c r="N214" i="3" s="1"/>
  <c r="B214" i="3"/>
  <c r="Z213" i="3"/>
  <c r="X213" i="3"/>
  <c r="N213" i="3"/>
  <c r="L213" i="3"/>
  <c r="B213" i="3"/>
  <c r="X212" i="3"/>
  <c r="Z212" i="3" s="1"/>
  <c r="L212" i="3"/>
  <c r="N212" i="3" s="1"/>
  <c r="B212" i="3"/>
  <c r="X211" i="3"/>
  <c r="Z211" i="3" s="1"/>
  <c r="T211" i="3"/>
  <c r="P211" i="3"/>
  <c r="N211" i="3"/>
  <c r="H211" i="3"/>
  <c r="L211" i="3" s="1"/>
  <c r="D211" i="3"/>
  <c r="B211" i="3"/>
  <c r="X210" i="3"/>
  <c r="Z210" i="3" s="1"/>
  <c r="L210" i="3"/>
  <c r="N210" i="3" s="1"/>
  <c r="B210" i="3"/>
  <c r="Z209" i="3"/>
  <c r="X209" i="3"/>
  <c r="N209" i="3"/>
  <c r="L209" i="3"/>
  <c r="B209" i="3"/>
  <c r="X208" i="3"/>
  <c r="Z208" i="3" s="1"/>
  <c r="L208" i="3"/>
  <c r="N208" i="3" s="1"/>
  <c r="B208" i="3"/>
  <c r="Z207" i="3"/>
  <c r="X207" i="3"/>
  <c r="N207" i="3"/>
  <c r="L207" i="3"/>
  <c r="B207" i="3"/>
  <c r="X206" i="3"/>
  <c r="Z206" i="3" s="1"/>
  <c r="L206" i="3"/>
  <c r="N206" i="3" s="1"/>
  <c r="B206" i="3"/>
  <c r="Z205" i="3"/>
  <c r="X205" i="3"/>
  <c r="N205" i="3"/>
  <c r="L205" i="3"/>
  <c r="B205" i="3"/>
  <c r="X204" i="3"/>
  <c r="Z204" i="3" s="1"/>
  <c r="L204" i="3"/>
  <c r="N204" i="3" s="1"/>
  <c r="B204" i="3"/>
  <c r="Z203" i="3"/>
  <c r="X203" i="3"/>
  <c r="N203" i="3"/>
  <c r="L203" i="3"/>
  <c r="B203" i="3"/>
  <c r="X202" i="3"/>
  <c r="Z202" i="3" s="1"/>
  <c r="L202" i="3"/>
  <c r="N202" i="3" s="1"/>
  <c r="B202" i="3"/>
  <c r="T201" i="3"/>
  <c r="P201" i="3"/>
  <c r="X201" i="3" s="1"/>
  <c r="H201" i="3"/>
  <c r="D201" i="3"/>
  <c r="L201" i="3" s="1"/>
  <c r="N201" i="3" s="1"/>
  <c r="B201" i="3"/>
  <c r="T200" i="3"/>
  <c r="P200" i="3"/>
  <c r="X200" i="3" s="1"/>
  <c r="H200" i="3"/>
  <c r="D200" i="3"/>
  <c r="X196" i="3"/>
  <c r="Z196" i="3" s="1"/>
  <c r="N196" i="3"/>
  <c r="L196" i="3"/>
  <c r="B196" i="3"/>
  <c r="Z195" i="3"/>
  <c r="X195" i="3"/>
  <c r="L195" i="3"/>
  <c r="N195" i="3" s="1"/>
  <c r="B195" i="3"/>
  <c r="X194" i="3"/>
  <c r="Z194" i="3" s="1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L191" i="3"/>
  <c r="N191" i="3" s="1"/>
  <c r="B191" i="3"/>
  <c r="X190" i="3"/>
  <c r="Z190" i="3" s="1"/>
  <c r="N190" i="3"/>
  <c r="L190" i="3"/>
  <c r="B190" i="3"/>
  <c r="Z189" i="3"/>
  <c r="X189" i="3"/>
  <c r="N189" i="3"/>
  <c r="L189" i="3"/>
  <c r="B189" i="3"/>
  <c r="X188" i="3"/>
  <c r="Z188" i="3" s="1"/>
  <c r="L188" i="3"/>
  <c r="N188" i="3" s="1"/>
  <c r="B188" i="3"/>
  <c r="Z187" i="3"/>
  <c r="X187" i="3"/>
  <c r="L187" i="3"/>
  <c r="N187" i="3" s="1"/>
  <c r="B187" i="3"/>
  <c r="X186" i="3"/>
  <c r="Z186" i="3" s="1"/>
  <c r="N186" i="3"/>
  <c r="L186" i="3"/>
  <c r="B186" i="3"/>
  <c r="Z185" i="3"/>
  <c r="X185" i="3"/>
  <c r="N185" i="3"/>
  <c r="L185" i="3"/>
  <c r="B185" i="3"/>
  <c r="X184" i="3"/>
  <c r="Z184" i="3" s="1"/>
  <c r="L184" i="3"/>
  <c r="N184" i="3" s="1"/>
  <c r="B184" i="3"/>
  <c r="Z183" i="3"/>
  <c r="X183" i="3"/>
  <c r="L183" i="3"/>
  <c r="N183" i="3" s="1"/>
  <c r="B183" i="3"/>
  <c r="X182" i="3"/>
  <c r="Z182" i="3" s="1"/>
  <c r="N182" i="3"/>
  <c r="L182" i="3"/>
  <c r="B182" i="3"/>
  <c r="Z181" i="3"/>
  <c r="X181" i="3"/>
  <c r="N181" i="3"/>
  <c r="L181" i="3"/>
  <c r="B181" i="3"/>
  <c r="X180" i="3"/>
  <c r="Z180" i="3" s="1"/>
  <c r="N180" i="3"/>
  <c r="L180" i="3"/>
  <c r="B180" i="3"/>
  <c r="Z179" i="3"/>
  <c r="X179" i="3"/>
  <c r="L179" i="3"/>
  <c r="N179" i="3" s="1"/>
  <c r="B179" i="3"/>
  <c r="X178" i="3"/>
  <c r="Z178" i="3" s="1"/>
  <c r="N178" i="3"/>
  <c r="L178" i="3"/>
  <c r="B178" i="3"/>
  <c r="Z177" i="3"/>
  <c r="X177" i="3"/>
  <c r="N177" i="3"/>
  <c r="L177" i="3"/>
  <c r="B177" i="3"/>
  <c r="X176" i="3"/>
  <c r="Z176" i="3" s="1"/>
  <c r="L176" i="3"/>
  <c r="N176" i="3" s="1"/>
  <c r="B176" i="3"/>
  <c r="Z175" i="3"/>
  <c r="X175" i="3"/>
  <c r="L175" i="3"/>
  <c r="N175" i="3" s="1"/>
  <c r="B175" i="3"/>
  <c r="X174" i="3"/>
  <c r="Z174" i="3" s="1"/>
  <c r="N174" i="3"/>
  <c r="L174" i="3"/>
  <c r="B174" i="3"/>
  <c r="Z173" i="3"/>
  <c r="X173" i="3"/>
  <c r="N173" i="3"/>
  <c r="L173" i="3"/>
  <c r="B173" i="3"/>
  <c r="X172" i="3"/>
  <c r="Z172" i="3" s="1"/>
  <c r="L172" i="3"/>
  <c r="N172" i="3" s="1"/>
  <c r="B172" i="3"/>
  <c r="Z171" i="3"/>
  <c r="X171" i="3"/>
  <c r="N171" i="3"/>
  <c r="L171" i="3"/>
  <c r="B171" i="3"/>
  <c r="X170" i="3"/>
  <c r="Z170" i="3" s="1"/>
  <c r="N170" i="3"/>
  <c r="L170" i="3"/>
  <c r="B170" i="3"/>
  <c r="Z169" i="3"/>
  <c r="X169" i="3"/>
  <c r="N169" i="3"/>
  <c r="L169" i="3"/>
  <c r="B169" i="3"/>
  <c r="X168" i="3"/>
  <c r="Z168" i="3" s="1"/>
  <c r="N168" i="3"/>
  <c r="L168" i="3"/>
  <c r="B168" i="3"/>
  <c r="Z167" i="3"/>
  <c r="X167" i="3"/>
  <c r="L167" i="3"/>
  <c r="N167" i="3" s="1"/>
  <c r="B167" i="3"/>
  <c r="X166" i="3"/>
  <c r="Z166" i="3" s="1"/>
  <c r="N166" i="3"/>
  <c r="L166" i="3"/>
  <c r="B166" i="3"/>
  <c r="Z165" i="3"/>
  <c r="X165" i="3"/>
  <c r="N165" i="3"/>
  <c r="L165" i="3"/>
  <c r="B165" i="3"/>
  <c r="X164" i="3"/>
  <c r="Z164" i="3" s="1"/>
  <c r="L164" i="3"/>
  <c r="N164" i="3" s="1"/>
  <c r="B164" i="3"/>
  <c r="Z163" i="3"/>
  <c r="X163" i="3"/>
  <c r="L163" i="3"/>
  <c r="N163" i="3" s="1"/>
  <c r="B163" i="3"/>
  <c r="X162" i="3"/>
  <c r="Z162" i="3" s="1"/>
  <c r="N162" i="3"/>
  <c r="L162" i="3"/>
  <c r="B162" i="3"/>
  <c r="Z161" i="3"/>
  <c r="X161" i="3"/>
  <c r="N161" i="3"/>
  <c r="L161" i="3"/>
  <c r="B161" i="3"/>
  <c r="X160" i="3"/>
  <c r="Z160" i="3" s="1"/>
  <c r="L160" i="3"/>
  <c r="N160" i="3" s="1"/>
  <c r="B160" i="3"/>
  <c r="Z159" i="3"/>
  <c r="X159" i="3"/>
  <c r="L159" i="3"/>
  <c r="N159" i="3" s="1"/>
  <c r="B159" i="3"/>
  <c r="X158" i="3"/>
  <c r="Z158" i="3" s="1"/>
  <c r="N158" i="3"/>
  <c r="L158" i="3"/>
  <c r="B158" i="3"/>
  <c r="Z157" i="3"/>
  <c r="X157" i="3"/>
  <c r="N157" i="3"/>
  <c r="L157" i="3"/>
  <c r="B157" i="3"/>
  <c r="X156" i="3"/>
  <c r="Z156" i="3" s="1"/>
  <c r="L156" i="3"/>
  <c r="N156" i="3" s="1"/>
  <c r="B156" i="3"/>
  <c r="Z155" i="3"/>
  <c r="X155" i="3"/>
  <c r="L155" i="3"/>
  <c r="N155" i="3" s="1"/>
  <c r="B155" i="3"/>
  <c r="X154" i="3"/>
  <c r="Z154" i="3" s="1"/>
  <c r="N154" i="3"/>
  <c r="L154" i="3"/>
  <c r="B154" i="3"/>
  <c r="Z153" i="3"/>
  <c r="X153" i="3"/>
  <c r="N153" i="3"/>
  <c r="L153" i="3"/>
  <c r="B153" i="3"/>
  <c r="X152" i="3"/>
  <c r="Z152" i="3" s="1"/>
  <c r="L152" i="3"/>
  <c r="N152" i="3" s="1"/>
  <c r="B152" i="3"/>
  <c r="Z151" i="3"/>
  <c r="X151" i="3"/>
  <c r="L151" i="3"/>
  <c r="N151" i="3" s="1"/>
  <c r="B151" i="3"/>
  <c r="X150" i="3"/>
  <c r="Z150" i="3" s="1"/>
  <c r="N150" i="3"/>
  <c r="L150" i="3"/>
  <c r="B150" i="3"/>
  <c r="Z149" i="3"/>
  <c r="X149" i="3"/>
  <c r="N149" i="3"/>
  <c r="L149" i="3"/>
  <c r="B149" i="3"/>
  <c r="X148" i="3"/>
  <c r="Z148" i="3" s="1"/>
  <c r="L148" i="3"/>
  <c r="N148" i="3" s="1"/>
  <c r="B148" i="3"/>
  <c r="Z147" i="3"/>
  <c r="X147" i="3"/>
  <c r="L147" i="3"/>
  <c r="N147" i="3" s="1"/>
  <c r="B147" i="3"/>
  <c r="X146" i="3"/>
  <c r="Z146" i="3" s="1"/>
  <c r="N146" i="3"/>
  <c r="L146" i="3"/>
  <c r="B146" i="3"/>
  <c r="Z145" i="3"/>
  <c r="X145" i="3"/>
  <c r="N145" i="3"/>
  <c r="L145" i="3"/>
  <c r="B145" i="3"/>
  <c r="X144" i="3"/>
  <c r="Z144" i="3" s="1"/>
  <c r="L144" i="3"/>
  <c r="N144" i="3" s="1"/>
  <c r="B144" i="3"/>
  <c r="Z143" i="3"/>
  <c r="X143" i="3"/>
  <c r="L143" i="3"/>
  <c r="N143" i="3" s="1"/>
  <c r="B143" i="3"/>
  <c r="X142" i="3"/>
  <c r="Z142" i="3" s="1"/>
  <c r="N142" i="3"/>
  <c r="L142" i="3"/>
  <c r="B142" i="3"/>
  <c r="Z141" i="3"/>
  <c r="X141" i="3"/>
  <c r="N141" i="3"/>
  <c r="L141" i="3"/>
  <c r="B141" i="3"/>
  <c r="X140" i="3"/>
  <c r="Z140" i="3" s="1"/>
  <c r="L140" i="3"/>
  <c r="N140" i="3" s="1"/>
  <c r="B140" i="3"/>
  <c r="Z139" i="3"/>
  <c r="X139" i="3"/>
  <c r="L139" i="3"/>
  <c r="N139" i="3" s="1"/>
  <c r="B139" i="3"/>
  <c r="X138" i="3"/>
  <c r="Z138" i="3" s="1"/>
  <c r="N138" i="3"/>
  <c r="L138" i="3"/>
  <c r="B138" i="3"/>
  <c r="Z137" i="3"/>
  <c r="T137" i="3"/>
  <c r="P137" i="3"/>
  <c r="X137" i="3" s="1"/>
  <c r="N137" i="3"/>
  <c r="L137" i="3"/>
  <c r="H137" i="3"/>
  <c r="D137" i="3"/>
  <c r="Z135" i="3"/>
  <c r="T135" i="3"/>
  <c r="X135" i="3" s="1"/>
  <c r="P135" i="3"/>
  <c r="H135" i="3"/>
  <c r="N135" i="3" s="1"/>
  <c r="D135" i="3"/>
  <c r="B135" i="3"/>
  <c r="T134" i="3"/>
  <c r="P134" i="3"/>
  <c r="X134" i="3" s="1"/>
  <c r="H134" i="3"/>
  <c r="D134" i="3"/>
  <c r="L134" i="3" s="1"/>
  <c r="N134" i="3" s="1"/>
  <c r="B134" i="3"/>
  <c r="Z133" i="3"/>
  <c r="X133" i="3"/>
  <c r="T133" i="3"/>
  <c r="P133" i="3"/>
  <c r="L133" i="3"/>
  <c r="H133" i="3"/>
  <c r="D133" i="3"/>
  <c r="B133" i="3"/>
  <c r="X132" i="3"/>
  <c r="T132" i="3"/>
  <c r="Z132" i="3" s="1"/>
  <c r="P132" i="3"/>
  <c r="N132" i="3"/>
  <c r="L132" i="3"/>
  <c r="H132" i="3"/>
  <c r="D132" i="3"/>
  <c r="B132" i="3"/>
  <c r="Z131" i="3"/>
  <c r="T131" i="3"/>
  <c r="X131" i="3" s="1"/>
  <c r="P131" i="3"/>
  <c r="H131" i="3"/>
  <c r="D131" i="3"/>
  <c r="B131" i="3"/>
  <c r="T130" i="3"/>
  <c r="P130" i="3"/>
  <c r="X130" i="3" s="1"/>
  <c r="H130" i="3"/>
  <c r="D130" i="3"/>
  <c r="L130" i="3" s="1"/>
  <c r="N130" i="3" s="1"/>
  <c r="B130" i="3"/>
  <c r="Z129" i="3"/>
  <c r="X129" i="3"/>
  <c r="T129" i="3"/>
  <c r="P129" i="3"/>
  <c r="L129" i="3"/>
  <c r="H129" i="3"/>
  <c r="D129" i="3"/>
  <c r="B129" i="3"/>
  <c r="X128" i="3"/>
  <c r="T128" i="3"/>
  <c r="Z128" i="3" s="1"/>
  <c r="P128" i="3"/>
  <c r="N128" i="3"/>
  <c r="L128" i="3"/>
  <c r="H128" i="3"/>
  <c r="D128" i="3"/>
  <c r="B128" i="3"/>
  <c r="Z127" i="3"/>
  <c r="T127" i="3"/>
  <c r="X127" i="3" s="1"/>
  <c r="P127" i="3"/>
  <c r="H127" i="3"/>
  <c r="D127" i="3"/>
  <c r="B127" i="3"/>
  <c r="T126" i="3"/>
  <c r="P126" i="3"/>
  <c r="X126" i="3" s="1"/>
  <c r="H126" i="3"/>
  <c r="D126" i="3"/>
  <c r="L126" i="3" s="1"/>
  <c r="N126" i="3" s="1"/>
  <c r="B126" i="3"/>
  <c r="Z125" i="3"/>
  <c r="X125" i="3"/>
  <c r="T125" i="3"/>
  <c r="P125" i="3"/>
  <c r="L125" i="3"/>
  <c r="H125" i="3"/>
  <c r="D125" i="3"/>
  <c r="B125" i="3"/>
  <c r="X124" i="3"/>
  <c r="T124" i="3"/>
  <c r="P124" i="3"/>
  <c r="N124" i="3"/>
  <c r="L124" i="3"/>
  <c r="H124" i="3"/>
  <c r="D124" i="3"/>
  <c r="B124" i="3"/>
  <c r="Z123" i="3"/>
  <c r="T123" i="3"/>
  <c r="X123" i="3" s="1"/>
  <c r="P123" i="3"/>
  <c r="H123" i="3"/>
  <c r="D123" i="3"/>
  <c r="B123" i="3"/>
  <c r="T122" i="3"/>
  <c r="P122" i="3"/>
  <c r="X122" i="3" s="1"/>
  <c r="H122" i="3"/>
  <c r="D122" i="3"/>
  <c r="L122" i="3" s="1"/>
  <c r="N122" i="3" s="1"/>
  <c r="B122" i="3"/>
  <c r="Z121" i="3"/>
  <c r="X121" i="3"/>
  <c r="T121" i="3"/>
  <c r="P121" i="3"/>
  <c r="L121" i="3"/>
  <c r="H121" i="3"/>
  <c r="N121" i="3" s="1"/>
  <c r="D121" i="3"/>
  <c r="B121" i="3"/>
  <c r="X120" i="3"/>
  <c r="T120" i="3"/>
  <c r="P120" i="3"/>
  <c r="N120" i="3"/>
  <c r="L120" i="3"/>
  <c r="H120" i="3"/>
  <c r="D120" i="3"/>
  <c r="B120" i="3"/>
  <c r="Z119" i="3"/>
  <c r="T119" i="3"/>
  <c r="X119" i="3" s="1"/>
  <c r="P119" i="3"/>
  <c r="H119" i="3"/>
  <c r="N119" i="3" s="1"/>
  <c r="D119" i="3"/>
  <c r="B119" i="3"/>
  <c r="T118" i="3"/>
  <c r="P118" i="3"/>
  <c r="X118" i="3" s="1"/>
  <c r="H118" i="3"/>
  <c r="D118" i="3"/>
  <c r="L118" i="3" s="1"/>
  <c r="N118" i="3" s="1"/>
  <c r="B118" i="3"/>
  <c r="Z117" i="3"/>
  <c r="X117" i="3"/>
  <c r="T117" i="3"/>
  <c r="P117" i="3"/>
  <c r="L117" i="3"/>
  <c r="H117" i="3"/>
  <c r="N117" i="3" s="1"/>
  <c r="D117" i="3"/>
  <c r="B117" i="3"/>
  <c r="X116" i="3"/>
  <c r="T116" i="3"/>
  <c r="Z116" i="3" s="1"/>
  <c r="P116" i="3"/>
  <c r="N116" i="3"/>
  <c r="L116" i="3"/>
  <c r="H116" i="3"/>
  <c r="D116" i="3"/>
  <c r="B116" i="3"/>
  <c r="Z115" i="3"/>
  <c r="T115" i="3"/>
  <c r="X115" i="3" s="1"/>
  <c r="P115" i="3"/>
  <c r="H115" i="3"/>
  <c r="D115" i="3"/>
  <c r="B115" i="3"/>
  <c r="T114" i="3"/>
  <c r="P114" i="3"/>
  <c r="X114" i="3" s="1"/>
  <c r="H114" i="3"/>
  <c r="D114" i="3"/>
  <c r="L114" i="3" s="1"/>
  <c r="N114" i="3" s="1"/>
  <c r="B114" i="3"/>
  <c r="Z113" i="3"/>
  <c r="X113" i="3"/>
  <c r="T113" i="3"/>
  <c r="P113" i="3"/>
  <c r="L113" i="3"/>
  <c r="H113" i="3"/>
  <c r="D113" i="3"/>
  <c r="B113" i="3"/>
  <c r="X112" i="3"/>
  <c r="T112" i="3"/>
  <c r="P112" i="3"/>
  <c r="N112" i="3"/>
  <c r="L112" i="3"/>
  <c r="H112" i="3"/>
  <c r="D112" i="3"/>
  <c r="B112" i="3"/>
  <c r="Z111" i="3"/>
  <c r="T111" i="3"/>
  <c r="X111" i="3" s="1"/>
  <c r="P111" i="3"/>
  <c r="H111" i="3"/>
  <c r="D111" i="3"/>
  <c r="B111" i="3"/>
  <c r="T110" i="3"/>
  <c r="P110" i="3"/>
  <c r="X110" i="3" s="1"/>
  <c r="N110" i="3"/>
  <c r="H110" i="3"/>
  <c r="D110" i="3"/>
  <c r="L110" i="3" s="1"/>
  <c r="B110" i="3"/>
  <c r="Z109" i="3"/>
  <c r="X109" i="3"/>
  <c r="T109" i="3"/>
  <c r="P109" i="3"/>
  <c r="H109" i="3"/>
  <c r="D109" i="3"/>
  <c r="B109" i="3"/>
  <c r="X108" i="3"/>
  <c r="T108" i="3"/>
  <c r="Z108" i="3" s="1"/>
  <c r="P108" i="3"/>
  <c r="N108" i="3"/>
  <c r="L108" i="3"/>
  <c r="H108" i="3"/>
  <c r="D108" i="3"/>
  <c r="B108" i="3"/>
  <c r="T107" i="3"/>
  <c r="X107" i="3" s="1"/>
  <c r="Z107" i="3" s="1"/>
  <c r="P107" i="3"/>
  <c r="N107" i="3"/>
  <c r="H107" i="3"/>
  <c r="D107" i="3"/>
  <c r="L107" i="3" s="1"/>
  <c r="B107" i="3"/>
  <c r="T106" i="3"/>
  <c r="P106" i="3"/>
  <c r="N106" i="3"/>
  <c r="H106" i="3"/>
  <c r="D106" i="3"/>
  <c r="L106" i="3" s="1"/>
  <c r="B106" i="3"/>
  <c r="Z105" i="3"/>
  <c r="X105" i="3"/>
  <c r="T105" i="3"/>
  <c r="P105" i="3"/>
  <c r="L105" i="3"/>
  <c r="H105" i="3"/>
  <c r="D105" i="3"/>
  <c r="B105" i="3"/>
  <c r="T104" i="3"/>
  <c r="P104" i="3"/>
  <c r="X104" i="3" s="1"/>
  <c r="N104" i="3"/>
  <c r="L104" i="3"/>
  <c r="H104" i="3"/>
  <c r="D104" i="3"/>
  <c r="B104" i="3"/>
  <c r="Z103" i="3"/>
  <c r="T103" i="3"/>
  <c r="X103" i="3" s="1"/>
  <c r="P103" i="3"/>
  <c r="H103" i="3"/>
  <c r="D103" i="3"/>
  <c r="L103" i="3" s="1"/>
  <c r="N103" i="3" s="1"/>
  <c r="B103" i="3"/>
  <c r="T102" i="3"/>
  <c r="P102" i="3"/>
  <c r="X102" i="3" s="1"/>
  <c r="H102" i="3"/>
  <c r="D102" i="3"/>
  <c r="L102" i="3" s="1"/>
  <c r="N102" i="3" s="1"/>
  <c r="B102" i="3"/>
  <c r="Z101" i="3"/>
  <c r="X101" i="3"/>
  <c r="T101" i="3"/>
  <c r="P101" i="3"/>
  <c r="H101" i="3"/>
  <c r="D101" i="3"/>
  <c r="B101" i="3"/>
  <c r="X100" i="3"/>
  <c r="T100" i="3"/>
  <c r="P100" i="3"/>
  <c r="N100" i="3"/>
  <c r="L100" i="3"/>
  <c r="H100" i="3"/>
  <c r="D100" i="3"/>
  <c r="B100" i="3"/>
  <c r="T99" i="3"/>
  <c r="X99" i="3" s="1"/>
  <c r="P99" i="3"/>
  <c r="H99" i="3"/>
  <c r="N99" i="3" s="1"/>
  <c r="D99" i="3"/>
  <c r="B99" i="3"/>
  <c r="T98" i="3"/>
  <c r="P98" i="3"/>
  <c r="X98" i="3" s="1"/>
  <c r="H98" i="3"/>
  <c r="D98" i="3"/>
  <c r="L98" i="3" s="1"/>
  <c r="N98" i="3" s="1"/>
  <c r="B98" i="3"/>
  <c r="X97" i="3"/>
  <c r="Z97" i="3" s="1"/>
  <c r="T97" i="3"/>
  <c r="P97" i="3"/>
  <c r="H97" i="3"/>
  <c r="D97" i="3"/>
  <c r="B97" i="3"/>
  <c r="T96" i="3"/>
  <c r="P96" i="3"/>
  <c r="X96" i="3" s="1"/>
  <c r="N96" i="3"/>
  <c r="L96" i="3"/>
  <c r="H96" i="3"/>
  <c r="D96" i="3"/>
  <c r="B96" i="3"/>
  <c r="T95" i="3"/>
  <c r="X95" i="3" s="1"/>
  <c r="P95" i="3"/>
  <c r="H95" i="3"/>
  <c r="D95" i="3"/>
  <c r="L95" i="3" s="1"/>
  <c r="N95" i="3" s="1"/>
  <c r="B95" i="3"/>
  <c r="T94" i="3"/>
  <c r="P94" i="3"/>
  <c r="X94" i="3" s="1"/>
  <c r="L94" i="3"/>
  <c r="N94" i="3" s="1"/>
  <c r="H94" i="3"/>
  <c r="D94" i="3"/>
  <c r="B94" i="3"/>
  <c r="T93" i="3"/>
  <c r="X93" i="3" s="1"/>
  <c r="Z93" i="3" s="1"/>
  <c r="P93" i="3"/>
  <c r="L93" i="3"/>
  <c r="H93" i="3"/>
  <c r="N93" i="3" s="1"/>
  <c r="D93" i="3"/>
  <c r="B93" i="3"/>
  <c r="X92" i="3"/>
  <c r="T92" i="3"/>
  <c r="P92" i="3"/>
  <c r="L92" i="3"/>
  <c r="N92" i="3" s="1"/>
  <c r="H92" i="3"/>
  <c r="D92" i="3"/>
  <c r="B92" i="3"/>
  <c r="Z91" i="3"/>
  <c r="T91" i="3"/>
  <c r="X91" i="3" s="1"/>
  <c r="P91" i="3"/>
  <c r="H91" i="3"/>
  <c r="D91" i="3"/>
  <c r="B91" i="3"/>
  <c r="T90" i="3"/>
  <c r="P90" i="3"/>
  <c r="X90" i="3" s="1"/>
  <c r="N90" i="3"/>
  <c r="H90" i="3"/>
  <c r="D90" i="3"/>
  <c r="L90" i="3" s="1"/>
  <c r="B90" i="3"/>
  <c r="T89" i="3"/>
  <c r="P89" i="3"/>
  <c r="L89" i="3"/>
  <c r="H89" i="3"/>
  <c r="D89" i="3"/>
  <c r="B89" i="3"/>
  <c r="T88" i="3"/>
  <c r="P88" i="3"/>
  <c r="X88" i="3" s="1"/>
  <c r="N88" i="3"/>
  <c r="L88" i="3"/>
  <c r="H88" i="3"/>
  <c r="D88" i="3"/>
  <c r="B88" i="3"/>
  <c r="Z87" i="3"/>
  <c r="T87" i="3"/>
  <c r="X87" i="3" s="1"/>
  <c r="P87" i="3"/>
  <c r="H87" i="3"/>
  <c r="D87" i="3"/>
  <c r="B87" i="3"/>
  <c r="T86" i="3"/>
  <c r="P86" i="3"/>
  <c r="N86" i="3"/>
  <c r="L86" i="3"/>
  <c r="H86" i="3"/>
  <c r="D86" i="3"/>
  <c r="B86" i="3"/>
  <c r="T85" i="3"/>
  <c r="X85" i="3" s="1"/>
  <c r="Z85" i="3" s="1"/>
  <c r="P85" i="3"/>
  <c r="L85" i="3"/>
  <c r="H85" i="3"/>
  <c r="D85" i="3"/>
  <c r="B85" i="3"/>
  <c r="X84" i="3"/>
  <c r="T84" i="3"/>
  <c r="P84" i="3"/>
  <c r="L84" i="3"/>
  <c r="N84" i="3" s="1"/>
  <c r="H84" i="3"/>
  <c r="D84" i="3"/>
  <c r="B84" i="3"/>
  <c r="Z83" i="3"/>
  <c r="T83" i="3"/>
  <c r="X83" i="3" s="1"/>
  <c r="P83" i="3"/>
  <c r="H83" i="3"/>
  <c r="D83" i="3"/>
  <c r="B83" i="3"/>
  <c r="T82" i="3"/>
  <c r="P82" i="3"/>
  <c r="X82" i="3" s="1"/>
  <c r="L82" i="3"/>
  <c r="N82" i="3" s="1"/>
  <c r="H82" i="3"/>
  <c r="D82" i="3"/>
  <c r="B82" i="3"/>
  <c r="T81" i="3"/>
  <c r="P81" i="3"/>
  <c r="H81" i="3"/>
  <c r="D81" i="3"/>
  <c r="B81" i="3"/>
  <c r="X80" i="3"/>
  <c r="T80" i="3"/>
  <c r="Z80" i="3" s="1"/>
  <c r="P80" i="3"/>
  <c r="N80" i="3"/>
  <c r="L80" i="3"/>
  <c r="H80" i="3"/>
  <c r="D80" i="3"/>
  <c r="B80" i="3"/>
  <c r="T79" i="3"/>
  <c r="X79" i="3" s="1"/>
  <c r="P79" i="3"/>
  <c r="N79" i="3"/>
  <c r="H79" i="3"/>
  <c r="D79" i="3"/>
  <c r="L79" i="3" s="1"/>
  <c r="B79" i="3"/>
  <c r="T78" i="3"/>
  <c r="P78" i="3"/>
  <c r="H78" i="3"/>
  <c r="D78" i="3"/>
  <c r="L78" i="3" s="1"/>
  <c r="N78" i="3" s="1"/>
  <c r="B78" i="3"/>
  <c r="T77" i="3"/>
  <c r="X77" i="3" s="1"/>
  <c r="Z77" i="3" s="1"/>
  <c r="P77" i="3"/>
  <c r="L77" i="3"/>
  <c r="H77" i="3"/>
  <c r="D77" i="3"/>
  <c r="B77" i="3"/>
  <c r="T76" i="3"/>
  <c r="P76" i="3"/>
  <c r="X76" i="3" s="1"/>
  <c r="L76" i="3"/>
  <c r="N76" i="3" s="1"/>
  <c r="H76" i="3"/>
  <c r="D76" i="3"/>
  <c r="B76" i="3"/>
  <c r="Z75" i="3"/>
  <c r="T75" i="3"/>
  <c r="X75" i="3" s="1"/>
  <c r="P75" i="3"/>
  <c r="H75" i="3"/>
  <c r="D75" i="3"/>
  <c r="L75" i="3" s="1"/>
  <c r="N75" i="3" s="1"/>
  <c r="B75" i="3"/>
  <c r="T74" i="3"/>
  <c r="P74" i="3"/>
  <c r="X74" i="3" s="1"/>
  <c r="L74" i="3"/>
  <c r="N74" i="3" s="1"/>
  <c r="H74" i="3"/>
  <c r="D74" i="3"/>
  <c r="B74" i="3"/>
  <c r="X73" i="3"/>
  <c r="T73" i="3"/>
  <c r="Z73" i="3" s="1"/>
  <c r="P73" i="3"/>
  <c r="H73" i="3"/>
  <c r="D73" i="3"/>
  <c r="B73" i="3"/>
  <c r="X72" i="3"/>
  <c r="T72" i="3"/>
  <c r="Z72" i="3" s="1"/>
  <c r="P72" i="3"/>
  <c r="N72" i="3"/>
  <c r="L72" i="3"/>
  <c r="H72" i="3"/>
  <c r="D72" i="3"/>
  <c r="B72" i="3"/>
  <c r="T71" i="3"/>
  <c r="X71" i="3" s="1"/>
  <c r="P71" i="3"/>
  <c r="N71" i="3"/>
  <c r="H71" i="3"/>
  <c r="D71" i="3"/>
  <c r="L71" i="3" s="1"/>
  <c r="B71" i="3"/>
  <c r="T70" i="3"/>
  <c r="P70" i="3"/>
  <c r="L70" i="3"/>
  <c r="N70" i="3" s="1"/>
  <c r="H70" i="3"/>
  <c r="D70" i="3"/>
  <c r="B70" i="3"/>
  <c r="T69" i="3"/>
  <c r="X69" i="3" s="1"/>
  <c r="Z69" i="3" s="1"/>
  <c r="P69" i="3"/>
  <c r="L69" i="3"/>
  <c r="H69" i="3"/>
  <c r="D69" i="3"/>
  <c r="B69" i="3"/>
  <c r="X68" i="3"/>
  <c r="T68" i="3"/>
  <c r="P68" i="3"/>
  <c r="L68" i="3"/>
  <c r="N68" i="3" s="1"/>
  <c r="H68" i="3"/>
  <c r="D68" i="3"/>
  <c r="B68" i="3"/>
  <c r="Z67" i="3"/>
  <c r="T67" i="3"/>
  <c r="X67" i="3" s="1"/>
  <c r="P67" i="3"/>
  <c r="H67" i="3"/>
  <c r="D67" i="3"/>
  <c r="B67" i="3"/>
  <c r="T66" i="3"/>
  <c r="P66" i="3"/>
  <c r="X66" i="3" s="1"/>
  <c r="H66" i="3"/>
  <c r="D66" i="3"/>
  <c r="L66" i="3" s="1"/>
  <c r="N66" i="3" s="1"/>
  <c r="B66" i="3"/>
  <c r="X65" i="3"/>
  <c r="Z65" i="3" s="1"/>
  <c r="T65" i="3"/>
  <c r="P65" i="3"/>
  <c r="L65" i="3"/>
  <c r="H65" i="3"/>
  <c r="D65" i="3"/>
  <c r="B65" i="3"/>
  <c r="T64" i="3"/>
  <c r="P64" i="3"/>
  <c r="X64" i="3" s="1"/>
  <c r="N64" i="3"/>
  <c r="L64" i="3"/>
  <c r="H64" i="3"/>
  <c r="D64" i="3"/>
  <c r="B64" i="3"/>
  <c r="Z63" i="3"/>
  <c r="T63" i="3"/>
  <c r="X63" i="3" s="1"/>
  <c r="P63" i="3"/>
  <c r="N63" i="3"/>
  <c r="H63" i="3"/>
  <c r="D63" i="3"/>
  <c r="L63" i="3" s="1"/>
  <c r="B63" i="3"/>
  <c r="T62" i="3"/>
  <c r="P62" i="3"/>
  <c r="N62" i="3"/>
  <c r="H62" i="3"/>
  <c r="D62" i="3"/>
  <c r="L62" i="3" s="1"/>
  <c r="B62" i="3"/>
  <c r="X61" i="3"/>
  <c r="Z61" i="3" s="1"/>
  <c r="T61" i="3"/>
  <c r="P61" i="3"/>
  <c r="H61" i="3"/>
  <c r="D61" i="3"/>
  <c r="B61" i="3"/>
  <c r="T60" i="3"/>
  <c r="P60" i="3"/>
  <c r="X60" i="3" s="1"/>
  <c r="L60" i="3"/>
  <c r="N60" i="3" s="1"/>
  <c r="H60" i="3"/>
  <c r="D60" i="3"/>
  <c r="B60" i="3"/>
  <c r="T59" i="3"/>
  <c r="X59" i="3" s="1"/>
  <c r="P59" i="3"/>
  <c r="N59" i="3"/>
  <c r="H59" i="3"/>
  <c r="D59" i="3"/>
  <c r="L59" i="3" s="1"/>
  <c r="B59" i="3"/>
  <c r="T58" i="3"/>
  <c r="P58" i="3"/>
  <c r="X58" i="3" s="1"/>
  <c r="L58" i="3"/>
  <c r="N58" i="3" s="1"/>
  <c r="H58" i="3"/>
  <c r="D58" i="3"/>
  <c r="B58" i="3"/>
  <c r="T57" i="3"/>
  <c r="X57" i="3" s="1"/>
  <c r="Z57" i="3" s="1"/>
  <c r="P57" i="3"/>
  <c r="L57" i="3"/>
  <c r="H57" i="3"/>
  <c r="D57" i="3"/>
  <c r="B57" i="3"/>
  <c r="X56" i="3"/>
  <c r="T56" i="3"/>
  <c r="P56" i="3"/>
  <c r="L56" i="3"/>
  <c r="N56" i="3" s="1"/>
  <c r="H56" i="3"/>
  <c r="D56" i="3"/>
  <c r="B56" i="3"/>
  <c r="Z55" i="3"/>
  <c r="T55" i="3"/>
  <c r="X55" i="3" s="1"/>
  <c r="P55" i="3"/>
  <c r="H55" i="3"/>
  <c r="D55" i="3"/>
  <c r="B55" i="3"/>
  <c r="T54" i="3"/>
  <c r="P54" i="3"/>
  <c r="X54" i="3" s="1"/>
  <c r="L54" i="3"/>
  <c r="N54" i="3" s="1"/>
  <c r="H54" i="3"/>
  <c r="D54" i="3"/>
  <c r="B54" i="3"/>
  <c r="T53" i="3"/>
  <c r="P53" i="3"/>
  <c r="H53" i="3"/>
  <c r="D53" i="3"/>
  <c r="B53" i="3"/>
  <c r="X52" i="3"/>
  <c r="T52" i="3"/>
  <c r="Z52" i="3" s="1"/>
  <c r="P52" i="3"/>
  <c r="N52" i="3"/>
  <c r="L52" i="3"/>
  <c r="H52" i="3"/>
  <c r="D52" i="3"/>
  <c r="B52" i="3"/>
  <c r="T51" i="3"/>
  <c r="X51" i="3" s="1"/>
  <c r="P51" i="3"/>
  <c r="N51" i="3"/>
  <c r="H51" i="3"/>
  <c r="D51" i="3"/>
  <c r="L51" i="3" s="1"/>
  <c r="B51" i="3"/>
  <c r="T50" i="3"/>
  <c r="P50" i="3"/>
  <c r="N50" i="3"/>
  <c r="L50" i="3"/>
  <c r="H50" i="3"/>
  <c r="D50" i="3"/>
  <c r="B50" i="3"/>
  <c r="X49" i="3"/>
  <c r="Z49" i="3" s="1"/>
  <c r="T49" i="3"/>
  <c r="P49" i="3"/>
  <c r="H49" i="3"/>
  <c r="L49" i="3" s="1"/>
  <c r="D49" i="3"/>
  <c r="B49" i="3"/>
  <c r="X48" i="3"/>
  <c r="T48" i="3"/>
  <c r="Z48" i="3" s="1"/>
  <c r="P48" i="3"/>
  <c r="N48" i="3"/>
  <c r="L48" i="3"/>
  <c r="H48" i="3"/>
  <c r="D48" i="3"/>
  <c r="B48" i="3"/>
  <c r="T47" i="3"/>
  <c r="X47" i="3" s="1"/>
  <c r="P47" i="3"/>
  <c r="H47" i="3"/>
  <c r="N47" i="3" s="1"/>
  <c r="D47" i="3"/>
  <c r="L47" i="3" s="1"/>
  <c r="B47" i="3"/>
  <c r="T46" i="3"/>
  <c r="P46" i="3"/>
  <c r="L46" i="3"/>
  <c r="N46" i="3" s="1"/>
  <c r="H46" i="3"/>
  <c r="D46" i="3"/>
  <c r="B46" i="3"/>
  <c r="Z45" i="3"/>
  <c r="X45" i="3"/>
  <c r="T45" i="3"/>
  <c r="P45" i="3"/>
  <c r="L45" i="3"/>
  <c r="H45" i="3"/>
  <c r="N45" i="3" s="1"/>
  <c r="D45" i="3"/>
  <c r="B45" i="3"/>
  <c r="X44" i="3"/>
  <c r="T44" i="3"/>
  <c r="P44" i="3"/>
  <c r="L44" i="3"/>
  <c r="N44" i="3" s="1"/>
  <c r="H44" i="3"/>
  <c r="D44" i="3"/>
  <c r="B44" i="3"/>
  <c r="Z43" i="3"/>
  <c r="T43" i="3"/>
  <c r="X43" i="3" s="1"/>
  <c r="P43" i="3"/>
  <c r="L43" i="3"/>
  <c r="N43" i="3" s="1"/>
  <c r="H43" i="3"/>
  <c r="D43" i="3"/>
  <c r="B43" i="3"/>
  <c r="T42" i="3"/>
  <c r="P42" i="3"/>
  <c r="H42" i="3"/>
  <c r="D42" i="3"/>
  <c r="L42" i="3" s="1"/>
  <c r="N42" i="3" s="1"/>
  <c r="B42" i="3"/>
  <c r="T41" i="3"/>
  <c r="P41" i="3"/>
  <c r="L41" i="3"/>
  <c r="H41" i="3"/>
  <c r="D41" i="3"/>
  <c r="B41" i="3"/>
  <c r="T40" i="3"/>
  <c r="P40" i="3"/>
  <c r="X40" i="3" s="1"/>
  <c r="L40" i="3"/>
  <c r="N40" i="3" s="1"/>
  <c r="H40" i="3"/>
  <c r="D40" i="3"/>
  <c r="B40" i="3"/>
  <c r="Z39" i="3"/>
  <c r="T39" i="3"/>
  <c r="X39" i="3" s="1"/>
  <c r="P39" i="3"/>
  <c r="H39" i="3"/>
  <c r="N39" i="3" s="1"/>
  <c r="D39" i="3"/>
  <c r="L39" i="3" s="1"/>
  <c r="B39" i="3"/>
  <c r="T38" i="3"/>
  <c r="P38" i="3"/>
  <c r="L38" i="3"/>
  <c r="N38" i="3" s="1"/>
  <c r="H38" i="3"/>
  <c r="D38" i="3"/>
  <c r="B38" i="3"/>
  <c r="Z37" i="3"/>
  <c r="X37" i="3"/>
  <c r="T37" i="3"/>
  <c r="P37" i="3"/>
  <c r="L37" i="3"/>
  <c r="H37" i="3"/>
  <c r="D37" i="3"/>
  <c r="B37" i="3"/>
  <c r="X36" i="3"/>
  <c r="T36" i="3"/>
  <c r="P36" i="3"/>
  <c r="L36" i="3"/>
  <c r="N36" i="3" s="1"/>
  <c r="H36" i="3"/>
  <c r="D36" i="3"/>
  <c r="B36" i="3"/>
  <c r="Z35" i="3"/>
  <c r="T35" i="3"/>
  <c r="X35" i="3" s="1"/>
  <c r="P35" i="3"/>
  <c r="L35" i="3"/>
  <c r="N35" i="3" s="1"/>
  <c r="H35" i="3"/>
  <c r="D35" i="3"/>
  <c r="B35" i="3"/>
  <c r="T34" i="3"/>
  <c r="P34" i="3"/>
  <c r="H34" i="3"/>
  <c r="D34" i="3"/>
  <c r="L34" i="3" s="1"/>
  <c r="N34" i="3" s="1"/>
  <c r="B34" i="3"/>
  <c r="T33" i="3"/>
  <c r="X33" i="3" s="1"/>
  <c r="Z33" i="3" s="1"/>
  <c r="P33" i="3"/>
  <c r="L33" i="3"/>
  <c r="H33" i="3"/>
  <c r="D33" i="3"/>
  <c r="B33" i="3"/>
  <c r="T32" i="3"/>
  <c r="P32" i="3"/>
  <c r="X32" i="3" s="1"/>
  <c r="L32" i="3"/>
  <c r="N32" i="3" s="1"/>
  <c r="H32" i="3"/>
  <c r="D32" i="3"/>
  <c r="B32" i="3"/>
  <c r="Z31" i="3"/>
  <c r="T31" i="3"/>
  <c r="X31" i="3" s="1"/>
  <c r="P31" i="3"/>
  <c r="H31" i="3"/>
  <c r="D31" i="3"/>
  <c r="L31" i="3" s="1"/>
  <c r="N31" i="3" s="1"/>
  <c r="B31" i="3"/>
  <c r="T30" i="3"/>
  <c r="P30" i="3"/>
  <c r="L30" i="3"/>
  <c r="N30" i="3" s="1"/>
  <c r="H30" i="3"/>
  <c r="D30" i="3"/>
  <c r="B30" i="3"/>
  <c r="Z29" i="3"/>
  <c r="X29" i="3"/>
  <c r="T29" i="3"/>
  <c r="P29" i="3"/>
  <c r="L29" i="3"/>
  <c r="H29" i="3"/>
  <c r="D29" i="3"/>
  <c r="B29" i="3"/>
  <c r="X28" i="3"/>
  <c r="T28" i="3"/>
  <c r="P28" i="3"/>
  <c r="L28" i="3"/>
  <c r="N28" i="3" s="1"/>
  <c r="H28" i="3"/>
  <c r="D28" i="3"/>
  <c r="B28" i="3"/>
  <c r="Z27" i="3"/>
  <c r="T27" i="3"/>
  <c r="X27" i="3" s="1"/>
  <c r="P27" i="3"/>
  <c r="L27" i="3"/>
  <c r="N27" i="3" s="1"/>
  <c r="H27" i="3"/>
  <c r="D27" i="3"/>
  <c r="B27" i="3"/>
  <c r="T26" i="3"/>
  <c r="P26" i="3"/>
  <c r="H26" i="3"/>
  <c r="D26" i="3"/>
  <c r="L26" i="3" s="1"/>
  <c r="N26" i="3" s="1"/>
  <c r="B26" i="3"/>
  <c r="T25" i="3"/>
  <c r="X25" i="3" s="1"/>
  <c r="Z25" i="3" s="1"/>
  <c r="P25" i="3"/>
  <c r="L25" i="3"/>
  <c r="H25" i="3"/>
  <c r="D25" i="3"/>
  <c r="B25" i="3"/>
  <c r="T24" i="3"/>
  <c r="P24" i="3"/>
  <c r="X24" i="3" s="1"/>
  <c r="L24" i="3"/>
  <c r="N24" i="3" s="1"/>
  <c r="H24" i="3"/>
  <c r="D24" i="3"/>
  <c r="B24" i="3"/>
  <c r="Z23" i="3"/>
  <c r="T23" i="3"/>
  <c r="X23" i="3" s="1"/>
  <c r="P23" i="3"/>
  <c r="H23" i="3"/>
  <c r="D23" i="3"/>
  <c r="L23" i="3" s="1"/>
  <c r="N23" i="3" s="1"/>
  <c r="B23" i="3"/>
  <c r="T22" i="3"/>
  <c r="P22" i="3"/>
  <c r="L22" i="3"/>
  <c r="N22" i="3" s="1"/>
  <c r="H22" i="3"/>
  <c r="D22" i="3"/>
  <c r="B22" i="3"/>
  <c r="Z21" i="3"/>
  <c r="X21" i="3"/>
  <c r="T21" i="3"/>
  <c r="P21" i="3"/>
  <c r="L21" i="3"/>
  <c r="H21" i="3"/>
  <c r="D21" i="3"/>
  <c r="B21" i="3"/>
  <c r="X20" i="3"/>
  <c r="T20" i="3"/>
  <c r="P20" i="3"/>
  <c r="L20" i="3"/>
  <c r="N20" i="3" s="1"/>
  <c r="H20" i="3"/>
  <c r="D20" i="3"/>
  <c r="B20" i="3"/>
  <c r="Z19" i="3"/>
  <c r="T19" i="3"/>
  <c r="X19" i="3" s="1"/>
  <c r="P19" i="3"/>
  <c r="L19" i="3"/>
  <c r="N19" i="3" s="1"/>
  <c r="H19" i="3"/>
  <c r="D19" i="3"/>
  <c r="B19" i="3"/>
  <c r="T18" i="3"/>
  <c r="P18" i="3"/>
  <c r="N18" i="3"/>
  <c r="L18" i="3"/>
  <c r="H18" i="3"/>
  <c r="D18" i="3"/>
  <c r="B18" i="3"/>
  <c r="X17" i="3"/>
  <c r="Z17" i="3" s="1"/>
  <c r="T17" i="3"/>
  <c r="P17" i="3"/>
  <c r="H17" i="3"/>
  <c r="L17" i="3" s="1"/>
  <c r="D17" i="3"/>
  <c r="B17" i="3"/>
  <c r="T16" i="3"/>
  <c r="P16" i="3"/>
  <c r="N16" i="3"/>
  <c r="L16" i="3"/>
  <c r="H16" i="3"/>
  <c r="D16" i="3"/>
  <c r="B16" i="3"/>
  <c r="T15" i="3"/>
  <c r="X15" i="3" s="1"/>
  <c r="P15" i="3"/>
  <c r="H15" i="3"/>
  <c r="D15" i="3"/>
  <c r="B15" i="3"/>
  <c r="T14" i="3"/>
  <c r="P14" i="3"/>
  <c r="X14" i="3" s="1"/>
  <c r="L14" i="3"/>
  <c r="N14" i="3" s="1"/>
  <c r="H14" i="3"/>
  <c r="D14" i="3"/>
  <c r="B14" i="3"/>
  <c r="Z13" i="3"/>
  <c r="T13" i="3"/>
  <c r="X13" i="3" s="1"/>
  <c r="P13" i="3"/>
  <c r="H13" i="3"/>
  <c r="D13" i="3"/>
  <c r="B13" i="3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9" i="112"/>
  <c r="T29" i="111"/>
  <c r="P16" i="113"/>
  <c r="P22" i="112"/>
  <c r="T16" i="112"/>
  <c r="T22" i="111"/>
  <c r="H29" i="113"/>
  <c r="P29" i="111"/>
  <c r="P21" i="113"/>
  <c r="T15" i="113"/>
  <c r="P34" i="112"/>
  <c r="T21" i="112"/>
  <c r="T34" i="111"/>
  <c r="B16" i="111"/>
  <c r="H34" i="113"/>
  <c r="P15" i="113"/>
  <c r="P21" i="112"/>
  <c r="T15" i="112"/>
  <c r="P34" i="111"/>
  <c r="T21" i="111"/>
  <c r="P13" i="113"/>
  <c r="P33" i="112"/>
  <c r="P25" i="112"/>
  <c r="T33" i="111"/>
  <c r="T25" i="111"/>
  <c r="D15" i="111"/>
  <c r="P20" i="113"/>
  <c r="T20" i="112"/>
  <c r="T13" i="112"/>
  <c r="H33" i="113"/>
  <c r="H25" i="113"/>
  <c r="P13" i="112"/>
  <c r="P33" i="111"/>
  <c r="P25" i="111"/>
  <c r="H12" i="113"/>
  <c r="T12" i="111"/>
  <c r="D12" i="113"/>
  <c r="P24" i="112"/>
  <c r="T24" i="111"/>
  <c r="P12" i="111"/>
  <c r="D6" i="113"/>
  <c r="H12" i="112"/>
  <c r="B38" i="53"/>
  <c r="D34" i="53"/>
  <c r="D33" i="53"/>
  <c r="P29" i="53"/>
  <c r="P21" i="53"/>
  <c r="T15" i="53"/>
  <c r="P13" i="53"/>
  <c r="H12" i="53"/>
  <c r="P24" i="52"/>
  <c r="P22" i="52"/>
  <c r="T20" i="52"/>
  <c r="T16" i="52"/>
  <c r="T13" i="52"/>
  <c r="B39" i="50"/>
  <c r="H24" i="50"/>
  <c r="H22" i="50"/>
  <c r="H13" i="50"/>
  <c r="D4" i="50"/>
  <c r="H34" i="49"/>
  <c r="H33" i="49"/>
  <c r="H29" i="49"/>
  <c r="H25" i="49"/>
  <c r="P15" i="49"/>
  <c r="D5" i="49"/>
  <c r="B39" i="53"/>
  <c r="H25" i="53"/>
  <c r="P15" i="53"/>
  <c r="D5" i="53"/>
  <c r="P20" i="52"/>
  <c r="P16" i="52"/>
  <c r="D12" i="52"/>
  <c r="T34" i="53"/>
  <c r="P33" i="53"/>
  <c r="H29" i="53"/>
  <c r="H24" i="53"/>
  <c r="H22" i="53"/>
  <c r="H13" i="53"/>
  <c r="D4" i="53"/>
  <c r="H34" i="52"/>
  <c r="H33" i="52"/>
  <c r="H29" i="52"/>
  <c r="H25" i="52"/>
  <c r="P15" i="52"/>
  <c r="D5" i="52"/>
  <c r="D25" i="53"/>
  <c r="H21" i="53"/>
  <c r="D13" i="53"/>
  <c r="B39" i="52"/>
  <c r="H24" i="52"/>
  <c r="H22" i="52"/>
  <c r="H13" i="52"/>
  <c r="D4" i="52"/>
  <c r="H33" i="53"/>
  <c r="B22" i="53"/>
  <c r="D21" i="53"/>
  <c r="H15" i="53"/>
  <c r="B25" i="52"/>
  <c r="D24" i="52"/>
  <c r="D22" i="52"/>
  <c r="H20" i="52"/>
  <c r="H16" i="52"/>
  <c r="B13" i="52"/>
  <c r="T24" i="50"/>
  <c r="T22" i="50"/>
  <c r="P12" i="50"/>
  <c r="T34" i="49"/>
  <c r="T33" i="49"/>
  <c r="T29" i="49"/>
  <c r="T25" i="49"/>
  <c r="B16" i="49"/>
  <c r="D15" i="49"/>
  <c r="T12" i="49"/>
  <c r="T33" i="53"/>
  <c r="T29" i="53"/>
  <c r="T25" i="53"/>
  <c r="D24" i="53"/>
  <c r="D16" i="53"/>
  <c r="B22" i="52"/>
  <c r="T34" i="50"/>
  <c r="D29" i="50"/>
  <c r="P22" i="50"/>
  <c r="B16" i="50"/>
  <c r="T13" i="50"/>
  <c r="D12" i="50"/>
  <c r="P29" i="49"/>
  <c r="D24" i="49"/>
  <c r="B16" i="53"/>
  <c r="B13" i="53"/>
  <c r="T33" i="52"/>
  <c r="T24" i="52"/>
  <c r="D15" i="52"/>
  <c r="P34" i="50"/>
  <c r="H20" i="50"/>
  <c r="P13" i="50"/>
  <c r="D5" i="50"/>
  <c r="D25" i="49"/>
  <c r="T20" i="49"/>
  <c r="H15" i="49"/>
  <c r="P12" i="49"/>
  <c r="P25" i="53"/>
  <c r="T25" i="50"/>
  <c r="P24" i="50"/>
  <c r="D29" i="53"/>
  <c r="T22" i="53"/>
  <c r="B21" i="53"/>
  <c r="T12" i="53"/>
  <c r="P33" i="52"/>
  <c r="T29" i="52"/>
  <c r="D20" i="52"/>
  <c r="H33" i="50"/>
  <c r="P25" i="50"/>
  <c r="D20" i="50"/>
  <c r="T15" i="50"/>
  <c r="B38" i="49"/>
  <c r="T22" i="49"/>
  <c r="P20" i="49"/>
  <c r="P20" i="47"/>
  <c r="P16" i="47"/>
  <c r="D12" i="47"/>
  <c r="P21" i="46"/>
  <c r="T15" i="46"/>
  <c r="P13" i="46"/>
  <c r="H12" i="46"/>
  <c r="P12" i="53"/>
  <c r="T21" i="52"/>
  <c r="P13" i="52"/>
  <c r="D33" i="50"/>
  <c r="D21" i="50"/>
  <c r="T16" i="50"/>
  <c r="D13" i="50"/>
  <c r="P33" i="49"/>
  <c r="P21" i="49"/>
  <c r="D16" i="49"/>
  <c r="H12" i="49"/>
  <c r="B25" i="53"/>
  <c r="P22" i="53"/>
  <c r="D33" i="52"/>
  <c r="P29" i="52"/>
  <c r="T25" i="52"/>
  <c r="P21" i="52"/>
  <c r="D16" i="52"/>
  <c r="D13" i="52"/>
  <c r="H34" i="50"/>
  <c r="D22" i="50"/>
  <c r="B21" i="50"/>
  <c r="P15" i="50"/>
  <c r="B13" i="50"/>
  <c r="D29" i="49"/>
  <c r="T24" i="49"/>
  <c r="P22" i="49"/>
  <c r="P34" i="53"/>
  <c r="T34" i="52"/>
  <c r="H21" i="52"/>
  <c r="B16" i="52"/>
  <c r="D34" i="50"/>
  <c r="T29" i="50"/>
  <c r="B22" i="50"/>
  <c r="P16" i="50"/>
  <c r="P34" i="49"/>
  <c r="H20" i="49"/>
  <c r="P13" i="49"/>
  <c r="D4" i="49"/>
  <c r="D22" i="53"/>
  <c r="T20" i="53"/>
  <c r="D12" i="53"/>
  <c r="D29" i="52"/>
  <c r="P25" i="52"/>
  <c r="D21" i="52"/>
  <c r="P29" i="50"/>
  <c r="H25" i="50"/>
  <c r="D24" i="50"/>
  <c r="H34" i="53"/>
  <c r="T24" i="53"/>
  <c r="P20" i="53"/>
  <c r="D15" i="53"/>
  <c r="B38" i="52"/>
  <c r="P34" i="52"/>
  <c r="T22" i="52"/>
  <c r="B21" i="52"/>
  <c r="T12" i="52"/>
  <c r="D25" i="50"/>
  <c r="T20" i="50"/>
  <c r="H15" i="50"/>
  <c r="T12" i="50"/>
  <c r="P25" i="49"/>
  <c r="H22" i="49"/>
  <c r="D20" i="49"/>
  <c r="T15" i="49"/>
  <c r="H13" i="49"/>
  <c r="P24" i="53"/>
  <c r="D20" i="53"/>
  <c r="P16" i="53"/>
  <c r="D34" i="52"/>
  <c r="B38" i="50"/>
  <c r="T33" i="50"/>
  <c r="P20" i="50"/>
  <c r="D15" i="50"/>
  <c r="H24" i="49"/>
  <c r="D22" i="49"/>
  <c r="B21" i="49"/>
  <c r="B13" i="49"/>
  <c r="T34" i="47"/>
  <c r="T33" i="47"/>
  <c r="T29" i="47"/>
  <c r="T25" i="47"/>
  <c r="B16" i="47"/>
  <c r="D15" i="47"/>
  <c r="T12" i="47"/>
  <c r="B21" i="46"/>
  <c r="D20" i="46"/>
  <c r="D16" i="46"/>
  <c r="T21" i="53"/>
  <c r="H15" i="52"/>
  <c r="B25" i="50"/>
  <c r="B22" i="49"/>
  <c r="P16" i="49"/>
  <c r="H34" i="47"/>
  <c r="D33" i="47"/>
  <c r="D21" i="47"/>
  <c r="T16" i="47"/>
  <c r="P15" i="47"/>
  <c r="D13" i="47"/>
  <c r="T34" i="46"/>
  <c r="P33" i="46"/>
  <c r="B16" i="46"/>
  <c r="D12" i="46"/>
  <c r="P24" i="44"/>
  <c r="P22" i="44"/>
  <c r="T20" i="44"/>
  <c r="T16" i="44"/>
  <c r="T13" i="44"/>
  <c r="P34" i="43"/>
  <c r="P33" i="43"/>
  <c r="P29" i="43"/>
  <c r="P25" i="43"/>
  <c r="T21" i="43"/>
  <c r="H20" i="53"/>
  <c r="P12" i="52"/>
  <c r="H16" i="50"/>
  <c r="T21" i="49"/>
  <c r="H16" i="49"/>
  <c r="H24" i="47"/>
  <c r="D22" i="47"/>
  <c r="B21" i="47"/>
  <c r="B13" i="47"/>
  <c r="D29" i="46"/>
  <c r="T24" i="46"/>
  <c r="P22" i="46"/>
  <c r="T13" i="46"/>
  <c r="D5" i="46"/>
  <c r="H12" i="52"/>
  <c r="D16" i="50"/>
  <c r="D34" i="49"/>
  <c r="H21" i="49"/>
  <c r="D34" i="47"/>
  <c r="H25" i="47"/>
  <c r="B22" i="47"/>
  <c r="P34" i="46"/>
  <c r="T16" i="53"/>
  <c r="D25" i="52"/>
  <c r="D21" i="49"/>
  <c r="P29" i="47"/>
  <c r="D24" i="47"/>
  <c r="H33" i="46"/>
  <c r="P24" i="46"/>
  <c r="H21" i="46"/>
  <c r="H16" i="53"/>
  <c r="T21" i="50"/>
  <c r="D33" i="49"/>
  <c r="D25" i="47"/>
  <c r="T20" i="47"/>
  <c r="H15" i="47"/>
  <c r="P12" i="47"/>
  <c r="P25" i="46"/>
  <c r="H22" i="46"/>
  <c r="H13" i="46"/>
  <c r="B39" i="44"/>
  <c r="H24" i="44"/>
  <c r="H22" i="44"/>
  <c r="H13" i="44"/>
  <c r="D4" i="44"/>
  <c r="H34" i="43"/>
  <c r="H33" i="43"/>
  <c r="H29" i="43"/>
  <c r="H25" i="43"/>
  <c r="P15" i="43"/>
  <c r="D5" i="43"/>
  <c r="P33" i="50"/>
  <c r="P21" i="50"/>
  <c r="B25" i="49"/>
  <c r="B39" i="47"/>
  <c r="B25" i="47"/>
  <c r="T21" i="47"/>
  <c r="H16" i="47"/>
  <c r="H34" i="46"/>
  <c r="D33" i="46"/>
  <c r="D21" i="46"/>
  <c r="T16" i="46"/>
  <c r="P15" i="46"/>
  <c r="D13" i="46"/>
  <c r="T13" i="53"/>
  <c r="H21" i="50"/>
  <c r="P24" i="49"/>
  <c r="T13" i="49"/>
  <c r="B38" i="47"/>
  <c r="H29" i="47"/>
  <c r="T22" i="47"/>
  <c r="T29" i="46"/>
  <c r="H24" i="46"/>
  <c r="D22" i="46"/>
  <c r="P16" i="46"/>
  <c r="B13" i="46"/>
  <c r="P33" i="47"/>
  <c r="P21" i="47"/>
  <c r="D16" i="47"/>
  <c r="H12" i="47"/>
  <c r="D34" i="46"/>
  <c r="H25" i="46"/>
  <c r="B22" i="46"/>
  <c r="H12" i="50"/>
  <c r="D13" i="49"/>
  <c r="D29" i="47"/>
  <c r="T24" i="47"/>
  <c r="P22" i="47"/>
  <c r="T13" i="47"/>
  <c r="D5" i="47"/>
  <c r="P29" i="46"/>
  <c r="D24" i="46"/>
  <c r="T12" i="46"/>
  <c r="B21" i="44"/>
  <c r="D20" i="44"/>
  <c r="D16" i="44"/>
  <c r="B22" i="43"/>
  <c r="D21" i="43"/>
  <c r="H15" i="43"/>
  <c r="H29" i="50"/>
  <c r="B39" i="49"/>
  <c r="P34" i="47"/>
  <c r="H20" i="47"/>
  <c r="P13" i="47"/>
  <c r="D4" i="47"/>
  <c r="H33" i="47"/>
  <c r="P24" i="47"/>
  <c r="H21" i="47"/>
  <c r="B39" i="46"/>
  <c r="T33" i="46"/>
  <c r="B25" i="46"/>
  <c r="T21" i="46"/>
  <c r="P20" i="46"/>
  <c r="H16" i="46"/>
  <c r="D15" i="46"/>
  <c r="T24" i="44"/>
  <c r="T22" i="44"/>
  <c r="P12" i="44"/>
  <c r="T34" i="43"/>
  <c r="T33" i="43"/>
  <c r="T29" i="43"/>
  <c r="T25" i="43"/>
  <c r="B16" i="43"/>
  <c r="D15" i="43"/>
  <c r="T12" i="43"/>
  <c r="D12" i="49"/>
  <c r="T25" i="46"/>
  <c r="H20" i="46"/>
  <c r="D4" i="46"/>
  <c r="P33" i="44"/>
  <c r="D25" i="44"/>
  <c r="H21" i="44"/>
  <c r="B39" i="43"/>
  <c r="T24" i="43"/>
  <c r="H22" i="43"/>
  <c r="H13" i="43"/>
  <c r="H34" i="41"/>
  <c r="H33" i="41"/>
  <c r="H29" i="41"/>
  <c r="H25" i="41"/>
  <c r="P15" i="41"/>
  <c r="D5" i="41"/>
  <c r="P20" i="40"/>
  <c r="P16" i="40"/>
  <c r="D12" i="40"/>
  <c r="T24" i="38"/>
  <c r="T22" i="38"/>
  <c r="P12" i="38"/>
  <c r="T34" i="37"/>
  <c r="T33" i="37"/>
  <c r="T29" i="37"/>
  <c r="T25" i="37"/>
  <c r="B16" i="37"/>
  <c r="D15" i="37"/>
  <c r="T12" i="37"/>
  <c r="T15" i="47"/>
  <c r="D25" i="46"/>
  <c r="B25" i="44"/>
  <c r="H16" i="44"/>
  <c r="P13" i="44"/>
  <c r="B38" i="43"/>
  <c r="D33" i="43"/>
  <c r="P24" i="43"/>
  <c r="T20" i="43"/>
  <c r="D13" i="43"/>
  <c r="B39" i="41"/>
  <c r="H24" i="41"/>
  <c r="H22" i="41"/>
  <c r="H13" i="41"/>
  <c r="D4" i="41"/>
  <c r="H34" i="40"/>
  <c r="H33" i="40"/>
  <c r="H29" i="40"/>
  <c r="H25" i="40"/>
  <c r="P15" i="40"/>
  <c r="D5" i="40"/>
  <c r="P34" i="38"/>
  <c r="P33" i="38"/>
  <c r="P29" i="38"/>
  <c r="P25" i="38"/>
  <c r="T21" i="38"/>
  <c r="H13" i="47"/>
  <c r="D21" i="44"/>
  <c r="D22" i="43"/>
  <c r="T15" i="43"/>
  <c r="B13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P24" i="38"/>
  <c r="B38" i="46"/>
  <c r="T34" i="44"/>
  <c r="H33" i="44"/>
  <c r="T29" i="44"/>
  <c r="B16" i="44"/>
  <c r="P20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B38" i="44"/>
  <c r="P34" i="44"/>
  <c r="D33" i="44"/>
  <c r="P29" i="44"/>
  <c r="D13" i="44"/>
  <c r="H24" i="43"/>
  <c r="P12" i="43"/>
  <c r="B22" i="41"/>
  <c r="D21" i="41"/>
  <c r="H15" i="41"/>
  <c r="B25" i="40"/>
  <c r="D24" i="40"/>
  <c r="D22" i="40"/>
  <c r="H20" i="40"/>
  <c r="H16" i="40"/>
  <c r="B13" i="40"/>
  <c r="P20" i="38"/>
  <c r="P16" i="38"/>
  <c r="D12" i="38"/>
  <c r="P21" i="37"/>
  <c r="T15" i="37"/>
  <c r="P13" i="37"/>
  <c r="H12" i="37"/>
  <c r="T22" i="46"/>
  <c r="D22" i="44"/>
  <c r="T15" i="44"/>
  <c r="B13" i="44"/>
  <c r="D34" i="43"/>
  <c r="D29" i="43"/>
  <c r="T16" i="43"/>
  <c r="B21" i="41"/>
  <c r="D20" i="41"/>
  <c r="D16" i="41"/>
  <c r="B22" i="40"/>
  <c r="D21" i="40"/>
  <c r="H15" i="40"/>
  <c r="B22" i="44"/>
  <c r="P20" i="44"/>
  <c r="D24" i="43"/>
  <c r="P21" i="43"/>
  <c r="H20" i="43"/>
  <c r="H12" i="43"/>
  <c r="T34" i="41"/>
  <c r="T33" i="41"/>
  <c r="T29" i="41"/>
  <c r="T25" i="41"/>
  <c r="B16" i="41"/>
  <c r="D15" i="41"/>
  <c r="T12" i="41"/>
  <c r="B21" i="40"/>
  <c r="D20" i="40"/>
  <c r="D16" i="40"/>
  <c r="P25" i="47"/>
  <c r="H15" i="46"/>
  <c r="H34" i="44"/>
  <c r="H29" i="44"/>
  <c r="T25" i="44"/>
  <c r="P15" i="44"/>
  <c r="T12" i="44"/>
  <c r="D20" i="43"/>
  <c r="P16" i="43"/>
  <c r="D12" i="43"/>
  <c r="T24" i="41"/>
  <c r="T22" i="41"/>
  <c r="P12" i="41"/>
  <c r="T34" i="40"/>
  <c r="T33" i="40"/>
  <c r="T29" i="40"/>
  <c r="T25" i="40"/>
  <c r="B16" i="40"/>
  <c r="D15" i="40"/>
  <c r="T12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H29" i="46"/>
  <c r="D34" i="44"/>
  <c r="D29" i="44"/>
  <c r="P25" i="44"/>
  <c r="T21" i="44"/>
  <c r="T22" i="43"/>
  <c r="D4" i="43"/>
  <c r="P34" i="41"/>
  <c r="P33" i="41"/>
  <c r="P29" i="41"/>
  <c r="P25" i="41"/>
  <c r="T21" i="41"/>
  <c r="T24" i="40"/>
  <c r="T22" i="40"/>
  <c r="P12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H22" i="47"/>
  <c r="D24" i="44"/>
  <c r="P21" i="44"/>
  <c r="H20" i="44"/>
  <c r="H12" i="44"/>
  <c r="D25" i="43"/>
  <c r="P22" i="43"/>
  <c r="H21" i="43"/>
  <c r="T13" i="43"/>
  <c r="P24" i="41"/>
  <c r="P22" i="41"/>
  <c r="T20" i="41"/>
  <c r="T16" i="41"/>
  <c r="T13" i="41"/>
  <c r="P34" i="40"/>
  <c r="P33" i="40"/>
  <c r="P29" i="40"/>
  <c r="P25" i="40"/>
  <c r="T21" i="40"/>
  <c r="T15" i="52"/>
  <c r="T20" i="46"/>
  <c r="P12" i="46"/>
  <c r="P16" i="44"/>
  <c r="H15" i="44"/>
  <c r="D12" i="44"/>
  <c r="B25" i="43"/>
  <c r="H16" i="43"/>
  <c r="P13" i="43"/>
  <c r="P21" i="41"/>
  <c r="T15" i="41"/>
  <c r="P13" i="41"/>
  <c r="H12" i="41"/>
  <c r="P24" i="40"/>
  <c r="P22" i="40"/>
  <c r="T20" i="40"/>
  <c r="T16" i="40"/>
  <c r="T13" i="40"/>
  <c r="B21" i="38"/>
  <c r="D20" i="38"/>
  <c r="D16" i="38"/>
  <c r="B22" i="37"/>
  <c r="D21" i="37"/>
  <c r="H15" i="37"/>
  <c r="D16" i="43"/>
  <c r="H34" i="38"/>
  <c r="H29" i="38"/>
  <c r="P21" i="38"/>
  <c r="T24" i="37"/>
  <c r="D22" i="37"/>
  <c r="P20" i="37"/>
  <c r="D5" i="37"/>
  <c r="B21" i="35"/>
  <c r="D20" i="35"/>
  <c r="D16" i="35"/>
  <c r="B22" i="34"/>
  <c r="D21" i="34"/>
  <c r="H15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B16" i="38"/>
  <c r="H13" i="38"/>
  <c r="T16" i="37"/>
  <c r="T34" i="35"/>
  <c r="T33" i="35"/>
  <c r="T29" i="35"/>
  <c r="T25" i="35"/>
  <c r="B16" i="35"/>
  <c r="D15" i="35"/>
  <c r="T12" i="35"/>
  <c r="B21" i="34"/>
  <c r="D20" i="34"/>
  <c r="D16" i="34"/>
  <c r="D15" i="44"/>
  <c r="P20" i="41"/>
  <c r="T33" i="38"/>
  <c r="H24" i="38"/>
  <c r="P33" i="37"/>
  <c r="P24" i="37"/>
  <c r="H20" i="37"/>
  <c r="P16" i="37"/>
  <c r="T24" i="35"/>
  <c r="T22" i="35"/>
  <c r="P12" i="35"/>
  <c r="T34" i="34"/>
  <c r="T33" i="34"/>
  <c r="T29" i="34"/>
  <c r="T25" i="34"/>
  <c r="B16" i="34"/>
  <c r="D15" i="34"/>
  <c r="T12" i="34"/>
  <c r="D5" i="44"/>
  <c r="D21" i="38"/>
  <c r="T12" i="38"/>
  <c r="T21" i="37"/>
  <c r="D20" i="37"/>
  <c r="T13" i="37"/>
  <c r="P34" i="35"/>
  <c r="P33" i="35"/>
  <c r="P29" i="35"/>
  <c r="P25" i="35"/>
  <c r="T21" i="35"/>
  <c r="T24" i="34"/>
  <c r="T22" i="34"/>
  <c r="P12" i="34"/>
  <c r="B21" i="32"/>
  <c r="D20" i="32"/>
  <c r="D16" i="32"/>
  <c r="B22" i="31"/>
  <c r="D21" i="31"/>
  <c r="H15" i="31"/>
  <c r="P16" i="41"/>
  <c r="H33" i="38"/>
  <c r="T15" i="38"/>
  <c r="P29" i="37"/>
  <c r="H16" i="37"/>
  <c r="P24" i="35"/>
  <c r="P22" i="35"/>
  <c r="T20" i="35"/>
  <c r="T16" i="35"/>
  <c r="T13" i="35"/>
  <c r="P34" i="34"/>
  <c r="P33" i="34"/>
  <c r="P29" i="34"/>
  <c r="P25" i="34"/>
  <c r="T21" i="34"/>
  <c r="T34" i="32"/>
  <c r="T33" i="32"/>
  <c r="T29" i="32"/>
  <c r="T25" i="32"/>
  <c r="B16" i="32"/>
  <c r="D15" i="32"/>
  <c r="T12" i="32"/>
  <c r="B21" i="31"/>
  <c r="D20" i="31"/>
  <c r="D16" i="31"/>
  <c r="P21" i="40"/>
  <c r="B39" i="38"/>
  <c r="P22" i="38"/>
  <c r="P15" i="38"/>
  <c r="H33" i="37"/>
  <c r="D24" i="37"/>
  <c r="D16" i="37"/>
  <c r="P21" i="35"/>
  <c r="T15" i="35"/>
  <c r="P13" i="35"/>
  <c r="H12" i="35"/>
  <c r="P24" i="34"/>
  <c r="P22" i="34"/>
  <c r="T20" i="34"/>
  <c r="T16" i="34"/>
  <c r="T13" i="34"/>
  <c r="T33" i="44"/>
  <c r="T25" i="38"/>
  <c r="T20" i="38"/>
  <c r="H12" i="38"/>
  <c r="P25" i="37"/>
  <c r="B13" i="37"/>
  <c r="P20" i="35"/>
  <c r="P16" i="35"/>
  <c r="D12" i="35"/>
  <c r="P21" i="34"/>
  <c r="T15" i="34"/>
  <c r="P13" i="34"/>
  <c r="H12" i="34"/>
  <c r="P34" i="32"/>
  <c r="P33" i="32"/>
  <c r="P29" i="32"/>
  <c r="P25" i="32"/>
  <c r="T21" i="32"/>
  <c r="D20" i="47"/>
  <c r="D12" i="41"/>
  <c r="H15" i="38"/>
  <c r="D5" i="38"/>
  <c r="P34" i="37"/>
  <c r="H29" i="37"/>
  <c r="T22" i="37"/>
  <c r="H34" i="35"/>
  <c r="H33" i="35"/>
  <c r="H29" i="35"/>
  <c r="H25" i="35"/>
  <c r="P15" i="35"/>
  <c r="D5" i="35"/>
  <c r="P20" i="34"/>
  <c r="P16" i="34"/>
  <c r="D12" i="34"/>
  <c r="H25" i="38"/>
  <c r="H22" i="38"/>
  <c r="T16" i="38"/>
  <c r="D15" i="38"/>
  <c r="D4" i="38"/>
  <c r="B21" i="37"/>
  <c r="P12" i="37"/>
  <c r="B39" i="35"/>
  <c r="H24" i="35"/>
  <c r="H22" i="35"/>
  <c r="H13" i="35"/>
  <c r="D4" i="35"/>
  <c r="H34" i="34"/>
  <c r="H33" i="34"/>
  <c r="H29" i="34"/>
  <c r="H25" i="34"/>
  <c r="P15" i="34"/>
  <c r="D5" i="34"/>
  <c r="P21" i="32"/>
  <c r="T15" i="32"/>
  <c r="P13" i="32"/>
  <c r="H12" i="32"/>
  <c r="P24" i="31"/>
  <c r="P22" i="31"/>
  <c r="T20" i="31"/>
  <c r="T16" i="31"/>
  <c r="T13" i="31"/>
  <c r="H25" i="44"/>
  <c r="T15" i="40"/>
  <c r="B22" i="38"/>
  <c r="H25" i="37"/>
  <c r="P2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20" i="32"/>
  <c r="P16" i="32"/>
  <c r="D12" i="32"/>
  <c r="P21" i="31"/>
  <c r="T15" i="31"/>
  <c r="P13" i="31"/>
  <c r="H12" i="31"/>
  <c r="T16" i="49"/>
  <c r="B21" i="43"/>
  <c r="P13" i="40"/>
  <c r="T34" i="38"/>
  <c r="T29" i="38"/>
  <c r="T13" i="38"/>
  <c r="H34" i="37"/>
  <c r="B25" i="37"/>
  <c r="P15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H34" i="32"/>
  <c r="H33" i="32"/>
  <c r="H29" i="32"/>
  <c r="H25" i="32"/>
  <c r="P15" i="32"/>
  <c r="D5" i="32"/>
  <c r="P20" i="31"/>
  <c r="P16" i="31"/>
  <c r="D12" i="31"/>
  <c r="P13" i="38"/>
  <c r="D24" i="34"/>
  <c r="B22" i="32"/>
  <c r="H33" i="31"/>
  <c r="B16" i="31"/>
  <c r="T12" i="31"/>
  <c r="H34" i="29"/>
  <c r="H33" i="29"/>
  <c r="H29" i="29"/>
  <c r="H25" i="29"/>
  <c r="P15" i="29"/>
  <c r="D5" i="29"/>
  <c r="P20" i="28"/>
  <c r="P16" i="28"/>
  <c r="D12" i="28"/>
  <c r="P34" i="26"/>
  <c r="P33" i="26"/>
  <c r="P29" i="26"/>
  <c r="P25" i="26"/>
  <c r="T21" i="26"/>
  <c r="T24" i="25"/>
  <c r="T22" i="25"/>
  <c r="P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D22" i="34"/>
  <c r="B39" i="32"/>
  <c r="B25" i="32"/>
  <c r="H15" i="32"/>
  <c r="D33" i="31"/>
  <c r="T24" i="31"/>
  <c r="P12" i="31"/>
  <c r="B39" i="29"/>
  <c r="H24" i="29"/>
  <c r="H22" i="29"/>
  <c r="H13" i="29"/>
  <c r="D4" i="29"/>
  <c r="H34" i="28"/>
  <c r="H33" i="28"/>
  <c r="H29" i="28"/>
  <c r="H25" i="28"/>
  <c r="P15" i="28"/>
  <c r="D5" i="28"/>
  <c r="P24" i="26"/>
  <c r="P22" i="26"/>
  <c r="T20" i="26"/>
  <c r="T16" i="26"/>
  <c r="T13" i="26"/>
  <c r="P34" i="25"/>
  <c r="P33" i="25"/>
  <c r="P29" i="25"/>
  <c r="P25" i="25"/>
  <c r="T21" i="25"/>
  <c r="H15" i="35"/>
  <c r="T21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P21" i="26"/>
  <c r="T15" i="26"/>
  <c r="P13" i="26"/>
  <c r="H12" i="26"/>
  <c r="P24" i="25"/>
  <c r="P22" i="25"/>
  <c r="T20" i="25"/>
  <c r="T16" i="25"/>
  <c r="T13" i="25"/>
  <c r="B21" i="23"/>
  <c r="D20" i="23"/>
  <c r="D16" i="23"/>
  <c r="B22" i="22"/>
  <c r="D21" i="22"/>
  <c r="H15" i="22"/>
  <c r="H20" i="34"/>
  <c r="T24" i="32"/>
  <c r="T13" i="32"/>
  <c r="P15" i="31"/>
  <c r="D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20" i="26"/>
  <c r="P16" i="26"/>
  <c r="D12" i="26"/>
  <c r="P21" i="25"/>
  <c r="T15" i="25"/>
  <c r="P13" i="25"/>
  <c r="H12" i="25"/>
  <c r="P24" i="32"/>
  <c r="H13" i="32"/>
  <c r="H21" i="31"/>
  <c r="B22" i="29"/>
  <c r="D21" i="29"/>
  <c r="H15" i="29"/>
  <c r="B25" i="28"/>
  <c r="D24" i="28"/>
  <c r="D22" i="28"/>
  <c r="H20" i="28"/>
  <c r="H16" i="28"/>
  <c r="B13" i="28"/>
  <c r="H34" i="26"/>
  <c r="H33" i="26"/>
  <c r="H29" i="26"/>
  <c r="H25" i="26"/>
  <c r="P15" i="26"/>
  <c r="D5" i="26"/>
  <c r="P20" i="25"/>
  <c r="P16" i="25"/>
  <c r="D12" i="25"/>
  <c r="T24" i="23"/>
  <c r="T22" i="23"/>
  <c r="P12" i="23"/>
  <c r="T34" i="22"/>
  <c r="T33" i="22"/>
  <c r="T29" i="22"/>
  <c r="T25" i="22"/>
  <c r="B16" i="22"/>
  <c r="D15" i="22"/>
  <c r="T12" i="22"/>
  <c r="H16" i="34"/>
  <c r="H24" i="32"/>
  <c r="D21" i="32"/>
  <c r="T16" i="32"/>
  <c r="B13" i="32"/>
  <c r="T34" i="31"/>
  <c r="D24" i="31"/>
  <c r="B21" i="29"/>
  <c r="D20" i="29"/>
  <c r="D16" i="29"/>
  <c r="B22" i="28"/>
  <c r="D21" i="28"/>
  <c r="H15" i="28"/>
  <c r="B39" i="26"/>
  <c r="H24" i="26"/>
  <c r="H22" i="26"/>
  <c r="H13" i="26"/>
  <c r="D4" i="26"/>
  <c r="H34" i="25"/>
  <c r="H33" i="25"/>
  <c r="H29" i="25"/>
  <c r="H25" i="25"/>
  <c r="P15" i="25"/>
  <c r="D5" i="25"/>
  <c r="H12" i="40"/>
  <c r="D24" i="32"/>
  <c r="P34" i="31"/>
  <c r="T25" i="31"/>
  <c r="D15" i="31"/>
  <c r="T34" i="29"/>
  <c r="T33" i="29"/>
  <c r="T29" i="29"/>
  <c r="T25" i="29"/>
  <c r="B16" i="29"/>
  <c r="D15" i="29"/>
  <c r="T12" i="29"/>
  <c r="B21" i="28"/>
  <c r="D20" i="28"/>
  <c r="D16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T20" i="37"/>
  <c r="B13" i="34"/>
  <c r="T20" i="32"/>
  <c r="H16" i="32"/>
  <c r="P12" i="32"/>
  <c r="H34" i="31"/>
  <c r="T22" i="31"/>
  <c r="T24" i="29"/>
  <c r="T22" i="29"/>
  <c r="P12" i="29"/>
  <c r="T34" i="28"/>
  <c r="T33" i="28"/>
  <c r="T29" i="28"/>
  <c r="T25" i="28"/>
  <c r="B16" i="28"/>
  <c r="D15" i="28"/>
  <c r="T12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22" i="32"/>
  <c r="D34" i="31"/>
  <c r="T29" i="31"/>
  <c r="P25" i="31"/>
  <c r="P34" i="29"/>
  <c r="P33" i="29"/>
  <c r="P29" i="29"/>
  <c r="P25" i="29"/>
  <c r="T21" i="29"/>
  <c r="T24" i="28"/>
  <c r="T22" i="28"/>
  <c r="P12" i="28"/>
  <c r="B22" i="26"/>
  <c r="D21" i="26"/>
  <c r="H15" i="26"/>
  <c r="B25" i="25"/>
  <c r="D24" i="25"/>
  <c r="D22" i="25"/>
  <c r="H20" i="25"/>
  <c r="H16" i="25"/>
  <c r="B13" i="25"/>
  <c r="P20" i="23"/>
  <c r="P16" i="23"/>
  <c r="D12" i="23"/>
  <c r="P21" i="22"/>
  <c r="T15" i="22"/>
  <c r="P13" i="22"/>
  <c r="H12" i="22"/>
  <c r="B22" i="35"/>
  <c r="P22" i="32"/>
  <c r="H20" i="32"/>
  <c r="D4" i="32"/>
  <c r="P29" i="31"/>
  <c r="H25" i="31"/>
  <c r="P24" i="29"/>
  <c r="P22" i="29"/>
  <c r="T20" i="29"/>
  <c r="T16" i="29"/>
  <c r="T13" i="29"/>
  <c r="P34" i="28"/>
  <c r="P33" i="28"/>
  <c r="P29" i="28"/>
  <c r="P25" i="28"/>
  <c r="T21" i="28"/>
  <c r="B21" i="26"/>
  <c r="D20" i="26"/>
  <c r="D16" i="26"/>
  <c r="B22" i="25"/>
  <c r="D21" i="25"/>
  <c r="H15" i="25"/>
  <c r="D12" i="37"/>
  <c r="D21" i="35"/>
  <c r="H22" i="32"/>
  <c r="B38" i="31"/>
  <c r="T33" i="31"/>
  <c r="H29" i="31"/>
  <c r="D25" i="31"/>
  <c r="D13" i="31"/>
  <c r="P21" i="29"/>
  <c r="T15" i="29"/>
  <c r="P13" i="29"/>
  <c r="H12" i="29"/>
  <c r="P24" i="28"/>
  <c r="P22" i="28"/>
  <c r="T20" i="28"/>
  <c r="T16" i="28"/>
  <c r="T13" i="28"/>
  <c r="T34" i="26"/>
  <c r="T33" i="26"/>
  <c r="T29" i="26"/>
  <c r="T25" i="26"/>
  <c r="B16" i="26"/>
  <c r="D15" i="26"/>
  <c r="T12" i="26"/>
  <c r="B21" i="25"/>
  <c r="D20" i="25"/>
  <c r="D16" i="25"/>
  <c r="B39" i="23"/>
  <c r="H24" i="23"/>
  <c r="H22" i="23"/>
  <c r="H13" i="23"/>
  <c r="D4" i="23"/>
  <c r="H34" i="22"/>
  <c r="H33" i="22"/>
  <c r="H29" i="22"/>
  <c r="H25" i="22"/>
  <c r="P15" i="22"/>
  <c r="D5" i="22"/>
  <c r="D22" i="32"/>
  <c r="P21" i="28"/>
  <c r="H34" i="23"/>
  <c r="D25" i="23"/>
  <c r="P15" i="23"/>
  <c r="D24" i="22"/>
  <c r="D16" i="22"/>
  <c r="H13" i="22"/>
  <c r="B22" i="20"/>
  <c r="D21" i="20"/>
  <c r="H15" i="20"/>
  <c r="B25" i="19"/>
  <c r="D24" i="19"/>
  <c r="D22" i="19"/>
  <c r="H20" i="19"/>
  <c r="H16" i="19"/>
  <c r="B13" i="19"/>
  <c r="P20" i="17"/>
  <c r="P16" i="17"/>
  <c r="D12" i="17"/>
  <c r="P21" i="16"/>
  <c r="T15" i="16"/>
  <c r="P13" i="16"/>
  <c r="H12" i="16"/>
  <c r="P12" i="26"/>
  <c r="D34" i="23"/>
  <c r="T20" i="23"/>
  <c r="H12" i="23"/>
  <c r="P25" i="22"/>
  <c r="B13" i="22"/>
  <c r="B21" i="20"/>
  <c r="D20" i="20"/>
  <c r="D16" i="20"/>
  <c r="B22" i="19"/>
  <c r="D21" i="19"/>
  <c r="H15" i="19"/>
  <c r="H34" i="17"/>
  <c r="H33" i="17"/>
  <c r="H29" i="17"/>
  <c r="H25" i="17"/>
  <c r="P15" i="17"/>
  <c r="D5" i="17"/>
  <c r="P20" i="16"/>
  <c r="P16" i="16"/>
  <c r="D12" i="16"/>
  <c r="B25" i="34"/>
  <c r="D12" i="29"/>
  <c r="H15" i="23"/>
  <c r="D5" i="23"/>
  <c r="P34" i="22"/>
  <c r="T22" i="22"/>
  <c r="T34" i="20"/>
  <c r="T33" i="20"/>
  <c r="T29" i="20"/>
  <c r="T25" i="20"/>
  <c r="B16" i="20"/>
  <c r="D15" i="20"/>
  <c r="T12" i="20"/>
  <c r="B21" i="19"/>
  <c r="D20" i="19"/>
  <c r="D16" i="19"/>
  <c r="B39" i="17"/>
  <c r="H24" i="17"/>
  <c r="H22" i="17"/>
  <c r="H13" i="17"/>
  <c r="D4" i="17"/>
  <c r="H34" i="16"/>
  <c r="H33" i="16"/>
  <c r="H29" i="16"/>
  <c r="H25" i="16"/>
  <c r="P15" i="16"/>
  <c r="D5" i="16"/>
  <c r="T34" i="25"/>
  <c r="B16" i="25"/>
  <c r="T33" i="23"/>
  <c r="B22" i="23"/>
  <c r="T16" i="23"/>
  <c r="D15" i="23"/>
  <c r="B39" i="22"/>
  <c r="B21" i="22"/>
  <c r="P12" i="22"/>
  <c r="T24" i="20"/>
  <c r="T22" i="20"/>
  <c r="P12" i="20"/>
  <c r="T34" i="19"/>
  <c r="T33" i="19"/>
  <c r="T29" i="19"/>
  <c r="T25" i="19"/>
  <c r="B16" i="19"/>
  <c r="D15" i="19"/>
  <c r="T12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P33" i="31"/>
  <c r="T15" i="28"/>
  <c r="T33" i="25"/>
  <c r="D15" i="25"/>
  <c r="P33" i="23"/>
  <c r="P24" i="23"/>
  <c r="P22" i="22"/>
  <c r="P34" i="20"/>
  <c r="P33" i="20"/>
  <c r="P29" i="20"/>
  <c r="P25" i="20"/>
  <c r="T21" i="20"/>
  <c r="T24" i="19"/>
  <c r="T22" i="19"/>
  <c r="P12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D29" i="31"/>
  <c r="P13" i="28"/>
  <c r="T24" i="26"/>
  <c r="T12" i="25"/>
  <c r="T29" i="23"/>
  <c r="T21" i="23"/>
  <c r="T13" i="23"/>
  <c r="B25" i="22"/>
  <c r="P24" i="20"/>
  <c r="P22" i="20"/>
  <c r="T20" i="20"/>
  <c r="T16" i="20"/>
  <c r="T13" i="20"/>
  <c r="P34" i="19"/>
  <c r="P33" i="19"/>
  <c r="P29" i="19"/>
  <c r="P25" i="19"/>
  <c r="T21" i="19"/>
  <c r="B22" i="17"/>
  <c r="D21" i="17"/>
  <c r="H15" i="17"/>
  <c r="B25" i="16"/>
  <c r="D24" i="16"/>
  <c r="D22" i="16"/>
  <c r="H20" i="16"/>
  <c r="H16" i="16"/>
  <c r="B13" i="16"/>
  <c r="B25" i="31"/>
  <c r="H12" i="28"/>
  <c r="T22" i="26"/>
  <c r="T29" i="25"/>
  <c r="P29" i="23"/>
  <c r="P13" i="23"/>
  <c r="H22" i="22"/>
  <c r="T20" i="22"/>
  <c r="D12" i="22"/>
  <c r="P21" i="20"/>
  <c r="T15" i="20"/>
  <c r="P13" i="20"/>
  <c r="H12" i="20"/>
  <c r="P24" i="19"/>
  <c r="P22" i="19"/>
  <c r="T20" i="19"/>
  <c r="T16" i="19"/>
  <c r="T13" i="19"/>
  <c r="B21" i="17"/>
  <c r="D20" i="17"/>
  <c r="D16" i="17"/>
  <c r="B22" i="16"/>
  <c r="D21" i="16"/>
  <c r="H15" i="16"/>
  <c r="D22" i="31"/>
  <c r="H33" i="23"/>
  <c r="T25" i="23"/>
  <c r="P21" i="23"/>
  <c r="T24" i="22"/>
  <c r="D22" i="22"/>
  <c r="P20" i="22"/>
  <c r="D4" i="22"/>
  <c r="P20" i="20"/>
  <c r="P16" i="20"/>
  <c r="D12" i="20"/>
  <c r="P21" i="19"/>
  <c r="T15" i="19"/>
  <c r="P13" i="19"/>
  <c r="H12" i="19"/>
  <c r="T34" i="17"/>
  <c r="T33" i="17"/>
  <c r="T29" i="17"/>
  <c r="T25" i="17"/>
  <c r="B16" i="17"/>
  <c r="D15" i="17"/>
  <c r="T12" i="17"/>
  <c r="B21" i="16"/>
  <c r="D20" i="16"/>
  <c r="D16" i="16"/>
  <c r="H20" i="31"/>
  <c r="T25" i="25"/>
  <c r="T34" i="23"/>
  <c r="D33" i="23"/>
  <c r="P25" i="23"/>
  <c r="B16" i="23"/>
  <c r="D13" i="23"/>
  <c r="T16" i="22"/>
  <c r="H34" i="20"/>
  <c r="H33" i="20"/>
  <c r="H29" i="20"/>
  <c r="H25" i="20"/>
  <c r="P15" i="20"/>
  <c r="D5" i="20"/>
  <c r="P20" i="19"/>
  <c r="P16" i="19"/>
  <c r="D12" i="19"/>
  <c r="T24" i="17"/>
  <c r="T22" i="17"/>
  <c r="P12" i="17"/>
  <c r="T34" i="16"/>
  <c r="T33" i="16"/>
  <c r="T29" i="16"/>
  <c r="T25" i="16"/>
  <c r="B16" i="16"/>
  <c r="D15" i="16"/>
  <c r="T12" i="16"/>
  <c r="H16" i="31"/>
  <c r="P20" i="29"/>
  <c r="P34" i="23"/>
  <c r="H29" i="23"/>
  <c r="H21" i="23"/>
  <c r="P33" i="22"/>
  <c r="P24" i="22"/>
  <c r="H20" i="22"/>
  <c r="P16" i="22"/>
  <c r="B39" i="20"/>
  <c r="H24" i="20"/>
  <c r="H22" i="20"/>
  <c r="H13" i="20"/>
  <c r="D4" i="20"/>
  <c r="H34" i="19"/>
  <c r="H33" i="19"/>
  <c r="H29" i="19"/>
  <c r="H25" i="19"/>
  <c r="P15" i="19"/>
  <c r="D5" i="19"/>
  <c r="P34" i="17"/>
  <c r="P33" i="17"/>
  <c r="P29" i="17"/>
  <c r="P25" i="17"/>
  <c r="T21" i="17"/>
  <c r="T24" i="16"/>
  <c r="T22" i="16"/>
  <c r="P12" i="16"/>
  <c r="B13" i="31"/>
  <c r="D29" i="23"/>
  <c r="D21" i="23"/>
  <c r="T12" i="23"/>
  <c r="T21" i="22"/>
  <c r="D20" i="22"/>
  <c r="T13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P24" i="17"/>
  <c r="P22" i="17"/>
  <c r="T20" i="17"/>
  <c r="T16" i="17"/>
  <c r="T13" i="17"/>
  <c r="P34" i="16"/>
  <c r="P33" i="16"/>
  <c r="P29" i="16"/>
  <c r="P25" i="16"/>
  <c r="T21" i="16"/>
  <c r="H25" i="23"/>
  <c r="D34" i="19"/>
  <c r="T13" i="16"/>
  <c r="P21" i="14"/>
  <c r="T15" i="14"/>
  <c r="P13" i="14"/>
  <c r="H12" i="14"/>
  <c r="P24" i="13"/>
  <c r="P22" i="13"/>
  <c r="T20" i="13"/>
  <c r="T16" i="13"/>
  <c r="T13" i="13"/>
  <c r="B22" i="11"/>
  <c r="D21" i="11"/>
  <c r="H15" i="11"/>
  <c r="B25" i="10"/>
  <c r="D24" i="10"/>
  <c r="D22" i="10"/>
  <c r="H20" i="10"/>
  <c r="H16" i="10"/>
  <c r="B13" i="10"/>
  <c r="P22" i="23"/>
  <c r="H16" i="22"/>
  <c r="B25" i="20"/>
  <c r="D33" i="19"/>
  <c r="D13" i="19"/>
  <c r="P20" i="14"/>
  <c r="P16" i="14"/>
  <c r="D12" i="14"/>
  <c r="P21" i="13"/>
  <c r="T15" i="13"/>
  <c r="P13" i="13"/>
  <c r="H12" i="13"/>
  <c r="B21" i="11"/>
  <c r="D20" i="11"/>
  <c r="D16" i="11"/>
  <c r="D24" i="20"/>
  <c r="H34" i="14"/>
  <c r="H33" i="14"/>
  <c r="H29" i="14"/>
  <c r="H25" i="14"/>
  <c r="P15" i="14"/>
  <c r="D5" i="14"/>
  <c r="P20" i="13"/>
  <c r="P16" i="13"/>
  <c r="D12" i="13"/>
  <c r="D22" i="20"/>
  <c r="D29" i="19"/>
  <c r="P21" i="17"/>
  <c r="B39" i="14"/>
  <c r="H24" i="14"/>
  <c r="H22" i="14"/>
  <c r="H13" i="14"/>
  <c r="D4" i="14"/>
  <c r="H34" i="13"/>
  <c r="H33" i="13"/>
  <c r="H29" i="13"/>
  <c r="H25" i="13"/>
  <c r="P15" i="13"/>
  <c r="D5" i="13"/>
  <c r="T15" i="23"/>
  <c r="B38" i="14"/>
  <c r="D34" i="14"/>
  <c r="D33" i="14"/>
  <c r="D29" i="14"/>
  <c r="D25" i="14"/>
  <c r="H21" i="14"/>
  <c r="D13" i="14"/>
  <c r="B39" i="13"/>
  <c r="H24" i="13"/>
  <c r="H22" i="13"/>
  <c r="H13" i="13"/>
  <c r="D4" i="13"/>
  <c r="P34" i="11"/>
  <c r="P33" i="11"/>
  <c r="P29" i="11"/>
  <c r="P25" i="11"/>
  <c r="T21" i="11"/>
  <c r="T24" i="10"/>
  <c r="T22" i="10"/>
  <c r="P12" i="10"/>
  <c r="P16" i="29"/>
  <c r="H20" i="20"/>
  <c r="D25" i="19"/>
  <c r="P24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2" i="16"/>
  <c r="B22" i="14"/>
  <c r="D21" i="14"/>
  <c r="H15" i="14"/>
  <c r="B25" i="13"/>
  <c r="D24" i="13"/>
  <c r="D22" i="13"/>
  <c r="H20" i="13"/>
  <c r="H16" i="13"/>
  <c r="B13" i="13"/>
  <c r="P21" i="11"/>
  <c r="T15" i="11"/>
  <c r="P13" i="11"/>
  <c r="H16" i="20"/>
  <c r="T15" i="17"/>
  <c r="B21" i="14"/>
  <c r="D20" i="14"/>
  <c r="D16" i="14"/>
  <c r="B22" i="13"/>
  <c r="D21" i="13"/>
  <c r="H15" i="13"/>
  <c r="B38" i="23"/>
  <c r="P29" i="22"/>
  <c r="H21" i="19"/>
  <c r="P13" i="17"/>
  <c r="T20" i="16"/>
  <c r="T34" i="14"/>
  <c r="T33" i="14"/>
  <c r="T29" i="14"/>
  <c r="T25" i="14"/>
  <c r="B16" i="14"/>
  <c r="D15" i="14"/>
  <c r="T12" i="14"/>
  <c r="B21" i="13"/>
  <c r="D20" i="13"/>
  <c r="D16" i="13"/>
  <c r="B13" i="20"/>
  <c r="H12" i="17"/>
  <c r="T24" i="14"/>
  <c r="T22" i="14"/>
  <c r="P12" i="14"/>
  <c r="T34" i="13"/>
  <c r="T33" i="13"/>
  <c r="T29" i="13"/>
  <c r="T25" i="13"/>
  <c r="B16" i="13"/>
  <c r="D15" i="13"/>
  <c r="T12" i="13"/>
  <c r="H24" i="22"/>
  <c r="B38" i="19"/>
  <c r="T16" i="16"/>
  <c r="P34" i="14"/>
  <c r="P33" i="14"/>
  <c r="P29" i="14"/>
  <c r="P25" i="14"/>
  <c r="T21" i="14"/>
  <c r="T24" i="13"/>
  <c r="T22" i="13"/>
  <c r="P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T29" i="11"/>
  <c r="H20" i="11"/>
  <c r="T13" i="11"/>
  <c r="B38" i="10"/>
  <c r="T34" i="10"/>
  <c r="B16" i="10"/>
  <c r="P13" i="10"/>
  <c r="H34" i="8"/>
  <c r="D33" i="8"/>
  <c r="P25" i="8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16" i="14"/>
  <c r="P34" i="10"/>
  <c r="T21" i="10"/>
  <c r="P20" i="10"/>
  <c r="T29" i="8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21" i="13"/>
  <c r="H33" i="11"/>
  <c r="T25" i="11"/>
  <c r="H24" i="11"/>
  <c r="H16" i="11"/>
  <c r="H33" i="10"/>
  <c r="H25" i="10"/>
  <c r="D34" i="8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T13" i="14"/>
  <c r="D24" i="11"/>
  <c r="B16" i="11"/>
  <c r="H13" i="11"/>
  <c r="D33" i="10"/>
  <c r="T29" i="10"/>
  <c r="D25" i="10"/>
  <c r="P21" i="10"/>
  <c r="T15" i="10"/>
  <c r="D13" i="10"/>
  <c r="P29" i="8"/>
  <c r="P15" i="8"/>
  <c r="D5" i="8"/>
  <c r="P20" i="7"/>
  <c r="P16" i="7"/>
  <c r="D12" i="7"/>
  <c r="B21" i="5"/>
  <c r="D20" i="5"/>
  <c r="D16" i="5"/>
  <c r="B22" i="4"/>
  <c r="D21" i="4"/>
  <c r="H15" i="4"/>
  <c r="T34" i="11"/>
  <c r="H29" i="11"/>
  <c r="B13" i="11"/>
  <c r="P29" i="10"/>
  <c r="H25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T22" i="11"/>
  <c r="T12" i="11"/>
  <c r="H34" i="10"/>
  <c r="P22" i="10"/>
  <c r="D20" i="10"/>
  <c r="T16" i="10"/>
  <c r="P15" i="10"/>
  <c r="B39" i="8"/>
  <c r="T33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34" i="13"/>
  <c r="H25" i="11"/>
  <c r="P22" i="11"/>
  <c r="P12" i="11"/>
  <c r="D34" i="10"/>
  <c r="H21" i="10"/>
  <c r="T12" i="10"/>
  <c r="B38" i="8"/>
  <c r="H29" i="8"/>
  <c r="D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33" i="13"/>
  <c r="H34" i="11"/>
  <c r="P15" i="11"/>
  <c r="D21" i="10"/>
  <c r="P16" i="10"/>
  <c r="H15" i="10"/>
  <c r="T34" i="8"/>
  <c r="P33" i="8"/>
  <c r="B25" i="8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24" i="14"/>
  <c r="B39" i="11"/>
  <c r="B25" i="11"/>
  <c r="T20" i="11"/>
  <c r="H12" i="11"/>
  <c r="H29" i="10"/>
  <c r="P24" i="10"/>
  <c r="B21" i="10"/>
  <c r="D29" i="8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22" i="14"/>
  <c r="P29" i="13"/>
  <c r="H22" i="11"/>
  <c r="P20" i="11"/>
  <c r="D12" i="11"/>
  <c r="T33" i="10"/>
  <c r="D29" i="10"/>
  <c r="T25" i="10"/>
  <c r="D15" i="10"/>
  <c r="H12" i="10"/>
  <c r="P34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33" i="11"/>
  <c r="T24" i="11"/>
  <c r="D22" i="11"/>
  <c r="T16" i="11"/>
  <c r="D15" i="11"/>
  <c r="D5" i="11"/>
  <c r="P33" i="10"/>
  <c r="P25" i="10"/>
  <c r="B22" i="10"/>
  <c r="D12" i="10"/>
  <c r="H33" i="8"/>
  <c r="T25" i="8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H24" i="5"/>
  <c r="D5" i="4"/>
  <c r="T21" i="8"/>
  <c r="H22" i="5"/>
  <c r="H29" i="4"/>
  <c r="P25" i="13"/>
  <c r="P24" i="11"/>
  <c r="P12" i="7"/>
  <c r="T20" i="10"/>
  <c r="T24" i="7"/>
  <c r="H25" i="4"/>
  <c r="T22" i="7"/>
  <c r="B39" i="5"/>
  <c r="P16" i="11"/>
  <c r="D16" i="10"/>
  <c r="T13" i="10"/>
  <c r="H33" i="4"/>
  <c r="D4" i="11"/>
  <c r="D5" i="10"/>
  <c r="H13" i="5"/>
  <c r="D4" i="5"/>
  <c r="T20" i="14"/>
  <c r="H34" i="4"/>
  <c r="P15" i="4"/>
  <c r="X15" i="4" l="1"/>
  <c r="N34" i="4"/>
  <c r="Z20" i="14"/>
  <c r="N13" i="5"/>
  <c r="N33" i="4"/>
  <c r="Z13" i="10"/>
  <c r="L16" i="10"/>
  <c r="X16" i="11"/>
  <c r="Z22" i="7"/>
  <c r="N25" i="4"/>
  <c r="Z24" i="7"/>
  <c r="Z20" i="10"/>
  <c r="R24" i="7"/>
  <c r="R22" i="7"/>
  <c r="R21" i="7"/>
  <c r="R20" i="7"/>
  <c r="R18" i="7"/>
  <c r="R16" i="7"/>
  <c r="P18" i="7"/>
  <c r="R15" i="7"/>
  <c r="X12" i="7"/>
  <c r="R29" i="7"/>
  <c r="R27" i="7"/>
  <c r="R31" i="7"/>
  <c r="R25" i="7"/>
  <c r="R36" i="7"/>
  <c r="R34" i="7"/>
  <c r="R33" i="7"/>
  <c r="X24" i="11"/>
  <c r="X25" i="13"/>
  <c r="N29" i="4"/>
  <c r="N22" i="5"/>
  <c r="Z21" i="8"/>
  <c r="N24" i="5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L12" i="4"/>
  <c r="X16" i="4"/>
  <c r="X20" i="4"/>
  <c r="X15" i="5"/>
  <c r="N25" i="5"/>
  <c r="N29" i="5"/>
  <c r="N33" i="5"/>
  <c r="N34" i="5"/>
  <c r="V20" i="7"/>
  <c r="V18" i="7"/>
  <c r="V16" i="7"/>
  <c r="T18" i="7"/>
  <c r="V15" i="7"/>
  <c r="Z12" i="7"/>
  <c r="V36" i="7"/>
  <c r="V34" i="7"/>
  <c r="V33" i="7"/>
  <c r="V31" i="7"/>
  <c r="V29" i="7"/>
  <c r="V27" i="7"/>
  <c r="V25" i="7"/>
  <c r="V24" i="7"/>
  <c r="V22" i="7"/>
  <c r="V21" i="7"/>
  <c r="L15" i="7"/>
  <c r="Z25" i="7"/>
  <c r="Z29" i="7"/>
  <c r="Z33" i="7"/>
  <c r="Z34" i="7"/>
  <c r="R27" i="8"/>
  <c r="R21" i="8"/>
  <c r="R20" i="8"/>
  <c r="R18" i="8"/>
  <c r="R16" i="8"/>
  <c r="R29" i="8"/>
  <c r="P18" i="8"/>
  <c r="R15" i="8"/>
  <c r="R31" i="8"/>
  <c r="R33" i="8"/>
  <c r="R34" i="8"/>
  <c r="X12" i="8"/>
  <c r="R36" i="8"/>
  <c r="R22" i="8"/>
  <c r="R24" i="8"/>
  <c r="R25" i="8"/>
  <c r="Z22" i="8"/>
  <c r="Z24" i="8"/>
  <c r="Z25" i="8"/>
  <c r="N33" i="8"/>
  <c r="F21" i="10"/>
  <c r="F36" i="10"/>
  <c r="F34" i="10"/>
  <c r="F33" i="10"/>
  <c r="F31" i="10"/>
  <c r="F29" i="10"/>
  <c r="F27" i="10"/>
  <c r="F25" i="10"/>
  <c r="F24" i="10"/>
  <c r="F18" i="10"/>
  <c r="D18" i="10"/>
  <c r="F20" i="10"/>
  <c r="F15" i="10"/>
  <c r="L12" i="10"/>
  <c r="F22" i="10"/>
  <c r="F16" i="10"/>
  <c r="X25" i="10"/>
  <c r="X33" i="10"/>
  <c r="L15" i="11"/>
  <c r="Z16" i="11"/>
  <c r="L22" i="11"/>
  <c r="Z24" i="11"/>
  <c r="Z33" i="11"/>
  <c r="J21" i="4"/>
  <c r="J20" i="4"/>
  <c r="J18" i="4"/>
  <c r="J16" i="4"/>
  <c r="H18" i="4"/>
  <c r="J15" i="4"/>
  <c r="N12" i="4"/>
  <c r="J36" i="4"/>
  <c r="J34" i="4"/>
  <c r="J33" i="4"/>
  <c r="J31" i="4"/>
  <c r="J29" i="4"/>
  <c r="J27" i="4"/>
  <c r="J25" i="4"/>
  <c r="J24" i="4"/>
  <c r="J22" i="4"/>
  <c r="X13" i="4"/>
  <c r="Z15" i="4"/>
  <c r="X21" i="4"/>
  <c r="F24" i="5"/>
  <c r="F22" i="5"/>
  <c r="F21" i="5"/>
  <c r="F20" i="5"/>
  <c r="F18" i="5"/>
  <c r="F16" i="5"/>
  <c r="D18" i="5"/>
  <c r="F15" i="5"/>
  <c r="L12" i="5"/>
  <c r="F36" i="5"/>
  <c r="F34" i="5"/>
  <c r="F33" i="5"/>
  <c r="F31" i="5"/>
  <c r="F29" i="5"/>
  <c r="F25" i="5"/>
  <c r="F27" i="5"/>
  <c r="X16" i="5"/>
  <c r="X20" i="5"/>
  <c r="L16" i="7"/>
  <c r="L20" i="7"/>
  <c r="V36" i="8"/>
  <c r="V34" i="8"/>
  <c r="V33" i="8"/>
  <c r="V31" i="8"/>
  <c r="V29" i="8"/>
  <c r="V27" i="8"/>
  <c r="V25" i="8"/>
  <c r="T18" i="8"/>
  <c r="V15" i="8"/>
  <c r="Z12" i="8"/>
  <c r="V24" i="8"/>
  <c r="V22" i="8"/>
  <c r="V21" i="8"/>
  <c r="V20" i="8"/>
  <c r="V18" i="8"/>
  <c r="V16" i="8"/>
  <c r="L15" i="8"/>
  <c r="X34" i="8"/>
  <c r="H18" i="10"/>
  <c r="J15" i="10"/>
  <c r="J21" i="10"/>
  <c r="J18" i="10"/>
  <c r="J33" i="10"/>
  <c r="J25" i="10"/>
  <c r="J20" i="10"/>
  <c r="J34" i="10"/>
  <c r="J27" i="10"/>
  <c r="J36" i="10"/>
  <c r="J29" i="10"/>
  <c r="N12" i="10"/>
  <c r="J22" i="10"/>
  <c r="J16" i="10"/>
  <c r="J31" i="10"/>
  <c r="J24" i="10"/>
  <c r="L15" i="10"/>
  <c r="Z25" i="10"/>
  <c r="L29" i="10"/>
  <c r="Z33" i="10"/>
  <c r="F20" i="11"/>
  <c r="F18" i="11"/>
  <c r="F16" i="11"/>
  <c r="D18" i="11"/>
  <c r="F15" i="11"/>
  <c r="F24" i="11"/>
  <c r="F22" i="11"/>
  <c r="F27" i="11"/>
  <c r="F36" i="11"/>
  <c r="F33" i="11"/>
  <c r="F29" i="11"/>
  <c r="F21" i="11"/>
  <c r="F25" i="11"/>
  <c r="L12" i="11"/>
  <c r="F34" i="11"/>
  <c r="F31" i="11"/>
  <c r="X20" i="11"/>
  <c r="N22" i="11"/>
  <c r="X29" i="13"/>
  <c r="X22" i="14"/>
  <c r="Z13" i="4"/>
  <c r="Z16" i="4"/>
  <c r="Z20" i="4"/>
  <c r="X22" i="4"/>
  <c r="X24" i="4"/>
  <c r="J20" i="5"/>
  <c r="J18" i="5"/>
  <c r="J16" i="5"/>
  <c r="H18" i="5"/>
  <c r="J15" i="5"/>
  <c r="N12" i="5"/>
  <c r="J36" i="5"/>
  <c r="J34" i="5"/>
  <c r="J33" i="5"/>
  <c r="J31" i="5"/>
  <c r="J29" i="5"/>
  <c r="J27" i="5"/>
  <c r="J25" i="5"/>
  <c r="J24" i="5"/>
  <c r="J22" i="5"/>
  <c r="J21" i="5"/>
  <c r="X13" i="5"/>
  <c r="Z15" i="5"/>
  <c r="X21" i="5"/>
  <c r="N15" i="7"/>
  <c r="L21" i="7"/>
  <c r="L16" i="8"/>
  <c r="L20" i="8"/>
  <c r="L29" i="8"/>
  <c r="X24" i="10"/>
  <c r="N29" i="10"/>
  <c r="N12" i="11"/>
  <c r="J36" i="11"/>
  <c r="J34" i="11"/>
  <c r="J20" i="11"/>
  <c r="J18" i="11"/>
  <c r="J16" i="11"/>
  <c r="J33" i="11"/>
  <c r="J24" i="11"/>
  <c r="J29" i="11"/>
  <c r="J21" i="11"/>
  <c r="J25" i="11"/>
  <c r="H18" i="11"/>
  <c r="J31" i="11"/>
  <c r="J22" i="11"/>
  <c r="J15" i="11"/>
  <c r="J27" i="11"/>
  <c r="Z20" i="11"/>
  <c r="X24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33" i="8"/>
  <c r="Z34" i="8"/>
  <c r="N15" i="10"/>
  <c r="X16" i="10"/>
  <c r="L21" i="10"/>
  <c r="X15" i="11"/>
  <c r="N34" i="11"/>
  <c r="X33" i="13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25" i="8"/>
  <c r="N29" i="8"/>
  <c r="V21" i="10"/>
  <c r="V36" i="10"/>
  <c r="V29" i="10"/>
  <c r="V15" i="10"/>
  <c r="V22" i="10"/>
  <c r="V16" i="10"/>
  <c r="Z12" i="10"/>
  <c r="V31" i="10"/>
  <c r="V24" i="10"/>
  <c r="V18" i="10"/>
  <c r="V33" i="10"/>
  <c r="V25" i="10"/>
  <c r="T18" i="10"/>
  <c r="V20" i="10"/>
  <c r="V27" i="10"/>
  <c r="V34" i="10"/>
  <c r="N21" i="10"/>
  <c r="L34" i="10"/>
  <c r="X12" i="11"/>
  <c r="R24" i="11"/>
  <c r="R22" i="11"/>
  <c r="R20" i="11"/>
  <c r="R18" i="11"/>
  <c r="R16" i="11"/>
  <c r="R29" i="11"/>
  <c r="R21" i="11"/>
  <c r="R25" i="11"/>
  <c r="P18" i="11"/>
  <c r="R34" i="11"/>
  <c r="R31" i="11"/>
  <c r="R15" i="11"/>
  <c r="R27" i="11"/>
  <c r="R33" i="11"/>
  <c r="R36" i="11"/>
  <c r="X22" i="11"/>
  <c r="N25" i="11"/>
  <c r="X34" i="13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L13" i="8"/>
  <c r="N21" i="8"/>
  <c r="Z33" i="8"/>
  <c r="X15" i="10"/>
  <c r="Z16" i="10"/>
  <c r="L20" i="10"/>
  <c r="X22" i="10"/>
  <c r="N34" i="10"/>
  <c r="Z12" i="11"/>
  <c r="V36" i="11"/>
  <c r="V34" i="11"/>
  <c r="V33" i="11"/>
  <c r="V31" i="11"/>
  <c r="V29" i="11"/>
  <c r="V27" i="11"/>
  <c r="V25" i="11"/>
  <c r="V20" i="11"/>
  <c r="V18" i="11"/>
  <c r="V16" i="11"/>
  <c r="V21" i="11"/>
  <c r="T18" i="11"/>
  <c r="V22" i="11"/>
  <c r="V15" i="11"/>
  <c r="V24" i="11"/>
  <c r="Z22" i="11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N25" i="8"/>
  <c r="X29" i="10"/>
  <c r="N29" i="11"/>
  <c r="Z34" i="11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16" i="7"/>
  <c r="X20" i="7"/>
  <c r="X15" i="8"/>
  <c r="X29" i="8"/>
  <c r="L13" i="10"/>
  <c r="Z15" i="10"/>
  <c r="X21" i="10"/>
  <c r="L25" i="10"/>
  <c r="Z29" i="10"/>
  <c r="L33" i="10"/>
  <c r="N13" i="11"/>
  <c r="L24" i="11"/>
  <c r="Z13" i="14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X13" i="7"/>
  <c r="Z15" i="7"/>
  <c r="X21" i="7"/>
  <c r="L12" i="8"/>
  <c r="F34" i="8"/>
  <c r="F36" i="8"/>
  <c r="F25" i="8"/>
  <c r="F24" i="8"/>
  <c r="F22" i="8"/>
  <c r="F27" i="8"/>
  <c r="F21" i="8"/>
  <c r="F29" i="8"/>
  <c r="F20" i="8"/>
  <c r="F18" i="8"/>
  <c r="F16" i="8"/>
  <c r="D18" i="8"/>
  <c r="F15" i="8"/>
  <c r="F31" i="8"/>
  <c r="F33" i="8"/>
  <c r="X16" i="8"/>
  <c r="X20" i="8"/>
  <c r="L34" i="8"/>
  <c r="N25" i="10"/>
  <c r="N33" i="10"/>
  <c r="N16" i="11"/>
  <c r="N24" i="11"/>
  <c r="Z25" i="11"/>
  <c r="N33" i="11"/>
  <c r="Z21" i="13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5" i="8"/>
  <c r="J24" i="8"/>
  <c r="J22" i="8"/>
  <c r="J27" i="8"/>
  <c r="J21" i="8"/>
  <c r="J20" i="8"/>
  <c r="J18" i="8"/>
  <c r="J16" i="8"/>
  <c r="H18" i="8"/>
  <c r="J15" i="8"/>
  <c r="N12" i="8"/>
  <c r="X13" i="8"/>
  <c r="Z15" i="8"/>
  <c r="X21" i="8"/>
  <c r="Z29" i="8"/>
  <c r="X20" i="10"/>
  <c r="Z21" i="10"/>
  <c r="X34" i="10"/>
  <c r="Z16" i="14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25" i="8"/>
  <c r="L33" i="8"/>
  <c r="N34" i="8"/>
  <c r="X13" i="10"/>
  <c r="Z34" i="10"/>
  <c r="Z13" i="11"/>
  <c r="N20" i="11"/>
  <c r="Z29" i="11"/>
  <c r="N13" i="10"/>
  <c r="N22" i="10"/>
  <c r="N24" i="10"/>
  <c r="L13" i="11"/>
  <c r="N21" i="11"/>
  <c r="L25" i="11"/>
  <c r="L29" i="11"/>
  <c r="L33" i="11"/>
  <c r="L34" i="11"/>
  <c r="R21" i="13"/>
  <c r="R20" i="13"/>
  <c r="R18" i="13"/>
  <c r="R16" i="13"/>
  <c r="P18" i="13"/>
  <c r="R15" i="13"/>
  <c r="X12" i="13"/>
  <c r="R36" i="13"/>
  <c r="R34" i="13"/>
  <c r="R33" i="13"/>
  <c r="R31" i="13"/>
  <c r="R29" i="13"/>
  <c r="R27" i="13"/>
  <c r="R25" i="13"/>
  <c r="R24" i="13"/>
  <c r="R22" i="13"/>
  <c r="Z22" i="13"/>
  <c r="Z24" i="13"/>
  <c r="Z21" i="14"/>
  <c r="X25" i="14"/>
  <c r="X29" i="14"/>
  <c r="X33" i="14"/>
  <c r="X34" i="14"/>
  <c r="Z16" i="16"/>
  <c r="N24" i="22"/>
  <c r="T18" i="13"/>
  <c r="V15" i="13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L15" i="13"/>
  <c r="Z25" i="13"/>
  <c r="Z29" i="13"/>
  <c r="Z33" i="13"/>
  <c r="Z34" i="13"/>
  <c r="R20" i="14"/>
  <c r="R18" i="14"/>
  <c r="R16" i="14"/>
  <c r="P18" i="14"/>
  <c r="R15" i="14"/>
  <c r="X12" i="14"/>
  <c r="R36" i="14"/>
  <c r="R34" i="14"/>
  <c r="R33" i="14"/>
  <c r="R31" i="14"/>
  <c r="R29" i="14"/>
  <c r="R27" i="14"/>
  <c r="R25" i="14"/>
  <c r="R24" i="14"/>
  <c r="R22" i="14"/>
  <c r="R21" i="14"/>
  <c r="Z22" i="14"/>
  <c r="Z24" i="14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Z20" i="16"/>
  <c r="X13" i="17"/>
  <c r="N21" i="19"/>
  <c r="X29" i="22"/>
  <c r="N15" i="13"/>
  <c r="L21" i="13"/>
  <c r="L16" i="14"/>
  <c r="L20" i="14"/>
  <c r="Z15" i="17"/>
  <c r="N16" i="20"/>
  <c r="X13" i="11"/>
  <c r="Z15" i="11"/>
  <c r="X21" i="11"/>
  <c r="N16" i="13"/>
  <c r="N20" i="13"/>
  <c r="L22" i="13"/>
  <c r="L24" i="13"/>
  <c r="N15" i="14"/>
  <c r="L21" i="14"/>
  <c r="X22" i="16"/>
  <c r="L13" i="13"/>
  <c r="N21" i="13"/>
  <c r="L25" i="13"/>
  <c r="L29" i="13"/>
  <c r="L33" i="13"/>
  <c r="L34" i="13"/>
  <c r="N16" i="14"/>
  <c r="N20" i="14"/>
  <c r="L22" i="14"/>
  <c r="L24" i="14"/>
  <c r="X24" i="16"/>
  <c r="L25" i="19"/>
  <c r="N20" i="20"/>
  <c r="X16" i="29"/>
  <c r="R36" i="10"/>
  <c r="R34" i="10"/>
  <c r="R33" i="10"/>
  <c r="R31" i="10"/>
  <c r="R29" i="10"/>
  <c r="R27" i="10"/>
  <c r="R25" i="10"/>
  <c r="R20" i="10"/>
  <c r="R21" i="10"/>
  <c r="R22" i="10"/>
  <c r="R15" i="10"/>
  <c r="X12" i="10"/>
  <c r="R16" i="10"/>
  <c r="R24" i="10"/>
  <c r="R18" i="10"/>
  <c r="P18" i="10"/>
  <c r="Z22" i="10"/>
  <c r="Z24" i="10"/>
  <c r="Z21" i="11"/>
  <c r="X25" i="11"/>
  <c r="X29" i="11"/>
  <c r="X33" i="11"/>
  <c r="X34" i="11"/>
  <c r="N13" i="13"/>
  <c r="N22" i="13"/>
  <c r="N24" i="13"/>
  <c r="L13" i="14"/>
  <c r="N21" i="14"/>
  <c r="L25" i="14"/>
  <c r="L29" i="14"/>
  <c r="L33" i="14"/>
  <c r="L34" i="14"/>
  <c r="Z15" i="23"/>
  <c r="X15" i="13"/>
  <c r="N25" i="13"/>
  <c r="N29" i="13"/>
  <c r="N33" i="13"/>
  <c r="N34" i="13"/>
  <c r="N13" i="14"/>
  <c r="N22" i="14"/>
  <c r="N24" i="14"/>
  <c r="X21" i="17"/>
  <c r="L29" i="19"/>
  <c r="L22" i="20"/>
  <c r="L12" i="13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X16" i="13"/>
  <c r="X20" i="13"/>
  <c r="X15" i="14"/>
  <c r="N25" i="14"/>
  <c r="N29" i="14"/>
  <c r="N33" i="14"/>
  <c r="N34" i="14"/>
  <c r="L24" i="20"/>
  <c r="L16" i="11"/>
  <c r="L20" i="11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L13" i="19"/>
  <c r="L33" i="19"/>
  <c r="N16" i="22"/>
  <c r="X22" i="23"/>
  <c r="N16" i="10"/>
  <c r="N20" i="10"/>
  <c r="L22" i="10"/>
  <c r="L24" i="10"/>
  <c r="N15" i="11"/>
  <c r="L21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Z13" i="16"/>
  <c r="L34" i="19"/>
  <c r="N25" i="23"/>
  <c r="Z21" i="16"/>
  <c r="X25" i="16"/>
  <c r="X29" i="16"/>
  <c r="X33" i="16"/>
  <c r="X34" i="16"/>
  <c r="Z13" i="17"/>
  <c r="Z16" i="17"/>
  <c r="Z20" i="17"/>
  <c r="X22" i="17"/>
  <c r="X24" i="17"/>
  <c r="N13" i="19"/>
  <c r="N22" i="19"/>
  <c r="N24" i="19"/>
  <c r="L13" i="20"/>
  <c r="N21" i="20"/>
  <c r="L25" i="20"/>
  <c r="L29" i="20"/>
  <c r="L33" i="20"/>
  <c r="L34" i="20"/>
  <c r="Z13" i="22"/>
  <c r="L20" i="22"/>
  <c r="Z21" i="22"/>
  <c r="V36" i="23"/>
  <c r="V34" i="23"/>
  <c r="V33" i="23"/>
  <c r="V31" i="23"/>
  <c r="V29" i="23"/>
  <c r="V27" i="23"/>
  <c r="V25" i="23"/>
  <c r="V21" i="23"/>
  <c r="V20" i="23"/>
  <c r="V24" i="23"/>
  <c r="V16" i="23"/>
  <c r="V18" i="23"/>
  <c r="T18" i="23"/>
  <c r="V22" i="23"/>
  <c r="Z12" i="23"/>
  <c r="V15" i="23"/>
  <c r="L21" i="23"/>
  <c r="L29" i="23"/>
  <c r="R20" i="16"/>
  <c r="R18" i="16"/>
  <c r="R16" i="16"/>
  <c r="P18" i="16"/>
  <c r="R15" i="16"/>
  <c r="X12" i="16"/>
  <c r="R36" i="16"/>
  <c r="R34" i="16"/>
  <c r="R33" i="16"/>
  <c r="R31" i="16"/>
  <c r="R29" i="16"/>
  <c r="R27" i="16"/>
  <c r="R25" i="16"/>
  <c r="R24" i="16"/>
  <c r="R22" i="16"/>
  <c r="R21" i="16"/>
  <c r="Z22" i="16"/>
  <c r="Z24" i="16"/>
  <c r="Z21" i="17"/>
  <c r="X25" i="17"/>
  <c r="X29" i="17"/>
  <c r="X33" i="17"/>
  <c r="X34" i="17"/>
  <c r="X15" i="19"/>
  <c r="N25" i="19"/>
  <c r="N29" i="19"/>
  <c r="N33" i="19"/>
  <c r="N34" i="19"/>
  <c r="N13" i="20"/>
  <c r="N22" i="20"/>
  <c r="N24" i="20"/>
  <c r="X16" i="22"/>
  <c r="N20" i="22"/>
  <c r="X24" i="22"/>
  <c r="X33" i="22"/>
  <c r="N21" i="23"/>
  <c r="N29" i="23"/>
  <c r="X34" i="23"/>
  <c r="X20" i="29"/>
  <c r="N16" i="31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P18" i="17"/>
  <c r="R15" i="17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Z22" i="17"/>
  <c r="Z24" i="17"/>
  <c r="F21" i="19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F24" i="19"/>
  <c r="F22" i="19"/>
  <c r="X16" i="19"/>
  <c r="X20" i="19"/>
  <c r="X15" i="20"/>
  <c r="N25" i="20"/>
  <c r="N29" i="20"/>
  <c r="N33" i="20"/>
  <c r="N34" i="20"/>
  <c r="Z16" i="22"/>
  <c r="L13" i="23"/>
  <c r="X25" i="23"/>
  <c r="L33" i="23"/>
  <c r="Z34" i="23"/>
  <c r="Z25" i="25"/>
  <c r="N20" i="31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H18" i="19"/>
  <c r="J15" i="19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X13" i="19"/>
  <c r="Z15" i="19"/>
  <c r="X21" i="19"/>
  <c r="F20" i="20"/>
  <c r="F18" i="20"/>
  <c r="F16" i="20"/>
  <c r="D18" i="20"/>
  <c r="F15" i="20"/>
  <c r="L12" i="20"/>
  <c r="F36" i="20"/>
  <c r="F34" i="20"/>
  <c r="F33" i="20"/>
  <c r="F31" i="20"/>
  <c r="F29" i="20"/>
  <c r="F27" i="20"/>
  <c r="F25" i="20"/>
  <c r="F24" i="20"/>
  <c r="F22" i="20"/>
  <c r="F21" i="20"/>
  <c r="X16" i="20"/>
  <c r="X20" i="20"/>
  <c r="X20" i="22"/>
  <c r="L22" i="22"/>
  <c r="Z24" i="22"/>
  <c r="X21" i="23"/>
  <c r="Z25" i="23"/>
  <c r="N33" i="23"/>
  <c r="L22" i="31"/>
  <c r="N15" i="16"/>
  <c r="L21" i="16"/>
  <c r="L16" i="17"/>
  <c r="L20" i="17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F24" i="22"/>
  <c r="F22" i="22"/>
  <c r="F20" i="22"/>
  <c r="F18" i="22"/>
  <c r="F16" i="22"/>
  <c r="F33" i="22"/>
  <c r="F29" i="22"/>
  <c r="F21" i="22"/>
  <c r="F25" i="22"/>
  <c r="F34" i="22"/>
  <c r="D18" i="22"/>
  <c r="L12" i="22"/>
  <c r="F31" i="22"/>
  <c r="F15" i="22"/>
  <c r="F27" i="22"/>
  <c r="F36" i="22"/>
  <c r="Z20" i="22"/>
  <c r="N22" i="22"/>
  <c r="X13" i="23"/>
  <c r="X29" i="23"/>
  <c r="Z29" i="25"/>
  <c r="Z22" i="26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N16" i="16"/>
  <c r="N20" i="16"/>
  <c r="L22" i="16"/>
  <c r="L24" i="16"/>
  <c r="N15" i="17"/>
  <c r="L21" i="17"/>
  <c r="Z21" i="19"/>
  <c r="X25" i="19"/>
  <c r="X29" i="19"/>
  <c r="X33" i="19"/>
  <c r="X34" i="19"/>
  <c r="Z13" i="20"/>
  <c r="Z16" i="20"/>
  <c r="Z20" i="20"/>
  <c r="X22" i="20"/>
  <c r="X24" i="20"/>
  <c r="Z13" i="23"/>
  <c r="Z21" i="23"/>
  <c r="Z29" i="23"/>
  <c r="V21" i="25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V24" i="25"/>
  <c r="V22" i="25"/>
  <c r="Z24" i="26"/>
  <c r="X13" i="28"/>
  <c r="L29" i="31"/>
  <c r="L13" i="16"/>
  <c r="N21" i="16"/>
  <c r="L25" i="16"/>
  <c r="L29" i="16"/>
  <c r="L33" i="16"/>
  <c r="L34" i="16"/>
  <c r="N16" i="17"/>
  <c r="N20" i="17"/>
  <c r="L22" i="17"/>
  <c r="L24" i="17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X22" i="22"/>
  <c r="X24" i="23"/>
  <c r="X33" i="23"/>
  <c r="L15" i="25"/>
  <c r="Z33" i="25"/>
  <c r="Z15" i="28"/>
  <c r="X33" i="31"/>
  <c r="N13" i="16"/>
  <c r="N22" i="16"/>
  <c r="N24" i="16"/>
  <c r="L13" i="17"/>
  <c r="N21" i="17"/>
  <c r="L25" i="17"/>
  <c r="L29" i="17"/>
  <c r="L33" i="17"/>
  <c r="L34" i="17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R20" i="22"/>
  <c r="R18" i="22"/>
  <c r="R16" i="22"/>
  <c r="R25" i="22"/>
  <c r="R34" i="22"/>
  <c r="P18" i="22"/>
  <c r="X12" i="22"/>
  <c r="R31" i="22"/>
  <c r="R22" i="22"/>
  <c r="R15" i="22"/>
  <c r="R27" i="22"/>
  <c r="R36" i="22"/>
  <c r="R33" i="22"/>
  <c r="R24" i="22"/>
  <c r="R29" i="22"/>
  <c r="R21" i="22"/>
  <c r="L15" i="23"/>
  <c r="Z16" i="23"/>
  <c r="Z33" i="23"/>
  <c r="Z34" i="25"/>
  <c r="X15" i="16"/>
  <c r="N25" i="16"/>
  <c r="N29" i="16"/>
  <c r="N33" i="16"/>
  <c r="N34" i="16"/>
  <c r="N13" i="17"/>
  <c r="N22" i="17"/>
  <c r="N24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Z22" i="22"/>
  <c r="X34" i="22"/>
  <c r="N15" i="23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6" i="16"/>
  <c r="X20" i="16"/>
  <c r="X15" i="17"/>
  <c r="N25" i="17"/>
  <c r="N29" i="17"/>
  <c r="N33" i="17"/>
  <c r="N34" i="17"/>
  <c r="N15" i="19"/>
  <c r="L21" i="19"/>
  <c r="L16" i="20"/>
  <c r="L20" i="20"/>
  <c r="X25" i="22"/>
  <c r="H18" i="23"/>
  <c r="J15" i="23"/>
  <c r="J36" i="23"/>
  <c r="J34" i="23"/>
  <c r="J33" i="23"/>
  <c r="J31" i="23"/>
  <c r="J29" i="23"/>
  <c r="J27" i="23"/>
  <c r="J25" i="23"/>
  <c r="J21" i="23"/>
  <c r="J22" i="23"/>
  <c r="J20" i="23"/>
  <c r="J24" i="23"/>
  <c r="J16" i="23"/>
  <c r="J18" i="23"/>
  <c r="N12" i="23"/>
  <c r="Z20" i="23"/>
  <c r="L34" i="23"/>
  <c r="R24" i="26"/>
  <c r="R22" i="26"/>
  <c r="R21" i="26"/>
  <c r="R20" i="26"/>
  <c r="R18" i="26"/>
  <c r="R16" i="26"/>
  <c r="P18" i="26"/>
  <c r="R15" i="26"/>
  <c r="X12" i="26"/>
  <c r="R33" i="26"/>
  <c r="R31" i="26"/>
  <c r="R29" i="26"/>
  <c r="R27" i="26"/>
  <c r="R25" i="26"/>
  <c r="R36" i="26"/>
  <c r="R34" i="2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N12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X16" i="17"/>
  <c r="X20" i="17"/>
  <c r="N16" i="19"/>
  <c r="N20" i="19"/>
  <c r="L22" i="19"/>
  <c r="L24" i="19"/>
  <c r="N15" i="20"/>
  <c r="L21" i="20"/>
  <c r="N13" i="22"/>
  <c r="L16" i="22"/>
  <c r="L24" i="22"/>
  <c r="X15" i="23"/>
  <c r="L25" i="23"/>
  <c r="N34" i="23"/>
  <c r="X21" i="28"/>
  <c r="L22" i="32"/>
  <c r="X15" i="22"/>
  <c r="N25" i="22"/>
  <c r="N29" i="22"/>
  <c r="N33" i="22"/>
  <c r="N34" i="22"/>
  <c r="N13" i="23"/>
  <c r="N22" i="23"/>
  <c r="N24" i="23"/>
  <c r="L16" i="25"/>
  <c r="L20" i="25"/>
  <c r="V20" i="26"/>
  <c r="V18" i="26"/>
  <c r="V16" i="26"/>
  <c r="T18" i="26"/>
  <c r="V15" i="26"/>
  <c r="Z12" i="26"/>
  <c r="V36" i="26"/>
  <c r="V34" i="26"/>
  <c r="V33" i="26"/>
  <c r="V31" i="26"/>
  <c r="V29" i="26"/>
  <c r="V27" i="26"/>
  <c r="V25" i="26"/>
  <c r="V24" i="26"/>
  <c r="V22" i="26"/>
  <c r="V21" i="26"/>
  <c r="L15" i="26"/>
  <c r="Z25" i="26"/>
  <c r="Z29" i="26"/>
  <c r="Z33" i="26"/>
  <c r="Z34" i="26"/>
  <c r="Z13" i="28"/>
  <c r="Z16" i="28"/>
  <c r="Z20" i="28"/>
  <c r="X22" i="28"/>
  <c r="X24" i="28"/>
  <c r="J24" i="29"/>
  <c r="J22" i="29"/>
  <c r="J21" i="29"/>
  <c r="J20" i="29"/>
  <c r="J18" i="29"/>
  <c r="J16" i="29"/>
  <c r="H18" i="29"/>
  <c r="J15" i="29"/>
  <c r="N12" i="29"/>
  <c r="J34" i="29"/>
  <c r="J33" i="29"/>
  <c r="J31" i="29"/>
  <c r="J29" i="29"/>
  <c r="J27" i="29"/>
  <c r="J25" i="29"/>
  <c r="J36" i="29"/>
  <c r="X13" i="29"/>
  <c r="Z15" i="29"/>
  <c r="X21" i="29"/>
  <c r="L13" i="31"/>
  <c r="L25" i="31"/>
  <c r="N29" i="31"/>
  <c r="Z33" i="31"/>
  <c r="N22" i="32"/>
  <c r="L21" i="35"/>
  <c r="F36" i="37"/>
  <c r="F34" i="37"/>
  <c r="F33" i="37"/>
  <c r="F31" i="37"/>
  <c r="F29" i="37"/>
  <c r="F27" i="37"/>
  <c r="F25" i="37"/>
  <c r="F24" i="37"/>
  <c r="F22" i="37"/>
  <c r="F20" i="37"/>
  <c r="F18" i="37"/>
  <c r="F16" i="37"/>
  <c r="F15" i="37"/>
  <c r="F21" i="37"/>
  <c r="D18" i="37"/>
  <c r="L12" i="37"/>
  <c r="N15" i="25"/>
  <c r="L21" i="25"/>
  <c r="L16" i="26"/>
  <c r="L20" i="26"/>
  <c r="Z21" i="28"/>
  <c r="X25" i="28"/>
  <c r="X29" i="28"/>
  <c r="X33" i="28"/>
  <c r="X34" i="28"/>
  <c r="Z13" i="29"/>
  <c r="Z16" i="29"/>
  <c r="Z20" i="29"/>
  <c r="X22" i="29"/>
  <c r="X24" i="29"/>
  <c r="N25" i="31"/>
  <c r="X29" i="31"/>
  <c r="N20" i="32"/>
  <c r="X22" i="32"/>
  <c r="J20" i="22"/>
  <c r="J18" i="22"/>
  <c r="J16" i="22"/>
  <c r="J24" i="22"/>
  <c r="J22" i="22"/>
  <c r="J29" i="22"/>
  <c r="J21" i="22"/>
  <c r="J25" i="22"/>
  <c r="J34" i="22"/>
  <c r="H18" i="22"/>
  <c r="N12" i="22"/>
  <c r="J31" i="22"/>
  <c r="J15" i="22"/>
  <c r="J27" i="22"/>
  <c r="J36" i="22"/>
  <c r="J33" i="22"/>
  <c r="X13" i="22"/>
  <c r="Z15" i="22"/>
  <c r="X21" i="22"/>
  <c r="F21" i="23"/>
  <c r="D18" i="23"/>
  <c r="F15" i="23"/>
  <c r="F36" i="23"/>
  <c r="F34" i="23"/>
  <c r="F33" i="23"/>
  <c r="F31" i="23"/>
  <c r="F29" i="23"/>
  <c r="F27" i="23"/>
  <c r="F25" i="23"/>
  <c r="F18" i="23"/>
  <c r="L12" i="23"/>
  <c r="F22" i="23"/>
  <c r="F20" i="23"/>
  <c r="F24" i="23"/>
  <c r="F16" i="23"/>
  <c r="X16" i="23"/>
  <c r="X20" i="23"/>
  <c r="N16" i="25"/>
  <c r="N20" i="25"/>
  <c r="L22" i="25"/>
  <c r="L24" i="25"/>
  <c r="N15" i="26"/>
  <c r="L21" i="26"/>
  <c r="P18" i="28"/>
  <c r="R15" i="28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Z22" i="28"/>
  <c r="Z24" i="28"/>
  <c r="Z21" i="29"/>
  <c r="X25" i="29"/>
  <c r="X29" i="29"/>
  <c r="X33" i="29"/>
  <c r="X34" i="29"/>
  <c r="X25" i="31"/>
  <c r="Z29" i="31"/>
  <c r="L34" i="31"/>
  <c r="Z22" i="32"/>
  <c r="L13" i="25"/>
  <c r="N21" i="25"/>
  <c r="L25" i="25"/>
  <c r="L29" i="25"/>
  <c r="L33" i="25"/>
  <c r="L34" i="25"/>
  <c r="N16" i="26"/>
  <c r="N20" i="26"/>
  <c r="L22" i="26"/>
  <c r="L2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R15" i="29"/>
  <c r="P18" i="29"/>
  <c r="Z22" i="29"/>
  <c r="Z24" i="29"/>
  <c r="Z22" i="31"/>
  <c r="N34" i="31"/>
  <c r="X12" i="32"/>
  <c r="R24" i="32"/>
  <c r="R22" i="32"/>
  <c r="R20" i="32"/>
  <c r="R18" i="32"/>
  <c r="R16" i="32"/>
  <c r="P18" i="32"/>
  <c r="R15" i="32"/>
  <c r="R29" i="32"/>
  <c r="R33" i="32"/>
  <c r="R21" i="32"/>
  <c r="R36" i="32"/>
  <c r="R27" i="32"/>
  <c r="R31" i="32"/>
  <c r="R34" i="32"/>
  <c r="R25" i="32"/>
  <c r="N16" i="32"/>
  <c r="Z20" i="32"/>
  <c r="Z20" i="37"/>
  <c r="N13" i="25"/>
  <c r="N22" i="25"/>
  <c r="N24" i="25"/>
  <c r="L13" i="26"/>
  <c r="N21" i="26"/>
  <c r="L25" i="26"/>
  <c r="L29" i="26"/>
  <c r="L33" i="26"/>
  <c r="L3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L15" i="31"/>
  <c r="Z25" i="31"/>
  <c r="X34" i="31"/>
  <c r="L24" i="32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15" i="25"/>
  <c r="N25" i="25"/>
  <c r="N29" i="25"/>
  <c r="N33" i="25"/>
  <c r="N34" i="25"/>
  <c r="N13" i="26"/>
  <c r="N22" i="26"/>
  <c r="N24" i="26"/>
  <c r="N15" i="28"/>
  <c r="L21" i="28"/>
  <c r="L16" i="29"/>
  <c r="L20" i="29"/>
  <c r="L24" i="31"/>
  <c r="Z34" i="31"/>
  <c r="Z16" i="32"/>
  <c r="L21" i="32"/>
  <c r="N24" i="32"/>
  <c r="N16" i="34"/>
  <c r="Z12" i="22"/>
  <c r="V24" i="22"/>
  <c r="V22" i="22"/>
  <c r="V34" i="22"/>
  <c r="V18" i="22"/>
  <c r="T18" i="22"/>
  <c r="V31" i="22"/>
  <c r="V15" i="22"/>
  <c r="V27" i="22"/>
  <c r="V36" i="22"/>
  <c r="V20" i="22"/>
  <c r="V33" i="22"/>
  <c r="V16" i="22"/>
  <c r="V29" i="22"/>
  <c r="V21" i="22"/>
  <c r="V2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P18" i="23"/>
  <c r="R15" i="23"/>
  <c r="R20" i="23"/>
  <c r="R24" i="23"/>
  <c r="R16" i="23"/>
  <c r="R21" i="23"/>
  <c r="R18" i="23"/>
  <c r="R22" i="23"/>
  <c r="Z22" i="23"/>
  <c r="Z24" i="23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X16" i="25"/>
  <c r="X20" i="25"/>
  <c r="X15" i="26"/>
  <c r="N25" i="26"/>
  <c r="N29" i="26"/>
  <c r="N33" i="26"/>
  <c r="N34" i="26"/>
  <c r="N16" i="28"/>
  <c r="N20" i="28"/>
  <c r="L22" i="28"/>
  <c r="L24" i="28"/>
  <c r="N15" i="29"/>
  <c r="L21" i="29"/>
  <c r="N21" i="31"/>
  <c r="N13" i="32"/>
  <c r="X24" i="32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X16" i="26"/>
  <c r="X20" i="26"/>
  <c r="L13" i="28"/>
  <c r="N21" i="28"/>
  <c r="L25" i="28"/>
  <c r="L29" i="28"/>
  <c r="L33" i="28"/>
  <c r="L34" i="28"/>
  <c r="N16" i="29"/>
  <c r="N20" i="29"/>
  <c r="L22" i="29"/>
  <c r="L24" i="29"/>
  <c r="X15" i="31"/>
  <c r="Z13" i="32"/>
  <c r="Z24" i="32"/>
  <c r="N20" i="34"/>
  <c r="N15" i="22"/>
  <c r="L21" i="22"/>
  <c r="L16" i="23"/>
  <c r="L20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X13" i="26"/>
  <c r="Z15" i="26"/>
  <c r="X21" i="26"/>
  <c r="N13" i="28"/>
  <c r="N22" i="28"/>
  <c r="N24" i="28"/>
  <c r="L13" i="29"/>
  <c r="N21" i="29"/>
  <c r="L25" i="29"/>
  <c r="L29" i="29"/>
  <c r="L33" i="29"/>
  <c r="L34" i="29"/>
  <c r="Z21" i="31"/>
  <c r="N15" i="35"/>
  <c r="Z21" i="25"/>
  <c r="X25" i="25"/>
  <c r="X29" i="25"/>
  <c r="X33" i="25"/>
  <c r="X34" i="25"/>
  <c r="Z13" i="26"/>
  <c r="Z16" i="26"/>
  <c r="Z20" i="26"/>
  <c r="X22" i="26"/>
  <c r="X24" i="26"/>
  <c r="X15" i="28"/>
  <c r="N25" i="28"/>
  <c r="N29" i="28"/>
  <c r="N33" i="28"/>
  <c r="N34" i="28"/>
  <c r="N13" i="29"/>
  <c r="N22" i="29"/>
  <c r="N24" i="29"/>
  <c r="X12" i="31"/>
  <c r="R36" i="31"/>
  <c r="R34" i="31"/>
  <c r="R33" i="31"/>
  <c r="R31" i="31"/>
  <c r="R29" i="31"/>
  <c r="R27" i="31"/>
  <c r="R21" i="31"/>
  <c r="R20" i="31"/>
  <c r="R18" i="31"/>
  <c r="R16" i="31"/>
  <c r="P18" i="31"/>
  <c r="R15" i="31"/>
  <c r="R24" i="31"/>
  <c r="R25" i="31"/>
  <c r="R22" i="31"/>
  <c r="Z24" i="31"/>
  <c r="L33" i="31"/>
  <c r="N15" i="32"/>
  <c r="L22" i="34"/>
  <c r="L13" i="22"/>
  <c r="N21" i="22"/>
  <c r="L25" i="22"/>
  <c r="L29" i="22"/>
  <c r="L33" i="22"/>
  <c r="L34" i="22"/>
  <c r="N16" i="23"/>
  <c r="N20" i="23"/>
  <c r="L22" i="23"/>
  <c r="L24" i="23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X12" i="25"/>
  <c r="Z22" i="25"/>
  <c r="Z24" i="25"/>
  <c r="Z21" i="26"/>
  <c r="X25" i="26"/>
  <c r="X29" i="26"/>
  <c r="X33" i="26"/>
  <c r="X34" i="26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L12" i="28"/>
  <c r="X16" i="28"/>
  <c r="X20" i="28"/>
  <c r="X15" i="29"/>
  <c r="N25" i="29"/>
  <c r="N29" i="29"/>
  <c r="N33" i="29"/>
  <c r="N34" i="29"/>
  <c r="Z12" i="31"/>
  <c r="V36" i="31"/>
  <c r="V34" i="31"/>
  <c r="V33" i="31"/>
  <c r="V31" i="31"/>
  <c r="V29" i="31"/>
  <c r="V27" i="31"/>
  <c r="V25" i="31"/>
  <c r="T18" i="31"/>
  <c r="V15" i="31"/>
  <c r="V24" i="31"/>
  <c r="V21" i="31"/>
  <c r="V18" i="31"/>
  <c r="V22" i="31"/>
  <c r="V20" i="31"/>
  <c r="V16" i="31"/>
  <c r="N33" i="31"/>
  <c r="L24" i="34"/>
  <c r="X13" i="38"/>
  <c r="F36" i="31"/>
  <c r="F34" i="31"/>
  <c r="F33" i="31"/>
  <c r="F31" i="31"/>
  <c r="F29" i="31"/>
  <c r="F27" i="31"/>
  <c r="F25" i="31"/>
  <c r="F20" i="31"/>
  <c r="F18" i="31"/>
  <c r="F16" i="31"/>
  <c r="D18" i="31"/>
  <c r="F15" i="31"/>
  <c r="L12" i="31"/>
  <c r="F24" i="31"/>
  <c r="F21" i="31"/>
  <c r="F22" i="31"/>
  <c r="X16" i="31"/>
  <c r="X20" i="31"/>
  <c r="X15" i="32"/>
  <c r="N25" i="32"/>
  <c r="N29" i="32"/>
  <c r="N33" i="32"/>
  <c r="N34" i="32"/>
  <c r="L13" i="34"/>
  <c r="N21" i="34"/>
  <c r="L25" i="34"/>
  <c r="L29" i="34"/>
  <c r="L33" i="34"/>
  <c r="L34" i="34"/>
  <c r="N16" i="35"/>
  <c r="N20" i="35"/>
  <c r="L22" i="35"/>
  <c r="L24" i="35"/>
  <c r="X15" i="37"/>
  <c r="N34" i="37"/>
  <c r="Z13" i="38"/>
  <c r="Z29" i="38"/>
  <c r="Z34" i="38"/>
  <c r="X13" i="40"/>
  <c r="Z16" i="49"/>
  <c r="J21" i="31"/>
  <c r="J36" i="31"/>
  <c r="J34" i="31"/>
  <c r="J33" i="31"/>
  <c r="J31" i="31"/>
  <c r="J29" i="31"/>
  <c r="J27" i="31"/>
  <c r="J25" i="31"/>
  <c r="N12" i="31"/>
  <c r="J24" i="31"/>
  <c r="J18" i="31"/>
  <c r="H18" i="31"/>
  <c r="J15" i="31"/>
  <c r="J22" i="31"/>
  <c r="J20" i="31"/>
  <c r="J16" i="31"/>
  <c r="X13" i="31"/>
  <c r="Z15" i="31"/>
  <c r="X21" i="31"/>
  <c r="F24" i="32"/>
  <c r="F22" i="32"/>
  <c r="D18" i="32"/>
  <c r="F15" i="32"/>
  <c r="F25" i="32"/>
  <c r="F29" i="32"/>
  <c r="F18" i="32"/>
  <c r="F33" i="32"/>
  <c r="F21" i="32"/>
  <c r="F36" i="32"/>
  <c r="F27" i="32"/>
  <c r="F16" i="32"/>
  <c r="L12" i="32"/>
  <c r="F31" i="32"/>
  <c r="F20" i="32"/>
  <c r="F34" i="32"/>
  <c r="X16" i="32"/>
  <c r="X20" i="32"/>
  <c r="N13" i="34"/>
  <c r="N22" i="34"/>
  <c r="N24" i="34"/>
  <c r="L13" i="35"/>
  <c r="N21" i="35"/>
  <c r="L25" i="35"/>
  <c r="L29" i="35"/>
  <c r="L33" i="35"/>
  <c r="L34" i="35"/>
  <c r="X22" i="37"/>
  <c r="N25" i="37"/>
  <c r="Z15" i="40"/>
  <c r="N25" i="44"/>
  <c r="Z13" i="31"/>
  <c r="Z16" i="31"/>
  <c r="Z20" i="31"/>
  <c r="X22" i="31"/>
  <c r="X24" i="31"/>
  <c r="J20" i="32"/>
  <c r="J18" i="32"/>
  <c r="J16" i="32"/>
  <c r="N12" i="32"/>
  <c r="J36" i="32"/>
  <c r="J34" i="32"/>
  <c r="J33" i="32"/>
  <c r="J31" i="32"/>
  <c r="J29" i="32"/>
  <c r="J27" i="32"/>
  <c r="J25" i="32"/>
  <c r="J24" i="32"/>
  <c r="J22" i="32"/>
  <c r="J15" i="32"/>
  <c r="H18" i="32"/>
  <c r="J21" i="32"/>
  <c r="X13" i="32"/>
  <c r="Z15" i="32"/>
  <c r="X21" i="32"/>
  <c r="X15" i="34"/>
  <c r="N25" i="34"/>
  <c r="N29" i="34"/>
  <c r="N33" i="34"/>
  <c r="N34" i="34"/>
  <c r="N13" i="35"/>
  <c r="N22" i="35"/>
  <c r="N24" i="35"/>
  <c r="R20" i="37"/>
  <c r="R18" i="37"/>
  <c r="R16" i="37"/>
  <c r="R33" i="37"/>
  <c r="R24" i="37"/>
  <c r="R29" i="37"/>
  <c r="R21" i="37"/>
  <c r="R25" i="37"/>
  <c r="R34" i="37"/>
  <c r="P18" i="37"/>
  <c r="X12" i="37"/>
  <c r="R31" i="37"/>
  <c r="R22" i="37"/>
  <c r="R15" i="37"/>
  <c r="R27" i="37"/>
  <c r="R36" i="37"/>
  <c r="L15" i="38"/>
  <c r="Z16" i="38"/>
  <c r="N22" i="38"/>
  <c r="N25" i="38"/>
  <c r="F20" i="34"/>
  <c r="F18" i="34"/>
  <c r="F16" i="34"/>
  <c r="D18" i="34"/>
  <c r="F15" i="34"/>
  <c r="L12" i="34"/>
  <c r="F36" i="34"/>
  <c r="F34" i="34"/>
  <c r="F33" i="34"/>
  <c r="F31" i="34"/>
  <c r="F29" i="34"/>
  <c r="F27" i="34"/>
  <c r="F25" i="34"/>
  <c r="F24" i="34"/>
  <c r="F22" i="34"/>
  <c r="F21" i="34"/>
  <c r="X16" i="34"/>
  <c r="X20" i="34"/>
  <c r="X15" i="35"/>
  <c r="N25" i="35"/>
  <c r="N29" i="35"/>
  <c r="N33" i="35"/>
  <c r="N34" i="35"/>
  <c r="Z22" i="37"/>
  <c r="N29" i="37"/>
  <c r="X34" i="37"/>
  <c r="N15" i="38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L20" i="47"/>
  <c r="Z21" i="32"/>
  <c r="X25" i="32"/>
  <c r="X29" i="32"/>
  <c r="X33" i="32"/>
  <c r="X34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D18" i="35"/>
  <c r="F15" i="35"/>
  <c r="L12" i="35"/>
  <c r="F36" i="35"/>
  <c r="F34" i="35"/>
  <c r="F33" i="35"/>
  <c r="F31" i="35"/>
  <c r="F29" i="35"/>
  <c r="F27" i="35"/>
  <c r="F25" i="35"/>
  <c r="F24" i="35"/>
  <c r="F22" i="35"/>
  <c r="F21" i="35"/>
  <c r="F18" i="35"/>
  <c r="F16" i="35"/>
  <c r="F20" i="35"/>
  <c r="X16" i="35"/>
  <c r="X20" i="35"/>
  <c r="X25" i="37"/>
  <c r="J36" i="38"/>
  <c r="J34" i="38"/>
  <c r="J33" i="38"/>
  <c r="J31" i="38"/>
  <c r="J29" i="38"/>
  <c r="J27" i="38"/>
  <c r="J25" i="38"/>
  <c r="J20" i="38"/>
  <c r="J18" i="38"/>
  <c r="J16" i="38"/>
  <c r="H18" i="38"/>
  <c r="J15" i="38"/>
  <c r="J24" i="38"/>
  <c r="J21" i="38"/>
  <c r="N12" i="38"/>
  <c r="J22" i="38"/>
  <c r="Z20" i="38"/>
  <c r="Z25" i="38"/>
  <c r="Z33" i="44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L16" i="37"/>
  <c r="L24" i="37"/>
  <c r="N33" i="37"/>
  <c r="X15" i="38"/>
  <c r="X22" i="38"/>
  <c r="X21" i="40"/>
  <c r="L16" i="31"/>
  <c r="L20" i="31"/>
  <c r="V36" i="32"/>
  <c r="V34" i="32"/>
  <c r="V33" i="32"/>
  <c r="V31" i="32"/>
  <c r="V29" i="32"/>
  <c r="V27" i="32"/>
  <c r="V25" i="32"/>
  <c r="V24" i="32"/>
  <c r="V22" i="32"/>
  <c r="V20" i="32"/>
  <c r="V18" i="32"/>
  <c r="V16" i="32"/>
  <c r="T18" i="32"/>
  <c r="V21" i="32"/>
  <c r="Z12" i="32"/>
  <c r="V15" i="32"/>
  <c r="L15" i="32"/>
  <c r="Z25" i="32"/>
  <c r="Z29" i="32"/>
  <c r="Z33" i="32"/>
  <c r="Z34" i="32"/>
  <c r="Z21" i="34"/>
  <c r="X25" i="34"/>
  <c r="X29" i="34"/>
  <c r="X33" i="34"/>
  <c r="X34" i="34"/>
  <c r="Z13" i="35"/>
  <c r="Z16" i="35"/>
  <c r="Z20" i="35"/>
  <c r="X22" i="35"/>
  <c r="X24" i="35"/>
  <c r="N16" i="37"/>
  <c r="X29" i="37"/>
  <c r="Z15" i="38"/>
  <c r="N33" i="38"/>
  <c r="X16" i="41"/>
  <c r="N15" i="31"/>
  <c r="L21" i="31"/>
  <c r="L16" i="32"/>
  <c r="L20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Z13" i="37"/>
  <c r="L20" i="37"/>
  <c r="Z21" i="37"/>
  <c r="V21" i="38"/>
  <c r="V36" i="38"/>
  <c r="V34" i="38"/>
  <c r="V33" i="38"/>
  <c r="V31" i="38"/>
  <c r="V29" i="38"/>
  <c r="V27" i="38"/>
  <c r="V25" i="38"/>
  <c r="V18" i="38"/>
  <c r="T18" i="38"/>
  <c r="Z12" i="38"/>
  <c r="V15" i="38"/>
  <c r="V22" i="38"/>
  <c r="V20" i="38"/>
  <c r="V16" i="38"/>
  <c r="V24" i="38"/>
  <c r="L21" i="38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X16" i="37"/>
  <c r="N20" i="37"/>
  <c r="X24" i="37"/>
  <c r="X33" i="37"/>
  <c r="N24" i="38"/>
  <c r="Z33" i="38"/>
  <c r="X20" i="41"/>
  <c r="L15" i="44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Z12" i="35"/>
  <c r="L15" i="35"/>
  <c r="Z25" i="35"/>
  <c r="Z29" i="35"/>
  <c r="Z33" i="35"/>
  <c r="Z34" i="35"/>
  <c r="Z16" i="37"/>
  <c r="N13" i="38"/>
  <c r="N13" i="31"/>
  <c r="N22" i="31"/>
  <c r="N24" i="31"/>
  <c r="L13" i="32"/>
  <c r="N21" i="32"/>
  <c r="L25" i="32"/>
  <c r="L29" i="32"/>
  <c r="L33" i="32"/>
  <c r="L34" i="32"/>
  <c r="N15" i="34"/>
  <c r="L21" i="34"/>
  <c r="L16" i="35"/>
  <c r="L20" i="35"/>
  <c r="X20" i="37"/>
  <c r="L22" i="37"/>
  <c r="Z24" i="37"/>
  <c r="X21" i="38"/>
  <c r="N29" i="38"/>
  <c r="N34" i="38"/>
  <c r="L16" i="43"/>
  <c r="N15" i="37"/>
  <c r="L21" i="37"/>
  <c r="L16" i="38"/>
  <c r="L20" i="38"/>
  <c r="Z13" i="40"/>
  <c r="Z16" i="40"/>
  <c r="Z20" i="40"/>
  <c r="X22" i="40"/>
  <c r="X24" i="40"/>
  <c r="J24" i="41"/>
  <c r="J22" i="41"/>
  <c r="J21" i="41"/>
  <c r="J20" i="41"/>
  <c r="J18" i="41"/>
  <c r="J16" i="41"/>
  <c r="H18" i="41"/>
  <c r="J15" i="41"/>
  <c r="N12" i="41"/>
  <c r="J36" i="41"/>
  <c r="J34" i="41"/>
  <c r="J33" i="41"/>
  <c r="J31" i="41"/>
  <c r="J29" i="41"/>
  <c r="J27" i="41"/>
  <c r="J25" i="41"/>
  <c r="X13" i="41"/>
  <c r="Z15" i="41"/>
  <c r="X21" i="41"/>
  <c r="X13" i="43"/>
  <c r="N16" i="43"/>
  <c r="L12" i="44"/>
  <c r="F36" i="44"/>
  <c r="F34" i="44"/>
  <c r="F33" i="44"/>
  <c r="F31" i="44"/>
  <c r="F29" i="44"/>
  <c r="F27" i="44"/>
  <c r="F25" i="44"/>
  <c r="D18" i="44"/>
  <c r="F15" i="44"/>
  <c r="F21" i="44"/>
  <c r="F16" i="44"/>
  <c r="F22" i="44"/>
  <c r="F18" i="44"/>
  <c r="F24" i="44"/>
  <c r="F20" i="44"/>
  <c r="N15" i="44"/>
  <c r="X16" i="44"/>
  <c r="R20" i="46"/>
  <c r="R18" i="46"/>
  <c r="R16" i="46"/>
  <c r="X12" i="46"/>
  <c r="R22" i="46"/>
  <c r="R34" i="46"/>
  <c r="R36" i="46"/>
  <c r="R25" i="46"/>
  <c r="R15" i="46"/>
  <c r="R27" i="46"/>
  <c r="R29" i="46"/>
  <c r="P18" i="46"/>
  <c r="R31" i="46"/>
  <c r="R24" i="46"/>
  <c r="R33" i="46"/>
  <c r="R21" i="46"/>
  <c r="Z20" i="46"/>
  <c r="Z15" i="52"/>
  <c r="Z21" i="40"/>
  <c r="X25" i="40"/>
  <c r="X29" i="40"/>
  <c r="X33" i="40"/>
  <c r="X34" i="40"/>
  <c r="Z13" i="41"/>
  <c r="Z16" i="41"/>
  <c r="Z20" i="41"/>
  <c r="X22" i="41"/>
  <c r="X24" i="41"/>
  <c r="Z13" i="43"/>
  <c r="N21" i="43"/>
  <c r="X22" i="43"/>
  <c r="L25" i="43"/>
  <c r="J21" i="44"/>
  <c r="J16" i="44"/>
  <c r="J33" i="44"/>
  <c r="J27" i="44"/>
  <c r="J22" i="44"/>
  <c r="J18" i="44"/>
  <c r="H18" i="44"/>
  <c r="J34" i="44"/>
  <c r="J29" i="44"/>
  <c r="J24" i="44"/>
  <c r="J20" i="44"/>
  <c r="N12" i="44"/>
  <c r="J15" i="44"/>
  <c r="J36" i="44"/>
  <c r="J31" i="44"/>
  <c r="J25" i="44"/>
  <c r="N20" i="44"/>
  <c r="X21" i="44"/>
  <c r="L24" i="44"/>
  <c r="N22" i="47"/>
  <c r="L13" i="37"/>
  <c r="N21" i="37"/>
  <c r="L25" i="37"/>
  <c r="L29" i="37"/>
  <c r="L33" i="37"/>
  <c r="L34" i="37"/>
  <c r="N16" i="38"/>
  <c r="N20" i="38"/>
  <c r="L22" i="38"/>
  <c r="L24" i="38"/>
  <c r="P18" i="40"/>
  <c r="R15" i="40"/>
  <c r="X12" i="40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Z22" i="40"/>
  <c r="Z24" i="40"/>
  <c r="Z21" i="41"/>
  <c r="X25" i="41"/>
  <c r="X29" i="41"/>
  <c r="X33" i="41"/>
  <c r="X34" i="41"/>
  <c r="Z22" i="43"/>
  <c r="Z21" i="44"/>
  <c r="X25" i="44"/>
  <c r="L29" i="44"/>
  <c r="L34" i="44"/>
  <c r="N29" i="46"/>
  <c r="N13" i="37"/>
  <c r="N22" i="37"/>
  <c r="N24" i="37"/>
  <c r="L13" i="38"/>
  <c r="N21" i="38"/>
  <c r="L25" i="38"/>
  <c r="L29" i="38"/>
  <c r="L33" i="38"/>
  <c r="L34" i="38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F20" i="43"/>
  <c r="F18" i="43"/>
  <c r="F16" i="43"/>
  <c r="F33" i="43"/>
  <c r="F27" i="43"/>
  <c r="F22" i="43"/>
  <c r="D18" i="43"/>
  <c r="F34" i="43"/>
  <c r="F29" i="43"/>
  <c r="F24" i="43"/>
  <c r="L12" i="43"/>
  <c r="F15" i="43"/>
  <c r="F36" i="43"/>
  <c r="F31" i="43"/>
  <c r="F25" i="43"/>
  <c r="F21" i="43"/>
  <c r="X16" i="43"/>
  <c r="L20" i="43"/>
  <c r="T18" i="44"/>
  <c r="V15" i="44"/>
  <c r="V36" i="44"/>
  <c r="V34" i="44"/>
  <c r="V33" i="44"/>
  <c r="V31" i="44"/>
  <c r="V29" i="44"/>
  <c r="V27" i="44"/>
  <c r="V25" i="44"/>
  <c r="V21" i="44"/>
  <c r="V18" i="44"/>
  <c r="V24" i="44"/>
  <c r="V20" i="44"/>
  <c r="Z12" i="44"/>
  <c r="V16" i="44"/>
  <c r="V22" i="44"/>
  <c r="X15" i="44"/>
  <c r="Z25" i="44"/>
  <c r="N29" i="44"/>
  <c r="N34" i="44"/>
  <c r="N15" i="46"/>
  <c r="X25" i="47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N12" i="43"/>
  <c r="J24" i="43"/>
  <c r="J22" i="43"/>
  <c r="J18" i="43"/>
  <c r="H18" i="43"/>
  <c r="J34" i="43"/>
  <c r="J29" i="43"/>
  <c r="J20" i="43"/>
  <c r="J15" i="43"/>
  <c r="J36" i="43"/>
  <c r="J31" i="43"/>
  <c r="J25" i="43"/>
  <c r="J21" i="43"/>
  <c r="J16" i="43"/>
  <c r="J33" i="43"/>
  <c r="J27" i="43"/>
  <c r="N20" i="43"/>
  <c r="X21" i="43"/>
  <c r="L24" i="43"/>
  <c r="X20" i="44"/>
  <c r="N15" i="40"/>
  <c r="L21" i="40"/>
  <c r="L16" i="41"/>
  <c r="L20" i="41"/>
  <c r="Z16" i="43"/>
  <c r="L29" i="43"/>
  <c r="L34" i="43"/>
  <c r="Z15" i="44"/>
  <c r="L22" i="44"/>
  <c r="Z22" i="46"/>
  <c r="J21" i="37"/>
  <c r="J20" i="37"/>
  <c r="J18" i="37"/>
  <c r="J16" i="37"/>
  <c r="J27" i="37"/>
  <c r="J36" i="37"/>
  <c r="J33" i="37"/>
  <c r="J24" i="37"/>
  <c r="J29" i="37"/>
  <c r="J25" i="37"/>
  <c r="J34" i="37"/>
  <c r="H18" i="37"/>
  <c r="N12" i="37"/>
  <c r="J31" i="37"/>
  <c r="J22" i="37"/>
  <c r="J15" i="37"/>
  <c r="X13" i="37"/>
  <c r="Z15" i="37"/>
  <c r="X21" i="37"/>
  <c r="F24" i="38"/>
  <c r="F22" i="38"/>
  <c r="F21" i="38"/>
  <c r="D18" i="38"/>
  <c r="F15" i="38"/>
  <c r="F16" i="38"/>
  <c r="F34" i="38"/>
  <c r="F29" i="38"/>
  <c r="F33" i="38"/>
  <c r="F27" i="38"/>
  <c r="F18" i="38"/>
  <c r="L12" i="38"/>
  <c r="F36" i="38"/>
  <c r="F31" i="38"/>
  <c r="F25" i="38"/>
  <c r="F20" i="38"/>
  <c r="X16" i="38"/>
  <c r="X20" i="38"/>
  <c r="N16" i="40"/>
  <c r="N20" i="40"/>
  <c r="L22" i="40"/>
  <c r="L24" i="40"/>
  <c r="N15" i="41"/>
  <c r="L21" i="41"/>
  <c r="R24" i="43"/>
  <c r="R22" i="43"/>
  <c r="R34" i="43"/>
  <c r="R29" i="43"/>
  <c r="R20" i="43"/>
  <c r="R15" i="43"/>
  <c r="X12" i="43"/>
  <c r="R36" i="43"/>
  <c r="R31" i="43"/>
  <c r="R25" i="43"/>
  <c r="R21" i="43"/>
  <c r="R16" i="43"/>
  <c r="R33" i="43"/>
  <c r="R27" i="43"/>
  <c r="R18" i="43"/>
  <c r="P18" i="43"/>
  <c r="N24" i="43"/>
  <c r="L13" i="44"/>
  <c r="X29" i="44"/>
  <c r="L33" i="44"/>
  <c r="X34" i="44"/>
  <c r="L13" i="40"/>
  <c r="N21" i="40"/>
  <c r="L25" i="40"/>
  <c r="L29" i="40"/>
  <c r="L33" i="40"/>
  <c r="L34" i="40"/>
  <c r="N16" i="41"/>
  <c r="N20" i="41"/>
  <c r="L22" i="41"/>
  <c r="L24" i="41"/>
  <c r="X20" i="43"/>
  <c r="Z29" i="44"/>
  <c r="N33" i="44"/>
  <c r="Z34" i="44"/>
  <c r="X24" i="38"/>
  <c r="N13" i="40"/>
  <c r="N22" i="40"/>
  <c r="N24" i="40"/>
  <c r="L13" i="41"/>
  <c r="N21" i="41"/>
  <c r="L25" i="41"/>
  <c r="L29" i="41"/>
  <c r="L33" i="41"/>
  <c r="L34" i="41"/>
  <c r="Z15" i="43"/>
  <c r="L22" i="43"/>
  <c r="L21" i="44"/>
  <c r="N13" i="47"/>
  <c r="Z21" i="38"/>
  <c r="X25" i="38"/>
  <c r="X29" i="38"/>
  <c r="X33" i="38"/>
  <c r="X34" i="38"/>
  <c r="X15" i="40"/>
  <c r="N25" i="40"/>
  <c r="N29" i="40"/>
  <c r="N33" i="40"/>
  <c r="N34" i="40"/>
  <c r="N13" i="41"/>
  <c r="N22" i="41"/>
  <c r="N24" i="41"/>
  <c r="L13" i="43"/>
  <c r="Z20" i="43"/>
  <c r="X24" i="43"/>
  <c r="L33" i="43"/>
  <c r="X13" i="44"/>
  <c r="N16" i="44"/>
  <c r="L25" i="46"/>
  <c r="Z15" i="47"/>
  <c r="V24" i="37"/>
  <c r="V22" i="37"/>
  <c r="Z12" i="37"/>
  <c r="V33" i="37"/>
  <c r="V16" i="37"/>
  <c r="V29" i="37"/>
  <c r="V21" i="37"/>
  <c r="V25" i="37"/>
  <c r="V34" i="37"/>
  <c r="V18" i="37"/>
  <c r="T18" i="37"/>
  <c r="V31" i="37"/>
  <c r="V15" i="37"/>
  <c r="V27" i="37"/>
  <c r="V36" i="37"/>
  <c r="V20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P18" i="38"/>
  <c r="R15" i="38"/>
  <c r="X12" i="38"/>
  <c r="R18" i="38"/>
  <c r="R20" i="38"/>
  <c r="R16" i="38"/>
  <c r="R21" i="38"/>
  <c r="Z22" i="38"/>
  <c r="Z24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N25" i="41"/>
  <c r="N29" i="41"/>
  <c r="N33" i="41"/>
  <c r="N34" i="41"/>
  <c r="N13" i="43"/>
  <c r="N22" i="43"/>
  <c r="Z24" i="43"/>
  <c r="N21" i="44"/>
  <c r="L25" i="44"/>
  <c r="X33" i="44"/>
  <c r="N20" i="46"/>
  <c r="Z25" i="46"/>
  <c r="F36" i="49"/>
  <c r="F25" i="49"/>
  <c r="F16" i="49"/>
  <c r="L12" i="49"/>
  <c r="F29" i="49"/>
  <c r="F18" i="49"/>
  <c r="F31" i="49"/>
  <c r="D18" i="49"/>
  <c r="F33" i="49"/>
  <c r="F21" i="49"/>
  <c r="F34" i="49"/>
  <c r="F27" i="49"/>
  <c r="F15" i="49"/>
  <c r="F20" i="49"/>
  <c r="F24" i="49"/>
  <c r="F22" i="49"/>
  <c r="V20" i="43"/>
  <c r="V18" i="43"/>
  <c r="V16" i="43"/>
  <c r="Z12" i="43"/>
  <c r="V24" i="43"/>
  <c r="V22" i="43"/>
  <c r="V15" i="43"/>
  <c r="V36" i="43"/>
  <c r="V31" i="43"/>
  <c r="V25" i="43"/>
  <c r="V21" i="43"/>
  <c r="V33" i="43"/>
  <c r="V27" i="43"/>
  <c r="T18" i="43"/>
  <c r="V34" i="43"/>
  <c r="V29" i="43"/>
  <c r="L15" i="43"/>
  <c r="Z25" i="43"/>
  <c r="Z29" i="43"/>
  <c r="Z33" i="43"/>
  <c r="Z34" i="43"/>
  <c r="R21" i="44"/>
  <c r="X12" i="44"/>
  <c r="R36" i="44"/>
  <c r="R34" i="44"/>
  <c r="R33" i="44"/>
  <c r="R31" i="44"/>
  <c r="R29" i="44"/>
  <c r="R27" i="44"/>
  <c r="R25" i="44"/>
  <c r="R22" i="44"/>
  <c r="R18" i="44"/>
  <c r="P18" i="44"/>
  <c r="R24" i="44"/>
  <c r="R20" i="44"/>
  <c r="R15" i="44"/>
  <c r="R16" i="44"/>
  <c r="Z22" i="44"/>
  <c r="Z24" i="44"/>
  <c r="L15" i="46"/>
  <c r="N16" i="46"/>
  <c r="X20" i="46"/>
  <c r="Z21" i="46"/>
  <c r="Z33" i="46"/>
  <c r="N21" i="47"/>
  <c r="X24" i="47"/>
  <c r="N33" i="47"/>
  <c r="X13" i="47"/>
  <c r="N20" i="47"/>
  <c r="X34" i="47"/>
  <c r="N29" i="50"/>
  <c r="N15" i="43"/>
  <c r="L21" i="43"/>
  <c r="L16" i="44"/>
  <c r="L20" i="44"/>
  <c r="V36" i="46"/>
  <c r="V34" i="46"/>
  <c r="V33" i="46"/>
  <c r="V31" i="46"/>
  <c r="V29" i="46"/>
  <c r="V27" i="46"/>
  <c r="V25" i="46"/>
  <c r="V24" i="46"/>
  <c r="V15" i="46"/>
  <c r="V16" i="46"/>
  <c r="V18" i="46"/>
  <c r="T18" i="46"/>
  <c r="Z12" i="46"/>
  <c r="V20" i="46"/>
  <c r="V22" i="46"/>
  <c r="V21" i="46"/>
  <c r="L24" i="46"/>
  <c r="X29" i="46"/>
  <c r="Z13" i="47"/>
  <c r="X22" i="47"/>
  <c r="Z24" i="47"/>
  <c r="L29" i="47"/>
  <c r="L13" i="49"/>
  <c r="J21" i="50"/>
  <c r="J31" i="50"/>
  <c r="J20" i="50"/>
  <c r="J33" i="50"/>
  <c r="J22" i="50"/>
  <c r="J34" i="50"/>
  <c r="J24" i="50"/>
  <c r="J36" i="50"/>
  <c r="J25" i="50"/>
  <c r="J15" i="50"/>
  <c r="J27" i="50"/>
  <c r="J16" i="50"/>
  <c r="J29" i="50"/>
  <c r="J18" i="50"/>
  <c r="N12" i="50"/>
  <c r="H18" i="50"/>
  <c r="N25" i="46"/>
  <c r="L34" i="46"/>
  <c r="J36" i="47"/>
  <c r="J34" i="47"/>
  <c r="J33" i="47"/>
  <c r="J31" i="47"/>
  <c r="J29" i="47"/>
  <c r="J27" i="47"/>
  <c r="J25" i="47"/>
  <c r="J24" i="47"/>
  <c r="J15" i="47"/>
  <c r="J16" i="47"/>
  <c r="N12" i="47"/>
  <c r="J18" i="47"/>
  <c r="H18" i="47"/>
  <c r="J20" i="47"/>
  <c r="J21" i="47"/>
  <c r="J22" i="47"/>
  <c r="L16" i="47"/>
  <c r="X21" i="47"/>
  <c r="X33" i="47"/>
  <c r="X16" i="46"/>
  <c r="L22" i="46"/>
  <c r="N24" i="46"/>
  <c r="Z29" i="46"/>
  <c r="Z22" i="47"/>
  <c r="N29" i="47"/>
  <c r="Z13" i="49"/>
  <c r="X24" i="49"/>
  <c r="N21" i="50"/>
  <c r="Z13" i="53"/>
  <c r="L13" i="46"/>
  <c r="X15" i="46"/>
  <c r="Z16" i="46"/>
  <c r="L21" i="46"/>
  <c r="L33" i="46"/>
  <c r="N34" i="46"/>
  <c r="N16" i="47"/>
  <c r="Z21" i="47"/>
  <c r="X21" i="50"/>
  <c r="X33" i="50"/>
  <c r="X15" i="43"/>
  <c r="N25" i="43"/>
  <c r="N29" i="43"/>
  <c r="N33" i="43"/>
  <c r="N34" i="43"/>
  <c r="N13" i="44"/>
  <c r="N22" i="44"/>
  <c r="N24" i="44"/>
  <c r="N13" i="46"/>
  <c r="N22" i="46"/>
  <c r="X25" i="46"/>
  <c r="P18" i="47"/>
  <c r="R15" i="47"/>
  <c r="R27" i="47"/>
  <c r="R16" i="47"/>
  <c r="R29" i="47"/>
  <c r="R18" i="47"/>
  <c r="X12" i="47"/>
  <c r="R31" i="47"/>
  <c r="R20" i="47"/>
  <c r="R33" i="47"/>
  <c r="R21" i="47"/>
  <c r="R22" i="47"/>
  <c r="R34" i="47"/>
  <c r="R24" i="47"/>
  <c r="R36" i="47"/>
  <c r="R25" i="47"/>
  <c r="N15" i="47"/>
  <c r="Z20" i="47"/>
  <c r="L25" i="47"/>
  <c r="L33" i="49"/>
  <c r="Z21" i="50"/>
  <c r="N16" i="53"/>
  <c r="N21" i="46"/>
  <c r="X24" i="46"/>
  <c r="N33" i="46"/>
  <c r="L24" i="47"/>
  <c r="X29" i="47"/>
  <c r="L21" i="49"/>
  <c r="L25" i="52"/>
  <c r="Z16" i="53"/>
  <c r="X34" i="46"/>
  <c r="N25" i="47"/>
  <c r="L34" i="47"/>
  <c r="N21" i="49"/>
  <c r="L34" i="49"/>
  <c r="L16" i="50"/>
  <c r="J36" i="52"/>
  <c r="J34" i="52"/>
  <c r="J33" i="52"/>
  <c r="J31" i="52"/>
  <c r="J29" i="52"/>
  <c r="J27" i="52"/>
  <c r="J25" i="52"/>
  <c r="J24" i="52"/>
  <c r="J22" i="52"/>
  <c r="J21" i="52"/>
  <c r="H18" i="52"/>
  <c r="J15" i="52"/>
  <c r="J20" i="52"/>
  <c r="J16" i="52"/>
  <c r="J18" i="52"/>
  <c r="N12" i="52"/>
  <c r="Z13" i="46"/>
  <c r="X22" i="46"/>
  <c r="Z24" i="46"/>
  <c r="L29" i="46"/>
  <c r="L22" i="47"/>
  <c r="N24" i="47"/>
  <c r="N16" i="49"/>
  <c r="Z21" i="49"/>
  <c r="N16" i="50"/>
  <c r="R21" i="52"/>
  <c r="P18" i="52"/>
  <c r="R15" i="52"/>
  <c r="R36" i="52"/>
  <c r="R20" i="52"/>
  <c r="R33" i="52"/>
  <c r="R24" i="52"/>
  <c r="R16" i="52"/>
  <c r="R29" i="52"/>
  <c r="R25" i="52"/>
  <c r="R34" i="52"/>
  <c r="R18" i="52"/>
  <c r="X12" i="52"/>
  <c r="R27" i="52"/>
  <c r="R22" i="52"/>
  <c r="R31" i="52"/>
  <c r="N20" i="53"/>
  <c r="Z21" i="43"/>
  <c r="X25" i="43"/>
  <c r="X29" i="43"/>
  <c r="X33" i="43"/>
  <c r="X34" i="43"/>
  <c r="Z13" i="44"/>
  <c r="Z16" i="44"/>
  <c r="Z20" i="44"/>
  <c r="X22" i="44"/>
  <c r="X24" i="44"/>
  <c r="D18" i="46"/>
  <c r="F15" i="46"/>
  <c r="F29" i="46"/>
  <c r="F18" i="46"/>
  <c r="F31" i="46"/>
  <c r="F20" i="46"/>
  <c r="F33" i="46"/>
  <c r="F21" i="46"/>
  <c r="F22" i="46"/>
  <c r="F34" i="46"/>
  <c r="F24" i="46"/>
  <c r="F36" i="46"/>
  <c r="F25" i="46"/>
  <c r="F27" i="46"/>
  <c r="F16" i="46"/>
  <c r="L12" i="46"/>
  <c r="X33" i="46"/>
  <c r="Z34" i="46"/>
  <c r="L13" i="47"/>
  <c r="X15" i="47"/>
  <c r="Z16" i="47"/>
  <c r="L21" i="47"/>
  <c r="L33" i="47"/>
  <c r="N34" i="47"/>
  <c r="X16" i="49"/>
  <c r="N15" i="52"/>
  <c r="Z21" i="53"/>
  <c r="L16" i="46"/>
  <c r="L20" i="46"/>
  <c r="V24" i="47"/>
  <c r="V22" i="47"/>
  <c r="V29" i="47"/>
  <c r="V18" i="47"/>
  <c r="T18" i="47"/>
  <c r="Z12" i="47"/>
  <c r="V31" i="47"/>
  <c r="V20" i="47"/>
  <c r="V21" i="47"/>
  <c r="V33" i="47"/>
  <c r="V34" i="47"/>
  <c r="V36" i="47"/>
  <c r="V25" i="47"/>
  <c r="V15" i="47"/>
  <c r="V16" i="47"/>
  <c r="V27" i="47"/>
  <c r="L15" i="47"/>
  <c r="Z25" i="47"/>
  <c r="Z29" i="47"/>
  <c r="Z33" i="47"/>
  <c r="Z34" i="47"/>
  <c r="L22" i="49"/>
  <c r="N24" i="49"/>
  <c r="L15" i="50"/>
  <c r="X20" i="50"/>
  <c r="Z33" i="50"/>
  <c r="L34" i="52"/>
  <c r="X16" i="53"/>
  <c r="L20" i="53"/>
  <c r="X24" i="53"/>
  <c r="N13" i="49"/>
  <c r="Z15" i="49"/>
  <c r="L20" i="49"/>
  <c r="N22" i="49"/>
  <c r="X25" i="49"/>
  <c r="V21" i="50"/>
  <c r="V24" i="50"/>
  <c r="V36" i="50"/>
  <c r="V25" i="50"/>
  <c r="V27" i="50"/>
  <c r="V16" i="50"/>
  <c r="V29" i="50"/>
  <c r="V18" i="50"/>
  <c r="T18" i="50"/>
  <c r="Z12" i="50"/>
  <c r="V31" i="50"/>
  <c r="V20" i="50"/>
  <c r="V22" i="50"/>
  <c r="V34" i="50"/>
  <c r="V15" i="50"/>
  <c r="V33" i="50"/>
  <c r="N15" i="50"/>
  <c r="Z20" i="50"/>
  <c r="L25" i="50"/>
  <c r="T18" i="52"/>
  <c r="V15" i="52"/>
  <c r="V33" i="52"/>
  <c r="V24" i="52"/>
  <c r="V16" i="52"/>
  <c r="V29" i="52"/>
  <c r="V21" i="52"/>
  <c r="V25" i="52"/>
  <c r="V34" i="52"/>
  <c r="V18" i="52"/>
  <c r="Z12" i="52"/>
  <c r="V31" i="52"/>
  <c r="V22" i="52"/>
  <c r="V36" i="52"/>
  <c r="V27" i="52"/>
  <c r="V20" i="52"/>
  <c r="Z22" i="52"/>
  <c r="X34" i="52"/>
  <c r="L15" i="53"/>
  <c r="X20" i="53"/>
  <c r="Z24" i="53"/>
  <c r="N34" i="53"/>
  <c r="L24" i="50"/>
  <c r="N25" i="50"/>
  <c r="X29" i="50"/>
  <c r="L21" i="52"/>
  <c r="X25" i="52"/>
  <c r="L29" i="52"/>
  <c r="F27" i="53"/>
  <c r="F25" i="53"/>
  <c r="F29" i="53"/>
  <c r="F24" i="53"/>
  <c r="F22" i="53"/>
  <c r="F20" i="53"/>
  <c r="F18" i="53"/>
  <c r="F16" i="53"/>
  <c r="F33" i="53"/>
  <c r="F21" i="53"/>
  <c r="F36" i="53"/>
  <c r="D18" i="53"/>
  <c r="L12" i="53"/>
  <c r="F15" i="53"/>
  <c r="F31" i="53"/>
  <c r="F34" i="53"/>
  <c r="Z20" i="53"/>
  <c r="L22" i="53"/>
  <c r="X13" i="49"/>
  <c r="N20" i="49"/>
  <c r="X34" i="49"/>
  <c r="X16" i="50"/>
  <c r="Z29" i="50"/>
  <c r="L34" i="50"/>
  <c r="N21" i="52"/>
  <c r="Z34" i="52"/>
  <c r="X34" i="53"/>
  <c r="X22" i="49"/>
  <c r="Z24" i="49"/>
  <c r="L29" i="49"/>
  <c r="X15" i="50"/>
  <c r="L22" i="50"/>
  <c r="N34" i="50"/>
  <c r="L13" i="52"/>
  <c r="L16" i="52"/>
  <c r="X21" i="52"/>
  <c r="Z25" i="52"/>
  <c r="X29" i="52"/>
  <c r="L33" i="52"/>
  <c r="X22" i="53"/>
  <c r="J24" i="49"/>
  <c r="J22" i="49"/>
  <c r="J15" i="49"/>
  <c r="J27" i="49"/>
  <c r="J16" i="49"/>
  <c r="J29" i="49"/>
  <c r="J18" i="49"/>
  <c r="H18" i="49"/>
  <c r="J31" i="49"/>
  <c r="J20" i="49"/>
  <c r="J21" i="49"/>
  <c r="J33" i="49"/>
  <c r="J34" i="49"/>
  <c r="J25" i="49"/>
  <c r="N12" i="49"/>
  <c r="J36" i="49"/>
  <c r="L16" i="49"/>
  <c r="X21" i="49"/>
  <c r="X33" i="49"/>
  <c r="L13" i="50"/>
  <c r="Z16" i="50"/>
  <c r="L21" i="50"/>
  <c r="L33" i="50"/>
  <c r="X13" i="52"/>
  <c r="Z21" i="52"/>
  <c r="R31" i="53"/>
  <c r="R20" i="53"/>
  <c r="R18" i="53"/>
  <c r="R16" i="53"/>
  <c r="R33" i="53"/>
  <c r="R34" i="53"/>
  <c r="R36" i="53"/>
  <c r="R21" i="53"/>
  <c r="R29" i="53"/>
  <c r="R25" i="53"/>
  <c r="X12" i="53"/>
  <c r="P18" i="53"/>
  <c r="R22" i="53"/>
  <c r="R15" i="53"/>
  <c r="R27" i="53"/>
  <c r="R24" i="53"/>
  <c r="J31" i="46"/>
  <c r="H18" i="46"/>
  <c r="J20" i="46"/>
  <c r="J33" i="46"/>
  <c r="J22" i="46"/>
  <c r="J34" i="46"/>
  <c r="J24" i="46"/>
  <c r="J36" i="46"/>
  <c r="J25" i="46"/>
  <c r="J27" i="46"/>
  <c r="J15" i="46"/>
  <c r="J29" i="46"/>
  <c r="N12" i="46"/>
  <c r="J18" i="46"/>
  <c r="J16" i="46"/>
  <c r="J21" i="46"/>
  <c r="X13" i="46"/>
  <c r="Z15" i="46"/>
  <c r="X21" i="46"/>
  <c r="F22" i="47"/>
  <c r="F34" i="47"/>
  <c r="F24" i="47"/>
  <c r="F36" i="47"/>
  <c r="F25" i="47"/>
  <c r="F27" i="47"/>
  <c r="F15" i="47"/>
  <c r="F16" i="47"/>
  <c r="L12" i="47"/>
  <c r="F29" i="47"/>
  <c r="F18" i="47"/>
  <c r="F31" i="47"/>
  <c r="D18" i="47"/>
  <c r="F20" i="47"/>
  <c r="F33" i="47"/>
  <c r="F21" i="47"/>
  <c r="X16" i="47"/>
  <c r="X20" i="47"/>
  <c r="X20" i="49"/>
  <c r="Z22" i="49"/>
  <c r="Z15" i="50"/>
  <c r="L20" i="50"/>
  <c r="X25" i="50"/>
  <c r="N33" i="50"/>
  <c r="L20" i="52"/>
  <c r="Z29" i="52"/>
  <c r="X33" i="52"/>
  <c r="V33" i="53"/>
  <c r="V34" i="53"/>
  <c r="V36" i="53"/>
  <c r="Z12" i="53"/>
  <c r="V18" i="53"/>
  <c r="V22" i="53"/>
  <c r="T18" i="53"/>
  <c r="V15" i="53"/>
  <c r="V31" i="53"/>
  <c r="V27" i="53"/>
  <c r="V20" i="53"/>
  <c r="V24" i="53"/>
  <c r="V16" i="53"/>
  <c r="V21" i="53"/>
  <c r="V29" i="53"/>
  <c r="V25" i="53"/>
  <c r="Z22" i="53"/>
  <c r="L29" i="53"/>
  <c r="X24" i="50"/>
  <c r="Z25" i="50"/>
  <c r="X25" i="53"/>
  <c r="R18" i="49"/>
  <c r="X12" i="49"/>
  <c r="R31" i="49"/>
  <c r="P18" i="49"/>
  <c r="R33" i="49"/>
  <c r="R21" i="49"/>
  <c r="R22" i="49"/>
  <c r="R34" i="49"/>
  <c r="R24" i="49"/>
  <c r="R36" i="49"/>
  <c r="R16" i="49"/>
  <c r="R25" i="49"/>
  <c r="R15" i="49"/>
  <c r="R20" i="49"/>
  <c r="R29" i="49"/>
  <c r="R27" i="49"/>
  <c r="N15" i="49"/>
  <c r="Z20" i="49"/>
  <c r="L25" i="49"/>
  <c r="X13" i="50"/>
  <c r="N20" i="50"/>
  <c r="X34" i="50"/>
  <c r="L15" i="52"/>
  <c r="Z24" i="52"/>
  <c r="Z33" i="52"/>
  <c r="L24" i="49"/>
  <c r="X29" i="49"/>
  <c r="F36" i="50"/>
  <c r="F34" i="50"/>
  <c r="F33" i="50"/>
  <c r="F31" i="50"/>
  <c r="F29" i="50"/>
  <c r="F27" i="50"/>
  <c r="F25" i="50"/>
  <c r="F18" i="50"/>
  <c r="D18" i="50"/>
  <c r="F21" i="50"/>
  <c r="F22" i="50"/>
  <c r="F24" i="50"/>
  <c r="F16" i="50"/>
  <c r="L12" i="50"/>
  <c r="F15" i="50"/>
  <c r="F20" i="50"/>
  <c r="Z13" i="50"/>
  <c r="X22" i="50"/>
  <c r="L29" i="50"/>
  <c r="Z34" i="50"/>
  <c r="L16" i="53"/>
  <c r="L24" i="53"/>
  <c r="Z25" i="53"/>
  <c r="Z29" i="53"/>
  <c r="Z33" i="53"/>
  <c r="V24" i="49"/>
  <c r="V22" i="49"/>
  <c r="V31" i="49"/>
  <c r="V20" i="49"/>
  <c r="V21" i="49"/>
  <c r="V34" i="49"/>
  <c r="V36" i="49"/>
  <c r="V25" i="49"/>
  <c r="V27" i="49"/>
  <c r="V16" i="49"/>
  <c r="V29" i="49"/>
  <c r="V18" i="49"/>
  <c r="V15" i="49"/>
  <c r="V33" i="49"/>
  <c r="T18" i="49"/>
  <c r="Z12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15" i="50"/>
  <c r="R16" i="50"/>
  <c r="R18" i="50"/>
  <c r="X12" i="50"/>
  <c r="P18" i="50"/>
  <c r="R21" i="50"/>
  <c r="R22" i="50"/>
  <c r="R20" i="50"/>
  <c r="Z22" i="50"/>
  <c r="Z24" i="50"/>
  <c r="N16" i="52"/>
  <c r="N20" i="52"/>
  <c r="L22" i="52"/>
  <c r="L24" i="52"/>
  <c r="N15" i="53"/>
  <c r="L21" i="53"/>
  <c r="N33" i="53"/>
  <c r="N13" i="52"/>
  <c r="N22" i="52"/>
  <c r="N24" i="52"/>
  <c r="L13" i="53"/>
  <c r="N21" i="53"/>
  <c r="L25" i="53"/>
  <c r="X15" i="52"/>
  <c r="N25" i="52"/>
  <c r="N29" i="52"/>
  <c r="N33" i="52"/>
  <c r="N34" i="52"/>
  <c r="N13" i="53"/>
  <c r="N22" i="53"/>
  <c r="N24" i="53"/>
  <c r="N29" i="53"/>
  <c r="X33" i="53"/>
  <c r="Z34" i="53"/>
  <c r="L12" i="52"/>
  <c r="F36" i="52"/>
  <c r="F34" i="52"/>
  <c r="F33" i="52"/>
  <c r="F31" i="52"/>
  <c r="F29" i="52"/>
  <c r="F27" i="52"/>
  <c r="F25" i="52"/>
  <c r="F21" i="52"/>
  <c r="F15" i="52"/>
  <c r="F20" i="52"/>
  <c r="F24" i="52"/>
  <c r="F16" i="52"/>
  <c r="D18" i="52"/>
  <c r="F22" i="52"/>
  <c r="F18" i="52"/>
  <c r="X16" i="52"/>
  <c r="X20" i="52"/>
  <c r="X15" i="53"/>
  <c r="N25" i="53"/>
  <c r="X15" i="49"/>
  <c r="N25" i="49"/>
  <c r="N29" i="49"/>
  <c r="N33" i="49"/>
  <c r="N34" i="49"/>
  <c r="N13" i="50"/>
  <c r="N22" i="50"/>
  <c r="N24" i="50"/>
  <c r="Z13" i="52"/>
  <c r="Z16" i="52"/>
  <c r="Z20" i="52"/>
  <c r="X22" i="52"/>
  <c r="X24" i="52"/>
  <c r="J29" i="53"/>
  <c r="J24" i="53"/>
  <c r="J22" i="53"/>
  <c r="J31" i="53"/>
  <c r="J21" i="53"/>
  <c r="J20" i="53"/>
  <c r="J18" i="53"/>
  <c r="J16" i="53"/>
  <c r="J33" i="53"/>
  <c r="J36" i="53"/>
  <c r="J25" i="53"/>
  <c r="H18" i="53"/>
  <c r="N12" i="53"/>
  <c r="J15" i="53"/>
  <c r="J34" i="53"/>
  <c r="J27" i="53"/>
  <c r="X13" i="53"/>
  <c r="Z15" i="53"/>
  <c r="X21" i="53"/>
  <c r="X29" i="53"/>
  <c r="L33" i="53"/>
  <c r="L34" i="53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R21" i="111"/>
  <c r="R20" i="111"/>
  <c r="R18" i="111"/>
  <c r="R16" i="111"/>
  <c r="P18" i="111"/>
  <c r="R15" i="111"/>
  <c r="X12" i="111"/>
  <c r="R36" i="111"/>
  <c r="R29" i="111"/>
  <c r="R22" i="111"/>
  <c r="R34" i="111"/>
  <c r="R27" i="111"/>
  <c r="R33" i="111"/>
  <c r="R25" i="111"/>
  <c r="R31" i="111"/>
  <c r="R24" i="111"/>
  <c r="Z24" i="111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T18" i="111"/>
  <c r="V15" i="111"/>
  <c r="Z12" i="111"/>
  <c r="V36" i="111"/>
  <c r="V34" i="111"/>
  <c r="V33" i="111"/>
  <c r="V31" i="111"/>
  <c r="V29" i="111"/>
  <c r="V27" i="111"/>
  <c r="V25" i="111"/>
  <c r="V22" i="111"/>
  <c r="V16" i="111"/>
  <c r="V21" i="111"/>
  <c r="V20" i="111"/>
  <c r="V24" i="111"/>
  <c r="V18" i="111"/>
  <c r="J21" i="113"/>
  <c r="J20" i="113"/>
  <c r="J18" i="113"/>
  <c r="J16" i="113"/>
  <c r="H18" i="113"/>
  <c r="J15" i="113"/>
  <c r="N12" i="113"/>
  <c r="J36" i="113"/>
  <c r="J29" i="113"/>
  <c r="J22" i="113"/>
  <c r="J34" i="113"/>
  <c r="J27" i="113"/>
  <c r="J33" i="113"/>
  <c r="J25" i="113"/>
  <c r="J31" i="113"/>
  <c r="J24" i="113"/>
  <c r="X25" i="111"/>
  <c r="X33" i="111"/>
  <c r="X13" i="112"/>
  <c r="N25" i="113"/>
  <c r="N33" i="113"/>
  <c r="Z13" i="112"/>
  <c r="Z20" i="112"/>
  <c r="X20" i="113"/>
  <c r="L15" i="111"/>
  <c r="Z25" i="111"/>
  <c r="Z33" i="111"/>
  <c r="X25" i="112"/>
  <c r="X33" i="112"/>
  <c r="X13" i="113"/>
  <c r="Z21" i="111"/>
  <c r="X34" i="111"/>
  <c r="Z15" i="112"/>
  <c r="X21" i="112"/>
  <c r="X15" i="113"/>
  <c r="N34" i="113"/>
  <c r="Z34" i="111"/>
  <c r="Z21" i="112"/>
  <c r="X34" i="112"/>
  <c r="Z15" i="113"/>
  <c r="X21" i="113"/>
  <c r="X29" i="111"/>
  <c r="N29" i="113"/>
  <c r="Z22" i="111"/>
  <c r="Z16" i="112"/>
  <c r="X22" i="112"/>
  <c r="X16" i="113"/>
  <c r="Z29" i="111"/>
  <c r="X29" i="112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2" i="112"/>
  <c r="R16" i="112"/>
  <c r="R21" i="112"/>
  <c r="R20" i="112"/>
  <c r="R24" i="112"/>
  <c r="R18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16" i="112"/>
  <c r="V15" i="112"/>
  <c r="V20" i="112"/>
  <c r="V18" i="112"/>
  <c r="T18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16" i="113"/>
  <c r="R15" i="113"/>
  <c r="R20" i="113"/>
  <c r="R18" i="113"/>
  <c r="P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N131" i="3"/>
  <c r="N87" i="3"/>
  <c r="N91" i="3"/>
  <c r="Z89" i="3"/>
  <c r="Z34" i="3"/>
  <c r="P12" i="3"/>
  <c r="D12" i="3"/>
  <c r="Z15" i="3"/>
  <c r="N25" i="3"/>
  <c r="N33" i="3"/>
  <c r="N41" i="3"/>
  <c r="Z47" i="3"/>
  <c r="X70" i="3"/>
  <c r="N77" i="3"/>
  <c r="L87" i="3"/>
  <c r="Z88" i="3"/>
  <c r="N105" i="3"/>
  <c r="Z118" i="3"/>
  <c r="Z130" i="3"/>
  <c r="Z245" i="3"/>
  <c r="Z266" i="3"/>
  <c r="Z70" i="3"/>
  <c r="L16" i="9"/>
  <c r="D92" i="9"/>
  <c r="N39" i="9"/>
  <c r="L39" i="9"/>
  <c r="R260" i="12"/>
  <c r="R221" i="12"/>
  <c r="R202" i="12"/>
  <c r="R201" i="12"/>
  <c r="R193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59" i="12"/>
  <c r="R256" i="12"/>
  <c r="R249" i="12"/>
  <c r="R248" i="12"/>
  <c r="R232" i="12"/>
  <c r="R213" i="12"/>
  <c r="R212" i="12"/>
  <c r="R185" i="12"/>
  <c r="R184" i="12"/>
  <c r="R180" i="12"/>
  <c r="X12" i="12"/>
  <c r="R243" i="12"/>
  <c r="R239" i="12"/>
  <c r="R228" i="12"/>
  <c r="R227" i="12"/>
  <c r="R204" i="12"/>
  <c r="R203" i="12"/>
  <c r="R175" i="12"/>
  <c r="R171" i="12"/>
  <c r="R251" i="12"/>
  <c r="R250" i="12"/>
  <c r="R222" i="12"/>
  <c r="R215" i="12"/>
  <c r="R214" i="12"/>
  <c r="R195" i="12"/>
  <c r="R194" i="12"/>
  <c r="R187" i="12"/>
  <c r="R186" i="12"/>
  <c r="R167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234" i="12"/>
  <c r="R233" i="12"/>
  <c r="R229" i="12"/>
  <c r="R205" i="12"/>
  <c r="R181" i="12"/>
  <c r="R166" i="12"/>
  <c r="R110" i="12"/>
  <c r="R267" i="12"/>
  <c r="R252" i="12"/>
  <c r="R244" i="12"/>
  <c r="R240" i="12"/>
  <c r="R217" i="12"/>
  <c r="R216" i="12"/>
  <c r="R196" i="12"/>
  <c r="R266" i="12"/>
  <c r="R235" i="12"/>
  <c r="R224" i="12"/>
  <c r="R223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65" i="12"/>
  <c r="R230" i="12"/>
  <c r="R219" i="12"/>
  <c r="R218" i="12"/>
  <c r="R207" i="12"/>
  <c r="R206" i="12"/>
  <c r="R182" i="12"/>
  <c r="R178" i="12"/>
  <c r="R271" i="12"/>
  <c r="R264" i="12"/>
  <c r="R253" i="12"/>
  <c r="R246" i="12"/>
  <c r="R245" i="12"/>
  <c r="R241" i="12"/>
  <c r="R225" i="12"/>
  <c r="R198" i="12"/>
  <c r="R197" i="12"/>
  <c r="R190" i="12"/>
  <c r="R189" i="12"/>
  <c r="R173" i="12"/>
  <c r="R169" i="12"/>
  <c r="R263" i="12"/>
  <c r="R237" i="12"/>
  <c r="R236" i="12"/>
  <c r="R220" i="12"/>
  <c r="R209" i="12"/>
  <c r="R208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62" i="12"/>
  <c r="R247" i="12"/>
  <c r="R231" i="12"/>
  <c r="R200" i="12"/>
  <c r="R199" i="12"/>
  <c r="R192" i="12"/>
  <c r="R191" i="12"/>
  <c r="R183" i="12"/>
  <c r="R179" i="12"/>
  <c r="R242" i="12"/>
  <c r="R170" i="12"/>
  <c r="R261" i="12"/>
  <c r="R255" i="12"/>
  <c r="R172" i="12"/>
  <c r="R174" i="12"/>
  <c r="R211" i="12"/>
  <c r="R176" i="12"/>
  <c r="P164" i="12"/>
  <c r="R177" i="12"/>
  <c r="R254" i="12"/>
  <c r="R238" i="12"/>
  <c r="R226" i="12"/>
  <c r="R188" i="12"/>
  <c r="R210" i="12"/>
  <c r="T12" i="3"/>
  <c r="Z20" i="3"/>
  <c r="Z28" i="3"/>
  <c r="Z36" i="3"/>
  <c r="Z44" i="3"/>
  <c r="X62" i="3"/>
  <c r="N69" i="3"/>
  <c r="Z98" i="3"/>
  <c r="L119" i="3"/>
  <c r="Z120" i="3"/>
  <c r="N129" i="3"/>
  <c r="L131" i="3"/>
  <c r="L262" i="3"/>
  <c r="L20" i="6"/>
  <c r="X73" i="9"/>
  <c r="Z73" i="9" s="1"/>
  <c r="V256" i="12"/>
  <c r="V248" i="12"/>
  <c r="V232" i="12"/>
  <c r="V228" i="12"/>
  <c r="V212" i="12"/>
  <c r="V204" i="12"/>
  <c r="V184" i="12"/>
  <c r="V180" i="12"/>
  <c r="Z12" i="12"/>
  <c r="V251" i="12"/>
  <c r="V243" i="12"/>
  <c r="V239" i="12"/>
  <c r="V227" i="12"/>
  <c r="V215" i="12"/>
  <c r="V203" i="12"/>
  <c r="V195" i="12"/>
  <c r="V187" i="12"/>
  <c r="V175" i="12"/>
  <c r="V171" i="12"/>
  <c r="V167" i="12"/>
  <c r="V250" i="12"/>
  <c r="V234" i="12"/>
  <c r="V222" i="12"/>
  <c r="V214" i="12"/>
  <c r="V194" i="12"/>
  <c r="V186" i="12"/>
  <c r="V166" i="12"/>
  <c r="V162" i="12"/>
  <c r="V158" i="12"/>
  <c r="V154" i="12"/>
  <c r="V150" i="12"/>
  <c r="V146" i="12"/>
  <c r="V142" i="12"/>
  <c r="V267" i="12"/>
  <c r="V233" i="12"/>
  <c r="V229" i="12"/>
  <c r="V217" i="12"/>
  <c r="V205" i="12"/>
  <c r="V181" i="12"/>
  <c r="V177" i="12"/>
  <c r="T164" i="12"/>
  <c r="V266" i="12"/>
  <c r="V252" i="12"/>
  <c r="V244" i="12"/>
  <c r="V240" i="12"/>
  <c r="V224" i="12"/>
  <c r="V216" i="12"/>
  <c r="V196" i="12"/>
  <c r="V188" i="12"/>
  <c r="V176" i="12"/>
  <c r="V172" i="12"/>
  <c r="V168" i="12"/>
  <c r="V265" i="12"/>
  <c r="V235" i="12"/>
  <c r="V223" i="12"/>
  <c r="V219" i="12"/>
  <c r="V207" i="12"/>
  <c r="V264" i="12"/>
  <c r="V246" i="12"/>
  <c r="V230" i="12"/>
  <c r="V218" i="12"/>
  <c r="V206" i="12"/>
  <c r="V198" i="12"/>
  <c r="V190" i="12"/>
  <c r="V182" i="12"/>
  <c r="V178" i="12"/>
  <c r="V271" i="12"/>
  <c r="V263" i="12"/>
  <c r="V253" i="12"/>
  <c r="V245" i="12"/>
  <c r="V241" i="12"/>
  <c r="V237" i="12"/>
  <c r="V225" i="12"/>
  <c r="V209" i="12"/>
  <c r="V197" i="12"/>
  <c r="V189" i="12"/>
  <c r="V173" i="12"/>
  <c r="V169" i="12"/>
  <c r="V262" i="12"/>
  <c r="V236" i="12"/>
  <c r="V220" i="12"/>
  <c r="V208" i="12"/>
  <c r="V200" i="12"/>
  <c r="V192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261" i="12"/>
  <c r="V255" i="12"/>
  <c r="V247" i="12"/>
  <c r="V231" i="12"/>
  <c r="V211" i="12"/>
  <c r="V199" i="12"/>
  <c r="V191" i="12"/>
  <c r="V183" i="12"/>
  <c r="V179" i="12"/>
  <c r="V260" i="12"/>
  <c r="V254" i="12"/>
  <c r="V242" i="12"/>
  <c r="V238" i="12"/>
  <c r="V226" i="12"/>
  <c r="V210" i="12"/>
  <c r="V202" i="12"/>
  <c r="V174" i="12"/>
  <c r="V170" i="12"/>
  <c r="V259" i="12"/>
  <c r="V185" i="12"/>
  <c r="V134" i="12"/>
  <c r="V126" i="12"/>
  <c r="V118" i="12"/>
  <c r="V113" i="12"/>
  <c r="V213" i="12"/>
  <c r="V155" i="12"/>
  <c r="V139" i="12"/>
  <c r="V131" i="12"/>
  <c r="V123" i="12"/>
  <c r="V147" i="12"/>
  <c r="V115" i="12"/>
  <c r="V193" i="12"/>
  <c r="V157" i="12"/>
  <c r="V141" i="12"/>
  <c r="V133" i="12"/>
  <c r="V125" i="12"/>
  <c r="V149" i="12"/>
  <c r="V138" i="12"/>
  <c r="V130" i="12"/>
  <c r="V122" i="12"/>
  <c r="V117" i="12"/>
  <c r="V114" i="12"/>
  <c r="V221" i="12"/>
  <c r="V159" i="12"/>
  <c r="V151" i="12"/>
  <c r="V143" i="12"/>
  <c r="V135" i="12"/>
  <c r="V127" i="12"/>
  <c r="V119" i="12"/>
  <c r="V111" i="12"/>
  <c r="V249" i="12"/>
  <c r="V201" i="12"/>
  <c r="V161" i="12"/>
  <c r="D12" i="15"/>
  <c r="L103" i="15"/>
  <c r="N103" i="15" s="1"/>
  <c r="N49" i="3"/>
  <c r="Z60" i="3"/>
  <c r="N61" i="3"/>
  <c r="Z62" i="3"/>
  <c r="N262" i="3"/>
  <c r="D22" i="6"/>
  <c r="L16" i="6"/>
  <c r="Z78" i="3"/>
  <c r="Z14" i="3"/>
  <c r="X22" i="3"/>
  <c r="X30" i="3"/>
  <c r="X38" i="3"/>
  <c r="Z38" i="3" s="1"/>
  <c r="X41" i="3"/>
  <c r="Z41" i="3" s="1"/>
  <c r="X46" i="3"/>
  <c r="Z46" i="3" s="1"/>
  <c r="Z54" i="3"/>
  <c r="Z59" i="3"/>
  <c r="L61" i="3"/>
  <c r="Z82" i="3"/>
  <c r="N89" i="3"/>
  <c r="Z90" i="3"/>
  <c r="Z95" i="3"/>
  <c r="L97" i="3"/>
  <c r="N97" i="3" s="1"/>
  <c r="L99" i="3"/>
  <c r="Z100" i="3"/>
  <c r="Z110" i="3"/>
  <c r="Z122" i="3"/>
  <c r="Z134" i="3"/>
  <c r="L226" i="3"/>
  <c r="H12" i="3"/>
  <c r="Z22" i="3"/>
  <c r="T92" i="9"/>
  <c r="Z16" i="9"/>
  <c r="V110" i="12"/>
  <c r="V129" i="12"/>
  <c r="V153" i="12"/>
  <c r="Z30" i="3"/>
  <c r="Z64" i="3"/>
  <c r="N81" i="3"/>
  <c r="N226" i="3"/>
  <c r="L13" i="3"/>
  <c r="N13" i="3" s="1"/>
  <c r="N21" i="3"/>
  <c r="N29" i="3"/>
  <c r="N37" i="3"/>
  <c r="Z51" i="3"/>
  <c r="L53" i="3"/>
  <c r="N53" i="3" s="1"/>
  <c r="L55" i="3"/>
  <c r="N55" i="3" s="1"/>
  <c r="Z56" i="3"/>
  <c r="Z74" i="3"/>
  <c r="Z79" i="3"/>
  <c r="L81" i="3"/>
  <c r="L83" i="3"/>
  <c r="N83" i="3" s="1"/>
  <c r="Z84" i="3"/>
  <c r="L91" i="3"/>
  <c r="Z92" i="3"/>
  <c r="Z102" i="3"/>
  <c r="L109" i="3"/>
  <c r="N109" i="3" s="1"/>
  <c r="L111" i="3"/>
  <c r="N111" i="3" s="1"/>
  <c r="Z112" i="3"/>
  <c r="L123" i="3"/>
  <c r="N123" i="3" s="1"/>
  <c r="Z124" i="3"/>
  <c r="N133" i="3"/>
  <c r="L135" i="3"/>
  <c r="Z201" i="3"/>
  <c r="T296" i="3"/>
  <c r="Z298" i="3"/>
  <c r="Z303" i="3"/>
  <c r="Z16" i="6"/>
  <c r="T22" i="6"/>
  <c r="Z29" i="6"/>
  <c r="N200" i="3"/>
  <c r="X224" i="3"/>
  <c r="Z224" i="3" s="1"/>
  <c r="Z226" i="3"/>
  <c r="H22" i="6"/>
  <c r="N19" i="9"/>
  <c r="Z24" i="3"/>
  <c r="Z32" i="3"/>
  <c r="Z40" i="3"/>
  <c r="Z66" i="3"/>
  <c r="Z71" i="3"/>
  <c r="L73" i="3"/>
  <c r="N73" i="3" s="1"/>
  <c r="Z76" i="3"/>
  <c r="X89" i="3"/>
  <c r="N101" i="3"/>
  <c r="Z104" i="3"/>
  <c r="Z114" i="3"/>
  <c r="Z126" i="3"/>
  <c r="L200" i="3"/>
  <c r="V145" i="12"/>
  <c r="N17" i="3"/>
  <c r="Z50" i="3"/>
  <c r="Z96" i="3"/>
  <c r="L15" i="3"/>
  <c r="N15" i="3" s="1"/>
  <c r="X16" i="3"/>
  <c r="Z16" i="3" s="1"/>
  <c r="X53" i="3"/>
  <c r="Z53" i="3" s="1"/>
  <c r="Z58" i="3"/>
  <c r="N65" i="3"/>
  <c r="X81" i="3"/>
  <c r="Z81" i="3" s="1"/>
  <c r="X86" i="3"/>
  <c r="Z86" i="3" s="1"/>
  <c r="Z94" i="3"/>
  <c r="Z99" i="3"/>
  <c r="L101" i="3"/>
  <c r="Z237" i="3"/>
  <c r="H296" i="3"/>
  <c r="N304" i="3"/>
  <c r="N309" i="3"/>
  <c r="X18" i="3"/>
  <c r="Z18" i="3" s="1"/>
  <c r="X26" i="3"/>
  <c r="Z26" i="3" s="1"/>
  <c r="X34" i="3"/>
  <c r="X42" i="3"/>
  <c r="Z42" i="3" s="1"/>
  <c r="X50" i="3"/>
  <c r="N57" i="3"/>
  <c r="L67" i="3"/>
  <c r="N67" i="3" s="1"/>
  <c r="Z68" i="3"/>
  <c r="X78" i="3"/>
  <c r="N85" i="3"/>
  <c r="X106" i="3"/>
  <c r="Z106" i="3" s="1"/>
  <c r="N113" i="3"/>
  <c r="L115" i="3"/>
  <c r="N115" i="3" s="1"/>
  <c r="N125" i="3"/>
  <c r="L127" i="3"/>
  <c r="N127" i="3" s="1"/>
  <c r="Z200" i="3"/>
  <c r="N266" i="3"/>
  <c r="N284" i="3"/>
  <c r="R82" i="9"/>
  <c r="R78" i="9"/>
  <c r="R66" i="9"/>
  <c r="R39" i="9"/>
  <c r="R38" i="9"/>
  <c r="R34" i="9"/>
  <c r="R88" i="9"/>
  <c r="R81" i="9"/>
  <c r="R80" i="9"/>
  <c r="R68" i="9"/>
  <c r="R45" i="9"/>
  <c r="R44" i="9"/>
  <c r="R36" i="9"/>
  <c r="R32" i="9"/>
  <c r="X12" i="9"/>
  <c r="R96" i="9"/>
  <c r="R73" i="9"/>
  <c r="R58" i="9"/>
  <c r="R52" i="9"/>
  <c r="R46" i="9"/>
  <c r="R37" i="9"/>
  <c r="R24" i="9"/>
  <c r="R83" i="9"/>
  <c r="R63" i="9"/>
  <c r="R21" i="9"/>
  <c r="R84" i="9"/>
  <c r="R70" i="9"/>
  <c r="R67" i="9"/>
  <c r="R42" i="9"/>
  <c r="R28" i="9"/>
  <c r="R14" i="9"/>
  <c r="R99" i="9"/>
  <c r="R90" i="9"/>
  <c r="R74" i="9"/>
  <c r="R43" i="9"/>
  <c r="R35" i="9"/>
  <c r="R25" i="9"/>
  <c r="R60" i="9"/>
  <c r="R59" i="9"/>
  <c r="R54" i="9"/>
  <c r="R53" i="9"/>
  <c r="R48" i="9"/>
  <c r="R47" i="9"/>
  <c r="R16" i="9"/>
  <c r="R92" i="9"/>
  <c r="R85" i="9"/>
  <c r="R64" i="9"/>
  <c r="R29" i="9"/>
  <c r="R22" i="9"/>
  <c r="P16" i="9"/>
  <c r="R86" i="9"/>
  <c r="R71" i="9"/>
  <c r="R65" i="9"/>
  <c r="R61" i="9"/>
  <c r="R55" i="9"/>
  <c r="R49" i="9"/>
  <c r="R33" i="9"/>
  <c r="R18" i="9"/>
  <c r="R75" i="9"/>
  <c r="R56" i="9"/>
  <c r="R50" i="9"/>
  <c r="R26" i="9"/>
  <c r="R19" i="9"/>
  <c r="R76" i="9"/>
  <c r="R23" i="9"/>
  <c r="R94" i="9"/>
  <c r="R87" i="9"/>
  <c r="R79" i="9"/>
  <c r="R30" i="9"/>
  <c r="R62" i="9"/>
  <c r="R57" i="9"/>
  <c r="R51" i="9"/>
  <c r="R40" i="9"/>
  <c r="R31" i="9"/>
  <c r="R27" i="9"/>
  <c r="R20" i="9"/>
  <c r="V121" i="12"/>
  <c r="X297" i="3"/>
  <c r="Z297" i="3" s="1"/>
  <c r="J14" i="6"/>
  <c r="J16" i="6"/>
  <c r="J18" i="6"/>
  <c r="J20" i="6"/>
  <c r="R26" i="6"/>
  <c r="R28" i="6"/>
  <c r="R29" i="6"/>
  <c r="R31" i="6"/>
  <c r="V77" i="9"/>
  <c r="V69" i="9"/>
  <c r="V85" i="9"/>
  <c r="V73" i="9"/>
  <c r="V61" i="9"/>
  <c r="V49" i="9"/>
  <c r="V41" i="9"/>
  <c r="V29" i="9"/>
  <c r="V25" i="9"/>
  <c r="V21" i="9"/>
  <c r="V75" i="9"/>
  <c r="V63" i="9"/>
  <c r="V55" i="9"/>
  <c r="V27" i="9"/>
  <c r="V23" i="9"/>
  <c r="V19" i="9"/>
  <c r="J26" i="9"/>
  <c r="V34" i="9"/>
  <c r="J36" i="9"/>
  <c r="J39" i="9"/>
  <c r="V52" i="9"/>
  <c r="V58" i="9"/>
  <c r="N65" i="9"/>
  <c r="V72" i="9"/>
  <c r="J86" i="9"/>
  <c r="V96" i="9"/>
  <c r="X13" i="12"/>
  <c r="X101" i="12"/>
  <c r="X103" i="12"/>
  <c r="Z105" i="12"/>
  <c r="Z107" i="12"/>
  <c r="N190" i="12"/>
  <c r="N192" i="12"/>
  <c r="N23" i="15"/>
  <c r="X29" i="15"/>
  <c r="Z31" i="15"/>
  <c r="Z33" i="15"/>
  <c r="N44" i="15"/>
  <c r="Z58" i="15"/>
  <c r="N71" i="15"/>
  <c r="X77" i="15"/>
  <c r="Z77" i="15" s="1"/>
  <c r="Z79" i="15"/>
  <c r="Z81" i="15"/>
  <c r="N92" i="15"/>
  <c r="Z98" i="15"/>
  <c r="D296" i="3"/>
  <c r="L296" i="3" s="1"/>
  <c r="L14" i="6"/>
  <c r="R24" i="6"/>
  <c r="J18" i="9"/>
  <c r="Z31" i="9"/>
  <c r="J44" i="9"/>
  <c r="J49" i="9"/>
  <c r="J55" i="9"/>
  <c r="J61" i="9"/>
  <c r="J65" i="9"/>
  <c r="J68" i="9"/>
  <c r="J75" i="9"/>
  <c r="Z101" i="12"/>
  <c r="Z103" i="12"/>
  <c r="N19" i="15"/>
  <c r="Z29" i="15"/>
  <c r="L14" i="9"/>
  <c r="H16" i="9"/>
  <c r="J22" i="9"/>
  <c r="J29" i="9"/>
  <c r="J48" i="9"/>
  <c r="J54" i="9"/>
  <c r="J60" i="9"/>
  <c r="J64" i="9"/>
  <c r="L70" i="9"/>
  <c r="N70" i="9" s="1"/>
  <c r="J71" i="9"/>
  <c r="N81" i="9"/>
  <c r="J85" i="9"/>
  <c r="J92" i="9"/>
  <c r="Z15" i="12"/>
  <c r="Z17" i="12"/>
  <c r="Z19" i="12"/>
  <c r="Z21" i="12"/>
  <c r="Z23" i="12"/>
  <c r="Z25" i="12"/>
  <c r="Z27" i="12"/>
  <c r="Z29" i="12"/>
  <c r="Z31" i="12"/>
  <c r="Z33" i="12"/>
  <c r="Z35" i="12"/>
  <c r="Z37" i="12"/>
  <c r="Z39" i="12"/>
  <c r="Z41" i="12"/>
  <c r="Z43" i="12"/>
  <c r="Z45" i="12"/>
  <c r="Z47" i="12"/>
  <c r="Z49" i="12"/>
  <c r="Z51" i="12"/>
  <c r="Z53" i="12"/>
  <c r="Z55" i="12"/>
  <c r="Z57" i="12"/>
  <c r="Z59" i="12"/>
  <c r="Z61" i="12"/>
  <c r="Z63" i="12"/>
  <c r="Z65" i="12"/>
  <c r="Z67" i="12"/>
  <c r="Z69" i="12"/>
  <c r="Z71" i="12"/>
  <c r="Z73" i="12"/>
  <c r="Z75" i="12"/>
  <c r="Z77" i="12"/>
  <c r="Z79" i="12"/>
  <c r="Z81" i="12"/>
  <c r="Z83" i="12"/>
  <c r="Z85" i="12"/>
  <c r="Z87" i="12"/>
  <c r="Z89" i="12"/>
  <c r="Z91" i="12"/>
  <c r="Z93" i="12"/>
  <c r="Z95" i="12"/>
  <c r="Z97" i="12"/>
  <c r="Z99" i="12"/>
  <c r="Z192" i="12"/>
  <c r="Z228" i="12"/>
  <c r="X260" i="12"/>
  <c r="Z260" i="12" s="1"/>
  <c r="N262" i="12"/>
  <c r="J254" i="15"/>
  <c r="J238" i="15"/>
  <c r="J222" i="15"/>
  <c r="J208" i="15"/>
  <c r="J198" i="15"/>
  <c r="J180" i="15"/>
  <c r="J170" i="15"/>
  <c r="J166" i="15"/>
  <c r="J253" i="15"/>
  <c r="J245" i="15"/>
  <c r="J233" i="15"/>
  <c r="J209" i="15"/>
  <c r="J252" i="15"/>
  <c r="J246" i="15"/>
  <c r="J228" i="15"/>
  <c r="J216" i="15"/>
  <c r="J210" i="15"/>
  <c r="J200" i="15"/>
  <c r="J251" i="15"/>
  <c r="J247" i="15"/>
  <c r="J239" i="15"/>
  <c r="J229" i="15"/>
  <c r="J223" i="15"/>
  <c r="J217" i="15"/>
  <c r="J211" i="15"/>
  <c r="J191" i="15"/>
  <c r="J183" i="15"/>
  <c r="J171" i="15"/>
  <c r="J167" i="15"/>
  <c r="J163" i="15"/>
  <c r="J161" i="15"/>
  <c r="J250" i="15"/>
  <c r="J240" i="15"/>
  <c r="J234" i="15"/>
  <c r="J230" i="15"/>
  <c r="J218" i="15"/>
  <c r="J212" i="15"/>
  <c r="J172" i="15"/>
  <c r="H159" i="15"/>
  <c r="J159" i="15" s="1"/>
  <c r="J154" i="15"/>
  <c r="J150" i="15"/>
  <c r="J146" i="15"/>
  <c r="J142" i="15"/>
  <c r="J138" i="15"/>
  <c r="J134" i="15"/>
  <c r="J241" i="15"/>
  <c r="J213" i="15"/>
  <c r="J201" i="15"/>
  <c r="J177" i="15"/>
  <c r="J173" i="15"/>
  <c r="J243" i="15"/>
  <c r="J235" i="15"/>
  <c r="J231" i="15"/>
  <c r="J219" i="15"/>
  <c r="J203" i="15"/>
  <c r="J258" i="15"/>
  <c r="J214" i="15"/>
  <c r="J204" i="15"/>
  <c r="J194" i="15"/>
  <c r="J186" i="15"/>
  <c r="J178" i="15"/>
  <c r="J174" i="15"/>
  <c r="J257" i="15"/>
  <c r="J225" i="15"/>
  <c r="J205" i="15"/>
  <c r="J195" i="15"/>
  <c r="J187" i="15"/>
  <c r="J169" i="15"/>
  <c r="J165" i="15"/>
  <c r="J262" i="15"/>
  <c r="J256" i="15"/>
  <c r="J244" i="15"/>
  <c r="J236" i="15"/>
  <c r="J232" i="15"/>
  <c r="J226" i="15"/>
  <c r="J220" i="15"/>
  <c r="J206" i="15"/>
  <c r="J196" i="15"/>
  <c r="J188" i="15"/>
  <c r="J156" i="15"/>
  <c r="J152" i="15"/>
  <c r="J148" i="15"/>
  <c r="J144" i="15"/>
  <c r="J140" i="15"/>
  <c r="J136" i="15"/>
  <c r="J132" i="15"/>
  <c r="J128" i="15"/>
  <c r="J124" i="15"/>
  <c r="J120" i="15"/>
  <c r="J224" i="15"/>
  <c r="J181" i="15"/>
  <c r="J129" i="15"/>
  <c r="J119" i="15"/>
  <c r="J175" i="15"/>
  <c r="J116" i="15"/>
  <c r="J109" i="15"/>
  <c r="J221" i="15"/>
  <c r="J189" i="15"/>
  <c r="J179" i="15"/>
  <c r="J157" i="15"/>
  <c r="J122" i="15"/>
  <c r="J184" i="15"/>
  <c r="J153" i="15"/>
  <c r="J127" i="15"/>
  <c r="J113" i="15"/>
  <c r="J242" i="15"/>
  <c r="J192" i="15"/>
  <c r="J182" i="15"/>
  <c r="J164" i="15"/>
  <c r="J155" i="15"/>
  <c r="J149" i="15"/>
  <c r="J125" i="15"/>
  <c r="J110" i="15"/>
  <c r="J197" i="15"/>
  <c r="J162" i="15"/>
  <c r="J151" i="15"/>
  <c r="J147" i="15"/>
  <c r="J117" i="15"/>
  <c r="J199" i="15"/>
  <c r="J190" i="15"/>
  <c r="J185" i="15"/>
  <c r="J168" i="15"/>
  <c r="J145" i="15"/>
  <c r="J130" i="15"/>
  <c r="J114" i="15"/>
  <c r="J255" i="15"/>
  <c r="J207" i="15"/>
  <c r="J143" i="15"/>
  <c r="J141" i="15"/>
  <c r="J123" i="15"/>
  <c r="J107" i="15"/>
  <c r="J237" i="15"/>
  <c r="J227" i="15"/>
  <c r="J215" i="15"/>
  <c r="J176" i="15"/>
  <c r="J139" i="15"/>
  <c r="J121" i="15"/>
  <c r="J118" i="15"/>
  <c r="J111" i="15"/>
  <c r="J193" i="15"/>
  <c r="J137" i="15"/>
  <c r="J108" i="15"/>
  <c r="J135" i="15"/>
  <c r="J133" i="15"/>
  <c r="J126" i="15"/>
  <c r="J115" i="15"/>
  <c r="N15" i="15"/>
  <c r="X21" i="15"/>
  <c r="Z23" i="15"/>
  <c r="Z25" i="15"/>
  <c r="N36" i="15"/>
  <c r="Z50" i="15"/>
  <c r="N63" i="15"/>
  <c r="X69" i="15"/>
  <c r="Z71" i="15"/>
  <c r="Z73" i="15"/>
  <c r="N84" i="15"/>
  <c r="Z94" i="15"/>
  <c r="Z103" i="15"/>
  <c r="P16" i="6"/>
  <c r="J90" i="9"/>
  <c r="N224" i="12"/>
  <c r="L224" i="12"/>
  <c r="T258" i="12"/>
  <c r="Z21" i="15"/>
  <c r="Z69" i="15"/>
  <c r="J277" i="18"/>
  <c r="J271" i="18"/>
  <c r="J253" i="18"/>
  <c r="J241" i="18"/>
  <c r="J235" i="18"/>
  <c r="J225" i="18"/>
  <c r="J215" i="18"/>
  <c r="J207" i="18"/>
  <c r="J201" i="18"/>
  <c r="J187" i="18"/>
  <c r="J276" i="18"/>
  <c r="J272" i="18"/>
  <c r="J264" i="18"/>
  <c r="J254" i="18"/>
  <c r="J248" i="18"/>
  <c r="J242" i="18"/>
  <c r="J236" i="18"/>
  <c r="J216" i="18"/>
  <c r="J208" i="18"/>
  <c r="J196" i="18"/>
  <c r="J192" i="18"/>
  <c r="J188" i="18"/>
  <c r="J186" i="18"/>
  <c r="J275" i="18"/>
  <c r="J265" i="18"/>
  <c r="J259" i="18"/>
  <c r="J255" i="18"/>
  <c r="J243" i="18"/>
  <c r="J237" i="18"/>
  <c r="J197" i="18"/>
  <c r="H184" i="18"/>
  <c r="J184" i="18" s="1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286" i="18"/>
  <c r="J266" i="18"/>
  <c r="J238" i="18"/>
  <c r="J226" i="18"/>
  <c r="J202" i="18"/>
  <c r="J198" i="18"/>
  <c r="J285" i="18"/>
  <c r="J267" i="18"/>
  <c r="J249" i="18"/>
  <c r="J227" i="18"/>
  <c r="J217" i="18"/>
  <c r="J209" i="18"/>
  <c r="J193" i="18"/>
  <c r="J189" i="18"/>
  <c r="J290" i="18"/>
  <c r="J284" i="18"/>
  <c r="J268" i="18"/>
  <c r="J260" i="18"/>
  <c r="J256" i="18"/>
  <c r="J244" i="18"/>
  <c r="J228" i="18"/>
  <c r="J218" i="18"/>
  <c r="J210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283" i="18"/>
  <c r="J239" i="18"/>
  <c r="J229" i="18"/>
  <c r="J219" i="18"/>
  <c r="J211" i="18"/>
  <c r="J203" i="18"/>
  <c r="J199" i="18"/>
  <c r="J282" i="18"/>
  <c r="J250" i="18"/>
  <c r="J230" i="18"/>
  <c r="J220" i="18"/>
  <c r="J212" i="18"/>
  <c r="J194" i="18"/>
  <c r="J190" i="18"/>
  <c r="J281" i="18"/>
  <c r="J269" i="18"/>
  <c r="J261" i="18"/>
  <c r="J257" i="18"/>
  <c r="J251" i="18"/>
  <c r="J245" i="18"/>
  <c r="J231" i="18"/>
  <c r="J221" i="18"/>
  <c r="J213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280" i="18"/>
  <c r="J262" i="18"/>
  <c r="J252" i="18"/>
  <c r="J246" i="18"/>
  <c r="J240" i="18"/>
  <c r="J232" i="18"/>
  <c r="J222" i="18"/>
  <c r="J204" i="18"/>
  <c r="J200" i="18"/>
  <c r="J279" i="18"/>
  <c r="J263" i="18"/>
  <c r="J247" i="18"/>
  <c r="J233" i="18"/>
  <c r="J223" i="18"/>
  <c r="J205" i="18"/>
  <c r="J195" i="18"/>
  <c r="J191" i="18"/>
  <c r="J125" i="18"/>
  <c r="J214" i="18"/>
  <c r="J158" i="18"/>
  <c r="J146" i="18"/>
  <c r="J134" i="18"/>
  <c r="J174" i="18"/>
  <c r="J258" i="18"/>
  <c r="J162" i="18"/>
  <c r="J234" i="18"/>
  <c r="J224" i="18"/>
  <c r="J150" i="18"/>
  <c r="J138" i="18"/>
  <c r="J126" i="18"/>
  <c r="J206" i="18"/>
  <c r="J178" i="18"/>
  <c r="J278" i="18"/>
  <c r="J166" i="18"/>
  <c r="J182" i="18"/>
  <c r="J154" i="18"/>
  <c r="J142" i="18"/>
  <c r="J130" i="18"/>
  <c r="R14" i="6"/>
  <c r="R16" i="6"/>
  <c r="R18" i="6"/>
  <c r="R20" i="6"/>
  <c r="R22" i="6"/>
  <c r="J25" i="9"/>
  <c r="J43" i="9"/>
  <c r="J47" i="9"/>
  <c r="J53" i="9"/>
  <c r="J59" i="9"/>
  <c r="J74" i="9"/>
  <c r="J84" i="9"/>
  <c r="J99" i="9"/>
  <c r="N102" i="12"/>
  <c r="L266" i="12"/>
  <c r="X13" i="15"/>
  <c r="Z15" i="15"/>
  <c r="Z17" i="15"/>
  <c r="N28" i="15"/>
  <c r="Z42" i="15"/>
  <c r="X61" i="15"/>
  <c r="Z63" i="15"/>
  <c r="Z65" i="15"/>
  <c r="N76" i="15"/>
  <c r="Z90" i="15"/>
  <c r="X302" i="3"/>
  <c r="L308" i="3"/>
  <c r="J14" i="9"/>
  <c r="J28" i="9"/>
  <c r="J42" i="9"/>
  <c r="L43" i="9"/>
  <c r="N43" i="9" s="1"/>
  <c r="Z65" i="9"/>
  <c r="J70" i="9"/>
  <c r="L84" i="9"/>
  <c r="N84" i="9" s="1"/>
  <c r="N266" i="12"/>
  <c r="T12" i="15"/>
  <c r="Z13" i="15"/>
  <c r="Z61" i="15"/>
  <c r="V14" i="6"/>
  <c r="V16" i="6"/>
  <c r="V18" i="6"/>
  <c r="V20" i="6"/>
  <c r="F26" i="6"/>
  <c r="F28" i="6"/>
  <c r="F29" i="6"/>
  <c r="F31" i="6"/>
  <c r="V18" i="9"/>
  <c r="J21" i="9"/>
  <c r="V22" i="9"/>
  <c r="J32" i="9"/>
  <c r="V38" i="9"/>
  <c r="J63" i="9"/>
  <c r="V64" i="9"/>
  <c r="V65" i="9"/>
  <c r="V78" i="9"/>
  <c r="J80" i="9"/>
  <c r="V86" i="9"/>
  <c r="J88" i="9"/>
  <c r="V92" i="9"/>
  <c r="X104" i="12"/>
  <c r="Z106" i="12"/>
  <c r="D164" i="12"/>
  <c r="N185" i="12"/>
  <c r="Z204" i="12"/>
  <c r="N246" i="12"/>
  <c r="N20" i="15"/>
  <c r="Z34" i="15"/>
  <c r="X53" i="15"/>
  <c r="Z53" i="15" s="1"/>
  <c r="Z55" i="15"/>
  <c r="Z57" i="15"/>
  <c r="N68" i="15"/>
  <c r="Z82" i="15"/>
  <c r="X97" i="15"/>
  <c r="X14" i="9"/>
  <c r="J24" i="9"/>
  <c r="J46" i="9"/>
  <c r="J52" i="9"/>
  <c r="J58" i="9"/>
  <c r="J83" i="9"/>
  <c r="X14" i="12"/>
  <c r="X16" i="12"/>
  <c r="X18" i="12"/>
  <c r="Z18" i="12" s="1"/>
  <c r="X20" i="12"/>
  <c r="X22" i="12"/>
  <c r="Z22" i="12" s="1"/>
  <c r="X24" i="12"/>
  <c r="X26" i="12"/>
  <c r="Z26" i="12" s="1"/>
  <c r="X28" i="12"/>
  <c r="X30" i="12"/>
  <c r="X32" i="12"/>
  <c r="X34" i="12"/>
  <c r="Z34" i="12" s="1"/>
  <c r="X36" i="12"/>
  <c r="X38" i="12"/>
  <c r="X40" i="12"/>
  <c r="X42" i="12"/>
  <c r="Z42" i="12" s="1"/>
  <c r="X44" i="12"/>
  <c r="X46" i="12"/>
  <c r="Z46" i="12" s="1"/>
  <c r="X48" i="12"/>
  <c r="X50" i="12"/>
  <c r="Z50" i="12" s="1"/>
  <c r="X52" i="12"/>
  <c r="X54" i="12"/>
  <c r="X56" i="12"/>
  <c r="X58" i="12"/>
  <c r="Z58" i="12" s="1"/>
  <c r="X60" i="12"/>
  <c r="X62" i="12"/>
  <c r="X64" i="12"/>
  <c r="X66" i="12"/>
  <c r="Z66" i="12" s="1"/>
  <c r="X68" i="12"/>
  <c r="X70" i="12"/>
  <c r="Z70" i="12" s="1"/>
  <c r="X72" i="12"/>
  <c r="X76" i="12"/>
  <c r="Z76" i="12" s="1"/>
  <c r="X80" i="12"/>
  <c r="X84" i="12"/>
  <c r="X88" i="12"/>
  <c r="X92" i="12"/>
  <c r="Z92" i="12" s="1"/>
  <c r="X96" i="12"/>
  <c r="X100" i="12"/>
  <c r="N198" i="12"/>
  <c r="Z202" i="12"/>
  <c r="X202" i="12"/>
  <c r="Z266" i="12"/>
  <c r="Z97" i="15"/>
  <c r="P12" i="18"/>
  <c r="X13" i="18"/>
  <c r="J77" i="9"/>
  <c r="J69" i="9"/>
  <c r="J57" i="9"/>
  <c r="J37" i="9"/>
  <c r="J33" i="9"/>
  <c r="J19" i="9"/>
  <c r="J87" i="9"/>
  <c r="J79" i="9"/>
  <c r="J73" i="9"/>
  <c r="J67" i="9"/>
  <c r="J51" i="9"/>
  <c r="J41" i="9"/>
  <c r="J35" i="9"/>
  <c r="J72" i="9"/>
  <c r="Z14" i="12"/>
  <c r="Z16" i="12"/>
  <c r="Z20" i="12"/>
  <c r="Z24" i="12"/>
  <c r="Z28" i="12"/>
  <c r="Z30" i="12"/>
  <c r="Z32" i="12"/>
  <c r="Z36" i="12"/>
  <c r="Z38" i="12"/>
  <c r="Z40" i="12"/>
  <c r="Z44" i="12"/>
  <c r="Z48" i="12"/>
  <c r="Z52" i="12"/>
  <c r="Z54" i="12"/>
  <c r="Z56" i="12"/>
  <c r="Z60" i="12"/>
  <c r="Z62" i="12"/>
  <c r="Z64" i="12"/>
  <c r="Z68" i="12"/>
  <c r="Z72" i="12"/>
  <c r="Z80" i="12"/>
  <c r="Z84" i="12"/>
  <c r="Z88" i="12"/>
  <c r="Z96" i="12"/>
  <c r="Z100" i="12"/>
  <c r="P258" i="12"/>
  <c r="R258" i="12" s="1"/>
  <c r="Z26" i="15"/>
  <c r="X45" i="15"/>
  <c r="Z47" i="15"/>
  <c r="Z49" i="15"/>
  <c r="N60" i="15"/>
  <c r="Z74" i="15"/>
  <c r="X93" i="15"/>
  <c r="N100" i="15"/>
  <c r="X52" i="9"/>
  <c r="Z52" i="9" s="1"/>
  <c r="X58" i="9"/>
  <c r="Z58" i="9" s="1"/>
  <c r="N166" i="12"/>
  <c r="Z200" i="12"/>
  <c r="Z45" i="15"/>
  <c r="Z93" i="15"/>
  <c r="R104" i="21"/>
  <c r="R95" i="21"/>
  <c r="R91" i="21"/>
  <c r="R81" i="21"/>
  <c r="R74" i="21"/>
  <c r="R73" i="21"/>
  <c r="R54" i="21"/>
  <c r="R53" i="21"/>
  <c r="R45" i="21"/>
  <c r="R93" i="21"/>
  <c r="R89" i="21"/>
  <c r="R66" i="21"/>
  <c r="R65" i="21"/>
  <c r="R83" i="21"/>
  <c r="R68" i="21"/>
  <c r="R67" i="21"/>
  <c r="R48" i="21"/>
  <c r="R47" i="21"/>
  <c r="R43" i="21"/>
  <c r="R96" i="21"/>
  <c r="R100" i="21"/>
  <c r="R80" i="21"/>
  <c r="R76" i="21"/>
  <c r="R25" i="21"/>
  <c r="R101" i="21"/>
  <c r="R94" i="21"/>
  <c r="R86" i="21"/>
  <c r="R60" i="21"/>
  <c r="R49" i="21"/>
  <c r="R35" i="21"/>
  <c r="R97" i="21"/>
  <c r="R50" i="21"/>
  <c r="R39" i="21"/>
  <c r="R26" i="21"/>
  <c r="R92" i="21"/>
  <c r="R69" i="21"/>
  <c r="R61" i="21"/>
  <c r="R55" i="21"/>
  <c r="R46" i="21"/>
  <c r="R70" i="21"/>
  <c r="R36" i="21"/>
  <c r="R102" i="21"/>
  <c r="R90" i="21"/>
  <c r="R77" i="21"/>
  <c r="R51" i="21"/>
  <c r="R40" i="21"/>
  <c r="R32" i="21"/>
  <c r="R27" i="21"/>
  <c r="R87" i="21"/>
  <c r="R78" i="21"/>
  <c r="R52" i="21"/>
  <c r="R44" i="21"/>
  <c r="R41" i="21"/>
  <c r="R31" i="21"/>
  <c r="R29" i="21"/>
  <c r="R98" i="21"/>
  <c r="R84" i="21"/>
  <c r="R63" i="21"/>
  <c r="R62" i="21"/>
  <c r="R57" i="21"/>
  <c r="R56" i="21"/>
  <c r="R37" i="21"/>
  <c r="R33" i="21"/>
  <c r="P29" i="21"/>
  <c r="R88" i="21"/>
  <c r="R71" i="21"/>
  <c r="R99" i="21"/>
  <c r="R85" i="21"/>
  <c r="R75" i="21"/>
  <c r="R58" i="21"/>
  <c r="R42" i="21"/>
  <c r="R82" i="21"/>
  <c r="R72" i="21"/>
  <c r="R79" i="21"/>
  <c r="R38" i="21"/>
  <c r="R108" i="21"/>
  <c r="R64" i="21"/>
  <c r="R59" i="21"/>
  <c r="F14" i="6"/>
  <c r="F16" i="6"/>
  <c r="F18" i="6"/>
  <c r="F20" i="6"/>
  <c r="N12" i="9"/>
  <c r="J30" i="9"/>
  <c r="L31" i="9"/>
  <c r="N31" i="9" s="1"/>
  <c r="X43" i="9"/>
  <c r="Z43" i="9" s="1"/>
  <c r="J45" i="9"/>
  <c r="J66" i="9"/>
  <c r="J76" i="9"/>
  <c r="J94" i="9"/>
  <c r="H12" i="12"/>
  <c r="N13" i="12"/>
  <c r="N103" i="12"/>
  <c r="Z110" i="12"/>
  <c r="Z18" i="15"/>
  <c r="N31" i="15"/>
  <c r="X37" i="15"/>
  <c r="Z37" i="15" s="1"/>
  <c r="Z39" i="15"/>
  <c r="Z41" i="15"/>
  <c r="N52" i="15"/>
  <c r="Z66" i="15"/>
  <c r="X85" i="15"/>
  <c r="Z85" i="15" s="1"/>
  <c r="Z87" i="15"/>
  <c r="Z89" i="15"/>
  <c r="N96" i="15"/>
  <c r="N98" i="15"/>
  <c r="F39" i="9"/>
  <c r="F40" i="9"/>
  <c r="F72" i="9"/>
  <c r="F110" i="12"/>
  <c r="F111" i="12"/>
  <c r="F115" i="12"/>
  <c r="F119" i="12"/>
  <c r="F123" i="12"/>
  <c r="F127" i="12"/>
  <c r="F131" i="12"/>
  <c r="F135" i="12"/>
  <c r="F139" i="12"/>
  <c r="F143" i="12"/>
  <c r="F147" i="12"/>
  <c r="F151" i="12"/>
  <c r="F155" i="12"/>
  <c r="F159" i="12"/>
  <c r="F164" i="12"/>
  <c r="F166" i="12"/>
  <c r="F223" i="12"/>
  <c r="F234" i="12"/>
  <c r="F235" i="12"/>
  <c r="X259" i="12"/>
  <c r="Z259" i="12" s="1"/>
  <c r="L107" i="15"/>
  <c r="N107" i="15" s="1"/>
  <c r="Z204" i="15"/>
  <c r="X212" i="15"/>
  <c r="L80" i="18"/>
  <c r="L100" i="18"/>
  <c r="L125" i="18"/>
  <c r="F195" i="18"/>
  <c r="L233" i="18"/>
  <c r="Z13" i="21"/>
  <c r="Z17" i="21"/>
  <c r="Z21" i="21"/>
  <c r="L32" i="21"/>
  <c r="N32" i="21" s="1"/>
  <c r="N52" i="21"/>
  <c r="Z68" i="21"/>
  <c r="F167" i="12"/>
  <c r="F168" i="12"/>
  <c r="F172" i="12"/>
  <c r="F176" i="12"/>
  <c r="F187" i="12"/>
  <c r="F188" i="12"/>
  <c r="F195" i="12"/>
  <c r="F196" i="12"/>
  <c r="F215" i="12"/>
  <c r="F216" i="12"/>
  <c r="F240" i="12"/>
  <c r="F244" i="12"/>
  <c r="F251" i="12"/>
  <c r="F252" i="12"/>
  <c r="D258" i="12"/>
  <c r="P12" i="15"/>
  <c r="Z202" i="15"/>
  <c r="Z212" i="15"/>
  <c r="N80" i="18"/>
  <c r="N93" i="18"/>
  <c r="N125" i="18"/>
  <c r="F247" i="18"/>
  <c r="F280" i="18"/>
  <c r="L101" i="12"/>
  <c r="N101" i="12" s="1"/>
  <c r="L105" i="12"/>
  <c r="N105" i="12" s="1"/>
  <c r="F181" i="12"/>
  <c r="F204" i="12"/>
  <c r="F205" i="12"/>
  <c r="F228" i="12"/>
  <c r="F229" i="12"/>
  <c r="F233" i="12"/>
  <c r="F258" i="12"/>
  <c r="L15" i="15"/>
  <c r="L19" i="15"/>
  <c r="L23" i="15"/>
  <c r="L27" i="15"/>
  <c r="N27" i="15" s="1"/>
  <c r="L31" i="15"/>
  <c r="L35" i="15"/>
  <c r="N35" i="15" s="1"/>
  <c r="L39" i="15"/>
  <c r="N39" i="15" s="1"/>
  <c r="L43" i="15"/>
  <c r="N43" i="15" s="1"/>
  <c r="L47" i="15"/>
  <c r="N47" i="15" s="1"/>
  <c r="L51" i="15"/>
  <c r="N51" i="15" s="1"/>
  <c r="L55" i="15"/>
  <c r="N55" i="15" s="1"/>
  <c r="L59" i="15"/>
  <c r="N59" i="15" s="1"/>
  <c r="L63" i="15"/>
  <c r="L67" i="15"/>
  <c r="N67" i="15" s="1"/>
  <c r="L71" i="15"/>
  <c r="L75" i="15"/>
  <c r="L79" i="15"/>
  <c r="L83" i="15"/>
  <c r="N83" i="15" s="1"/>
  <c r="L87" i="15"/>
  <c r="N87" i="15" s="1"/>
  <c r="L91" i="15"/>
  <c r="L95" i="15"/>
  <c r="N95" i="15" s="1"/>
  <c r="L99" i="15"/>
  <c r="N99" i="15" s="1"/>
  <c r="X202" i="15"/>
  <c r="H249" i="15"/>
  <c r="J249" i="15" s="1"/>
  <c r="N255" i="15"/>
  <c r="N24" i="18"/>
  <c r="N40" i="18"/>
  <c r="N49" i="18"/>
  <c r="N60" i="18"/>
  <c r="L84" i="18"/>
  <c r="L104" i="18"/>
  <c r="N187" i="18"/>
  <c r="N210" i="18"/>
  <c r="Z283" i="18"/>
  <c r="X285" i="18"/>
  <c r="T12" i="21"/>
  <c r="Z15" i="21"/>
  <c r="Z19" i="21"/>
  <c r="Z23" i="21"/>
  <c r="X104" i="21"/>
  <c r="L24" i="30"/>
  <c r="D12" i="30"/>
  <c r="F114" i="12"/>
  <c r="F118" i="12"/>
  <c r="F122" i="12"/>
  <c r="F126" i="12"/>
  <c r="F130" i="12"/>
  <c r="F134" i="12"/>
  <c r="F138" i="12"/>
  <c r="F142" i="12"/>
  <c r="F146" i="12"/>
  <c r="F150" i="12"/>
  <c r="F154" i="12"/>
  <c r="F158" i="12"/>
  <c r="F162" i="12"/>
  <c r="F185" i="12"/>
  <c r="F186" i="12"/>
  <c r="F194" i="12"/>
  <c r="F213" i="12"/>
  <c r="F214" i="12"/>
  <c r="F222" i="12"/>
  <c r="F249" i="12"/>
  <c r="F250" i="12"/>
  <c r="H258" i="12"/>
  <c r="F259" i="12"/>
  <c r="X103" i="15"/>
  <c r="N180" i="15"/>
  <c r="F262" i="18"/>
  <c r="Z285" i="18"/>
  <c r="F171" i="12"/>
  <c r="F175" i="12"/>
  <c r="F202" i="12"/>
  <c r="F203" i="12"/>
  <c r="F227" i="12"/>
  <c r="F239" i="12"/>
  <c r="F243" i="12"/>
  <c r="F260" i="12"/>
  <c r="N102" i="15"/>
  <c r="X237" i="15"/>
  <c r="Z237" i="15" s="1"/>
  <c r="N64" i="18"/>
  <c r="N117" i="18"/>
  <c r="F222" i="18"/>
  <c r="Z278" i="18"/>
  <c r="N25" i="21"/>
  <c r="D110" i="21"/>
  <c r="Z50" i="21"/>
  <c r="L48" i="24"/>
  <c r="N48" i="24" s="1"/>
  <c r="F211" i="12"/>
  <c r="F212" i="12"/>
  <c r="F232" i="12"/>
  <c r="F248" i="12"/>
  <c r="F255" i="12"/>
  <c r="F256" i="12"/>
  <c r="F261" i="12"/>
  <c r="L94" i="15"/>
  <c r="N182" i="15"/>
  <c r="N242" i="15"/>
  <c r="N28" i="18"/>
  <c r="Z231" i="18"/>
  <c r="Z27" i="24"/>
  <c r="L44" i="24"/>
  <c r="N44" i="24" s="1"/>
  <c r="F45" i="9"/>
  <c r="F46" i="9"/>
  <c r="F81" i="9"/>
  <c r="F113" i="12"/>
  <c r="F117" i="12"/>
  <c r="F121" i="12"/>
  <c r="F125" i="12"/>
  <c r="F129" i="12"/>
  <c r="F133" i="12"/>
  <c r="F137" i="12"/>
  <c r="F141" i="12"/>
  <c r="F145" i="12"/>
  <c r="F149" i="12"/>
  <c r="F153" i="12"/>
  <c r="F157" i="12"/>
  <c r="F161" i="12"/>
  <c r="F192" i="12"/>
  <c r="F193" i="12"/>
  <c r="F200" i="12"/>
  <c r="F201" i="12"/>
  <c r="F221" i="12"/>
  <c r="F262" i="12"/>
  <c r="Z172" i="15"/>
  <c r="X180" i="15"/>
  <c r="Z180" i="15" s="1"/>
  <c r="Z193" i="15"/>
  <c r="V283" i="18"/>
  <c r="V249" i="18"/>
  <c r="V229" i="18"/>
  <c r="V217" i="18"/>
  <c r="V209" i="18"/>
  <c r="V193" i="18"/>
  <c r="V189" i="18"/>
  <c r="V290" i="18"/>
  <c r="V282" i="18"/>
  <c r="V268" i="18"/>
  <c r="V260" i="18"/>
  <c r="V256" i="18"/>
  <c r="V244" i="18"/>
  <c r="V228" i="18"/>
  <c r="V220" i="18"/>
  <c r="V212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281" i="18"/>
  <c r="V251" i="18"/>
  <c r="V239" i="18"/>
  <c r="V231" i="18"/>
  <c r="V219" i="18"/>
  <c r="V211" i="18"/>
  <c r="V203" i="18"/>
  <c r="V199" i="18"/>
  <c r="V280" i="18"/>
  <c r="V262" i="18"/>
  <c r="V250" i="18"/>
  <c r="V246" i="18"/>
  <c r="V230" i="18"/>
  <c r="V222" i="18"/>
  <c r="V194" i="18"/>
  <c r="V190" i="18"/>
  <c r="V279" i="18"/>
  <c r="V269" i="18"/>
  <c r="V261" i="18"/>
  <c r="V257" i="18"/>
  <c r="V245" i="18"/>
  <c r="V233" i="18"/>
  <c r="V221" i="18"/>
  <c r="V213" i="18"/>
  <c r="V20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78" i="18"/>
  <c r="V252" i="18"/>
  <c r="V240" i="18"/>
  <c r="V232" i="18"/>
  <c r="V224" i="18"/>
  <c r="V204" i="18"/>
  <c r="V200" i="18"/>
  <c r="V277" i="18"/>
  <c r="V271" i="18"/>
  <c r="V263" i="18"/>
  <c r="V247" i="18"/>
  <c r="V235" i="18"/>
  <c r="V223" i="18"/>
  <c r="V215" i="18"/>
  <c r="V207" i="18"/>
  <c r="V195" i="18"/>
  <c r="V191" i="18"/>
  <c r="V187" i="18"/>
  <c r="V276" i="18"/>
  <c r="V270" i="18"/>
  <c r="V258" i="18"/>
  <c r="V254" i="18"/>
  <c r="V242" i="18"/>
  <c r="V234" i="18"/>
  <c r="V214" i="18"/>
  <c r="V206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275" i="18"/>
  <c r="V265" i="18"/>
  <c r="V253" i="18"/>
  <c r="V241" i="18"/>
  <c r="V237" i="18"/>
  <c r="V225" i="18"/>
  <c r="V201" i="18"/>
  <c r="V197" i="18"/>
  <c r="T184" i="18"/>
  <c r="V286" i="18"/>
  <c r="V274" i="18"/>
  <c r="V272" i="18"/>
  <c r="V264" i="18"/>
  <c r="V248" i="18"/>
  <c r="V236" i="18"/>
  <c r="V216" i="18"/>
  <c r="V208" i="18"/>
  <c r="V196" i="18"/>
  <c r="V192" i="18"/>
  <c r="V188" i="18"/>
  <c r="V285" i="18"/>
  <c r="V267" i="18"/>
  <c r="V259" i="18"/>
  <c r="V255" i="18"/>
  <c r="V243" i="18"/>
  <c r="V227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127" i="18"/>
  <c r="N68" i="18"/>
  <c r="L92" i="18"/>
  <c r="N92" i="18" s="1"/>
  <c r="N277" i="18"/>
  <c r="L279" i="18"/>
  <c r="F106" i="21"/>
  <c r="L18" i="33"/>
  <c r="N18" i="33" s="1"/>
  <c r="F170" i="12"/>
  <c r="F174" i="12"/>
  <c r="F209" i="12"/>
  <c r="F210" i="12"/>
  <c r="F226" i="12"/>
  <c r="F237" i="12"/>
  <c r="F238" i="12"/>
  <c r="F242" i="12"/>
  <c r="F254" i="12"/>
  <c r="L260" i="12"/>
  <c r="N260" i="12" s="1"/>
  <c r="F263" i="12"/>
  <c r="X266" i="12"/>
  <c r="X197" i="15"/>
  <c r="Z197" i="15" s="1"/>
  <c r="X240" i="15"/>
  <c r="L256" i="15"/>
  <c r="L16" i="18"/>
  <c r="N16" i="18" s="1"/>
  <c r="L32" i="18"/>
  <c r="L48" i="18"/>
  <c r="N48" i="18" s="1"/>
  <c r="L72" i="18"/>
  <c r="N101" i="18"/>
  <c r="L112" i="18"/>
  <c r="P274" i="18"/>
  <c r="X274" i="18" s="1"/>
  <c r="Z274" i="18" s="1"/>
  <c r="X275" i="18"/>
  <c r="Z275" i="18" s="1"/>
  <c r="F179" i="12"/>
  <c r="F183" i="12"/>
  <c r="F190" i="12"/>
  <c r="F191" i="12"/>
  <c r="F198" i="12"/>
  <c r="F199" i="12"/>
  <c r="F231" i="12"/>
  <c r="F246" i="12"/>
  <c r="F247" i="12"/>
  <c r="F264" i="12"/>
  <c r="L101" i="15"/>
  <c r="X102" i="15"/>
  <c r="Z102" i="15" s="1"/>
  <c r="Z240" i="15"/>
  <c r="F279" i="18"/>
  <c r="F270" i="18"/>
  <c r="F258" i="18"/>
  <c r="F234" i="18"/>
  <c r="F233" i="18"/>
  <c r="F214" i="18"/>
  <c r="F206" i="18"/>
  <c r="F205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125" i="18"/>
  <c r="F278" i="18"/>
  <c r="F253" i="18"/>
  <c r="F241" i="18"/>
  <c r="F225" i="18"/>
  <c r="F224" i="18"/>
  <c r="F201" i="18"/>
  <c r="F277" i="18"/>
  <c r="F272" i="18"/>
  <c r="F271" i="18"/>
  <c r="F264" i="18"/>
  <c r="F248" i="18"/>
  <c r="F236" i="18"/>
  <c r="F235" i="18"/>
  <c r="F216" i="18"/>
  <c r="F215" i="18"/>
  <c r="F208" i="18"/>
  <c r="F207" i="18"/>
  <c r="F196" i="18"/>
  <c r="F192" i="18"/>
  <c r="F188" i="18"/>
  <c r="F187" i="18"/>
  <c r="F276" i="18"/>
  <c r="F259" i="18"/>
  <c r="F255" i="18"/>
  <c r="F254" i="18"/>
  <c r="F243" i="18"/>
  <c r="F242" i="18"/>
  <c r="F186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75" i="18"/>
  <c r="F266" i="18"/>
  <c r="F265" i="18"/>
  <c r="F238" i="18"/>
  <c r="F237" i="18"/>
  <c r="F226" i="18"/>
  <c r="F202" i="18"/>
  <c r="F198" i="18"/>
  <c r="F197" i="18"/>
  <c r="D184" i="18"/>
  <c r="F286" i="18"/>
  <c r="F249" i="18"/>
  <c r="F217" i="18"/>
  <c r="F209" i="18"/>
  <c r="F193" i="18"/>
  <c r="F189" i="18"/>
  <c r="F290" i="18"/>
  <c r="F285" i="18"/>
  <c r="F268" i="18"/>
  <c r="F267" i="18"/>
  <c r="F260" i="18"/>
  <c r="F256" i="18"/>
  <c r="F244" i="18"/>
  <c r="F228" i="18"/>
  <c r="F227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284" i="18"/>
  <c r="F239" i="18"/>
  <c r="F219" i="18"/>
  <c r="F218" i="18"/>
  <c r="F211" i="18"/>
  <c r="F210" i="18"/>
  <c r="F203" i="18"/>
  <c r="F199" i="18"/>
  <c r="F283" i="18"/>
  <c r="F250" i="18"/>
  <c r="F230" i="18"/>
  <c r="F229" i="18"/>
  <c r="F194" i="18"/>
  <c r="F190" i="18"/>
  <c r="F282" i="18"/>
  <c r="F269" i="18"/>
  <c r="F261" i="18"/>
  <c r="F257" i="18"/>
  <c r="F245" i="18"/>
  <c r="F221" i="18"/>
  <c r="F220" i="18"/>
  <c r="F213" i="18"/>
  <c r="F212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281" i="18"/>
  <c r="F252" i="18"/>
  <c r="F251" i="18"/>
  <c r="F240" i="18"/>
  <c r="F232" i="18"/>
  <c r="F231" i="18"/>
  <c r="F204" i="18"/>
  <c r="F200" i="18"/>
  <c r="L12" i="18"/>
  <c r="N12" i="18" s="1"/>
  <c r="N32" i="18"/>
  <c r="N72" i="18"/>
  <c r="F191" i="18"/>
  <c r="Z251" i="18"/>
  <c r="F112" i="12"/>
  <c r="F116" i="12"/>
  <c r="F120" i="12"/>
  <c r="F124" i="12"/>
  <c r="F128" i="12"/>
  <c r="F132" i="12"/>
  <c r="F136" i="12"/>
  <c r="F140" i="12"/>
  <c r="F144" i="12"/>
  <c r="F148" i="12"/>
  <c r="F152" i="12"/>
  <c r="F156" i="12"/>
  <c r="F160" i="12"/>
  <c r="F207" i="12"/>
  <c r="F208" i="12"/>
  <c r="F219" i="12"/>
  <c r="F220" i="12"/>
  <c r="F236" i="12"/>
  <c r="F265" i="12"/>
  <c r="N13" i="15"/>
  <c r="X107" i="15"/>
  <c r="Z107" i="15" s="1"/>
  <c r="N226" i="15"/>
  <c r="X249" i="15"/>
  <c r="Z227" i="18"/>
  <c r="N265" i="18"/>
  <c r="N85" i="21"/>
  <c r="Z13" i="24"/>
  <c r="T12" i="24"/>
  <c r="L22" i="24"/>
  <c r="N22" i="24"/>
  <c r="F169" i="12"/>
  <c r="F173" i="12"/>
  <c r="F189" i="12"/>
  <c r="F197" i="12"/>
  <c r="F224" i="12"/>
  <c r="F225" i="12"/>
  <c r="F241" i="12"/>
  <c r="F245" i="12"/>
  <c r="F253" i="12"/>
  <c r="F266" i="12"/>
  <c r="N202" i="15"/>
  <c r="N206" i="15"/>
  <c r="X221" i="15"/>
  <c r="Z221" i="15" s="1"/>
  <c r="T249" i="15"/>
  <c r="L20" i="18"/>
  <c r="N20" i="18" s="1"/>
  <c r="L36" i="18"/>
  <c r="N36" i="18" s="1"/>
  <c r="N52" i="18"/>
  <c r="N76" i="18"/>
  <c r="N96" i="18"/>
  <c r="N205" i="18"/>
  <c r="N207" i="18"/>
  <c r="F263" i="18"/>
  <c r="X267" i="18"/>
  <c r="Z267" i="18" s="1"/>
  <c r="D274" i="18"/>
  <c r="L274" i="18" s="1"/>
  <c r="L281" i="18"/>
  <c r="N281" i="18" s="1"/>
  <c r="Z31" i="21"/>
  <c r="L78" i="21"/>
  <c r="F27" i="21"/>
  <c r="J32" i="21"/>
  <c r="F40" i="21"/>
  <c r="F44" i="21"/>
  <c r="F51" i="21"/>
  <c r="J52" i="21"/>
  <c r="J56" i="21"/>
  <c r="L61" i="21"/>
  <c r="N61" i="21" s="1"/>
  <c r="J62" i="21"/>
  <c r="F66" i="21"/>
  <c r="F70" i="21"/>
  <c r="Z72" i="21"/>
  <c r="J87" i="21"/>
  <c r="J95" i="21"/>
  <c r="F98" i="21"/>
  <c r="N89" i="24"/>
  <c r="N126" i="24"/>
  <c r="J49" i="27"/>
  <c r="Z62" i="27"/>
  <c r="J91" i="27"/>
  <c r="J130" i="30"/>
  <c r="X250" i="15"/>
  <c r="Z250" i="15" s="1"/>
  <c r="J27" i="21"/>
  <c r="F36" i="21"/>
  <c r="J40" i="21"/>
  <c r="J51" i="21"/>
  <c r="F61" i="21"/>
  <c r="N66" i="21"/>
  <c r="J77" i="21"/>
  <c r="F90" i="21"/>
  <c r="H12" i="24"/>
  <c r="V77" i="27"/>
  <c r="Z86" i="27"/>
  <c r="X86" i="27"/>
  <c r="Z115" i="30"/>
  <c r="J120" i="30"/>
  <c r="D249" i="15"/>
  <c r="L249" i="15" s="1"/>
  <c r="J36" i="21"/>
  <c r="F50" i="21"/>
  <c r="J66" i="21"/>
  <c r="J81" i="21"/>
  <c r="Z88" i="21"/>
  <c r="F97" i="21"/>
  <c r="F101" i="21"/>
  <c r="F102" i="21"/>
  <c r="Z20" i="24"/>
  <c r="X29" i="24"/>
  <c r="Z29" i="24" s="1"/>
  <c r="Z31" i="24"/>
  <c r="N79" i="24"/>
  <c r="Z89" i="24"/>
  <c r="P12" i="27"/>
  <c r="Z28" i="30"/>
  <c r="Z30" i="30"/>
  <c r="Z32" i="30"/>
  <c r="Z34" i="30"/>
  <c r="V73" i="30"/>
  <c r="F77" i="21"/>
  <c r="F69" i="21"/>
  <c r="F68" i="21"/>
  <c r="F49" i="21"/>
  <c r="F48" i="21"/>
  <c r="F81" i="21"/>
  <c r="F80" i="21"/>
  <c r="F73" i="21"/>
  <c r="F72" i="21"/>
  <c r="F110" i="21"/>
  <c r="F87" i="21"/>
  <c r="F75" i="21"/>
  <c r="F74" i="21"/>
  <c r="F55" i="21"/>
  <c r="F54" i="21"/>
  <c r="F25" i="21"/>
  <c r="F26" i="21"/>
  <c r="F39" i="21"/>
  <c r="F46" i="21"/>
  <c r="J55" i="21"/>
  <c r="J61" i="21"/>
  <c r="F65" i="21"/>
  <c r="F83" i="21"/>
  <c r="F92" i="21"/>
  <c r="Z17" i="24"/>
  <c r="Z82" i="30"/>
  <c r="X82" i="30"/>
  <c r="J85" i="30"/>
  <c r="L126" i="30"/>
  <c r="N126" i="30" s="1"/>
  <c r="J102" i="21"/>
  <c r="J94" i="21"/>
  <c r="J90" i="21"/>
  <c r="J104" i="21"/>
  <c r="J84" i="21"/>
  <c r="J78" i="21"/>
  <c r="J70" i="21"/>
  <c r="J60" i="21"/>
  <c r="J50" i="21"/>
  <c r="J44" i="21"/>
  <c r="J96" i="21"/>
  <c r="J92" i="21"/>
  <c r="J74" i="21"/>
  <c r="J64" i="21"/>
  <c r="J98" i="21"/>
  <c r="J88" i="21"/>
  <c r="J82" i="21"/>
  <c r="J46" i="21"/>
  <c r="J42" i="21"/>
  <c r="J26" i="21"/>
  <c r="F35" i="21"/>
  <c r="J39" i="21"/>
  <c r="F43" i="21"/>
  <c r="Z52" i="21"/>
  <c r="J65" i="21"/>
  <c r="J73" i="21"/>
  <c r="Z78" i="21"/>
  <c r="J83" i="21"/>
  <c r="J97" i="21"/>
  <c r="J101" i="21"/>
  <c r="N14" i="24"/>
  <c r="X17" i="24"/>
  <c r="X33" i="24"/>
  <c r="Z33" i="24" s="1"/>
  <c r="Z35" i="24"/>
  <c r="F105" i="27"/>
  <c r="F57" i="27"/>
  <c r="F53" i="27"/>
  <c r="F49" i="27"/>
  <c r="F45" i="27"/>
  <c r="F100" i="27"/>
  <c r="F92" i="27"/>
  <c r="F91" i="27"/>
  <c r="F76" i="27"/>
  <c r="L12" i="27"/>
  <c r="F107" i="27"/>
  <c r="F106" i="27"/>
  <c r="F83" i="27"/>
  <c r="F71" i="27"/>
  <c r="F67" i="27"/>
  <c r="F102" i="27"/>
  <c r="F101" i="27"/>
  <c r="F94" i="27"/>
  <c r="F93" i="27"/>
  <c r="F58" i="27"/>
  <c r="F54" i="27"/>
  <c r="F50" i="27"/>
  <c r="F46" i="27"/>
  <c r="F85" i="27"/>
  <c r="F84" i="27"/>
  <c r="F77" i="27"/>
  <c r="F108" i="27"/>
  <c r="F96" i="27"/>
  <c r="F95" i="27"/>
  <c r="F72" i="27"/>
  <c r="F68" i="27"/>
  <c r="F64" i="27"/>
  <c r="F63" i="27"/>
  <c r="F103" i="27"/>
  <c r="F87" i="27"/>
  <c r="F86" i="27"/>
  <c r="F62" i="27"/>
  <c r="F60" i="27"/>
  <c r="F55" i="27"/>
  <c r="F51" i="27"/>
  <c r="F47" i="27"/>
  <c r="F43" i="27"/>
  <c r="F42" i="27"/>
  <c r="F110" i="27"/>
  <c r="F109" i="27"/>
  <c r="F78" i="27"/>
  <c r="F74" i="27"/>
  <c r="F73" i="27"/>
  <c r="D60" i="27"/>
  <c r="F97" i="27"/>
  <c r="F89" i="27"/>
  <c r="F88" i="27"/>
  <c r="F69" i="27"/>
  <c r="F65" i="27"/>
  <c r="F117" i="27"/>
  <c r="F112" i="27"/>
  <c r="F111" i="27"/>
  <c r="F104" i="27"/>
  <c r="F80" i="27"/>
  <c r="F79" i="27"/>
  <c r="F56" i="27"/>
  <c r="F52" i="27"/>
  <c r="F48" i="27"/>
  <c r="F44" i="27"/>
  <c r="F121" i="27"/>
  <c r="F116" i="27"/>
  <c r="F99" i="27"/>
  <c r="F98" i="27"/>
  <c r="F75" i="27"/>
  <c r="V77" i="30"/>
  <c r="X208" i="15"/>
  <c r="Z208" i="15" s="1"/>
  <c r="L242" i="15"/>
  <c r="X254" i="15"/>
  <c r="Z254" i="15" s="1"/>
  <c r="X207" i="18"/>
  <c r="Z207" i="18" s="1"/>
  <c r="X215" i="18"/>
  <c r="Z215" i="18" s="1"/>
  <c r="L12" i="21"/>
  <c r="L16" i="21"/>
  <c r="N16" i="21" s="1"/>
  <c r="L20" i="21"/>
  <c r="N20" i="21" s="1"/>
  <c r="J25" i="21"/>
  <c r="J35" i="21"/>
  <c r="J43" i="21"/>
  <c r="J49" i="21"/>
  <c r="F59" i="21"/>
  <c r="F60" i="21"/>
  <c r="Z66" i="21"/>
  <c r="F76" i="21"/>
  <c r="N80" i="21"/>
  <c r="F86" i="21"/>
  <c r="F89" i="21"/>
  <c r="F94" i="21"/>
  <c r="F100" i="21"/>
  <c r="Z19" i="24"/>
  <c r="Z37" i="24"/>
  <c r="J106" i="27"/>
  <c r="J100" i="27"/>
  <c r="J92" i="27"/>
  <c r="J76" i="27"/>
  <c r="N12" i="27"/>
  <c r="J107" i="27"/>
  <c r="J101" i="27"/>
  <c r="J93" i="27"/>
  <c r="J83" i="27"/>
  <c r="J71" i="27"/>
  <c r="J67" i="27"/>
  <c r="J102" i="27"/>
  <c r="J94" i="27"/>
  <c r="J84" i="27"/>
  <c r="J58" i="27"/>
  <c r="J54" i="27"/>
  <c r="J50" i="27"/>
  <c r="J46" i="27"/>
  <c r="J95" i="27"/>
  <c r="J85" i="27"/>
  <c r="J77" i="27"/>
  <c r="J63" i="27"/>
  <c r="J108" i="27"/>
  <c r="J96" i="27"/>
  <c r="J86" i="27"/>
  <c r="J72" i="27"/>
  <c r="J68" i="27"/>
  <c r="J64" i="27"/>
  <c r="J62" i="27"/>
  <c r="J42" i="27"/>
  <c r="J109" i="27"/>
  <c r="J103" i="27"/>
  <c r="J87" i="27"/>
  <c r="J73" i="27"/>
  <c r="H60" i="27"/>
  <c r="J60" i="27" s="1"/>
  <c r="J55" i="27"/>
  <c r="J51" i="27"/>
  <c r="J47" i="27"/>
  <c r="J43" i="27"/>
  <c r="J110" i="27"/>
  <c r="J88" i="27"/>
  <c r="J78" i="27"/>
  <c r="J74" i="27"/>
  <c r="J117" i="27"/>
  <c r="J111" i="27"/>
  <c r="J97" i="27"/>
  <c r="J89" i="27"/>
  <c r="J79" i="27"/>
  <c r="J69" i="27"/>
  <c r="J65" i="27"/>
  <c r="J116" i="27"/>
  <c r="J112" i="27"/>
  <c r="J104" i="27"/>
  <c r="J98" i="27"/>
  <c r="J80" i="27"/>
  <c r="J56" i="27"/>
  <c r="J52" i="27"/>
  <c r="J48" i="27"/>
  <c r="J44" i="27"/>
  <c r="J121" i="27"/>
  <c r="J115" i="27"/>
  <c r="J99" i="27"/>
  <c r="J81" i="27"/>
  <c r="J75" i="27"/>
  <c r="J114" i="27"/>
  <c r="J90" i="27"/>
  <c r="J82" i="27"/>
  <c r="J70" i="27"/>
  <c r="J66" i="27"/>
  <c r="J53" i="27"/>
  <c r="J128" i="30"/>
  <c r="J122" i="30"/>
  <c r="J116" i="30"/>
  <c r="J143" i="30"/>
  <c r="J144" i="30"/>
  <c r="J124" i="30"/>
  <c r="J108" i="30"/>
  <c r="J138" i="30"/>
  <c r="J132" i="30"/>
  <c r="J140" i="30"/>
  <c r="J114" i="30"/>
  <c r="J112" i="30"/>
  <c r="J106" i="30"/>
  <c r="J92" i="30"/>
  <c r="J80" i="30"/>
  <c r="J76" i="30"/>
  <c r="J136" i="30"/>
  <c r="J133" i="30"/>
  <c r="J101" i="30"/>
  <c r="J93" i="30"/>
  <c r="J67" i="30"/>
  <c r="J63" i="30"/>
  <c r="J59" i="30"/>
  <c r="J55" i="30"/>
  <c r="J51" i="30"/>
  <c r="J47" i="30"/>
  <c r="J139" i="30"/>
  <c r="J127" i="30"/>
  <c r="J117" i="30"/>
  <c r="J113" i="30"/>
  <c r="J107" i="30"/>
  <c r="J94" i="30"/>
  <c r="J86" i="30"/>
  <c r="J142" i="30"/>
  <c r="J95" i="30"/>
  <c r="J81" i="30"/>
  <c r="J77" i="30"/>
  <c r="J146" i="30"/>
  <c r="J131" i="30"/>
  <c r="J121" i="30"/>
  <c r="J102" i="30"/>
  <c r="J96" i="30"/>
  <c r="J82" i="30"/>
  <c r="J68" i="30"/>
  <c r="J64" i="30"/>
  <c r="J60" i="30"/>
  <c r="J56" i="30"/>
  <c r="J52" i="30"/>
  <c r="J48" i="30"/>
  <c r="J134" i="30"/>
  <c r="J87" i="30"/>
  <c r="J83" i="30"/>
  <c r="J73" i="30"/>
  <c r="J137" i="30"/>
  <c r="J118" i="30"/>
  <c r="J115" i="30"/>
  <c r="J109" i="30"/>
  <c r="J78" i="30"/>
  <c r="J74" i="30"/>
  <c r="J72" i="30"/>
  <c r="J147" i="30"/>
  <c r="J125" i="30"/>
  <c r="J103" i="30"/>
  <c r="J97" i="30"/>
  <c r="H70" i="30"/>
  <c r="J70" i="30" s="1"/>
  <c r="J65" i="30"/>
  <c r="J61" i="30"/>
  <c r="J57" i="30"/>
  <c r="J53" i="30"/>
  <c r="J49" i="30"/>
  <c r="J151" i="30"/>
  <c r="J98" i="30"/>
  <c r="J88" i="30"/>
  <c r="J84" i="30"/>
  <c r="J129" i="30"/>
  <c r="J123" i="30"/>
  <c r="J119" i="30"/>
  <c r="J110" i="30"/>
  <c r="J99" i="30"/>
  <c r="J89" i="30"/>
  <c r="J79" i="30"/>
  <c r="J75" i="30"/>
  <c r="J45" i="30"/>
  <c r="J141" i="30"/>
  <c r="J126" i="30"/>
  <c r="J104" i="30"/>
  <c r="J100" i="30"/>
  <c r="J90" i="30"/>
  <c r="J66" i="30"/>
  <c r="J62" i="30"/>
  <c r="J58" i="30"/>
  <c r="J54" i="30"/>
  <c r="J50" i="30"/>
  <c r="J46" i="30"/>
  <c r="N100" i="30"/>
  <c r="L100" i="30"/>
  <c r="X29" i="33"/>
  <c r="Z29" i="33"/>
  <c r="X255" i="15"/>
  <c r="Z255" i="15" s="1"/>
  <c r="H274" i="18"/>
  <c r="J274" i="18" s="1"/>
  <c r="N12" i="21"/>
  <c r="X13" i="21"/>
  <c r="J54" i="21"/>
  <c r="Z70" i="21"/>
  <c r="J76" i="21"/>
  <c r="J80" i="21"/>
  <c r="L85" i="21"/>
  <c r="J86" i="21"/>
  <c r="J89" i="21"/>
  <c r="L99" i="21"/>
  <c r="J100" i="21"/>
  <c r="N30" i="24"/>
  <c r="Z39" i="24"/>
  <c r="Z41" i="24"/>
  <c r="Z45" i="24"/>
  <c r="Z49" i="24"/>
  <c r="N97" i="24"/>
  <c r="X99" i="24"/>
  <c r="N15" i="27"/>
  <c r="L19" i="27"/>
  <c r="L23" i="27"/>
  <c r="N23" i="27" s="1"/>
  <c r="L27" i="27"/>
  <c r="L31" i="27"/>
  <c r="Z106" i="27"/>
  <c r="N31" i="30"/>
  <c r="N109" i="30"/>
  <c r="X32" i="21"/>
  <c r="Z32" i="21" s="1"/>
  <c r="F34" i="21"/>
  <c r="F38" i="21"/>
  <c r="F45" i="21"/>
  <c r="J59" i="21"/>
  <c r="X66" i="21"/>
  <c r="J68" i="21"/>
  <c r="F79" i="21"/>
  <c r="L80" i="21"/>
  <c r="F85" i="21"/>
  <c r="F91" i="21"/>
  <c r="F96" i="21"/>
  <c r="F99" i="21"/>
  <c r="F104" i="21"/>
  <c r="D12" i="24"/>
  <c r="L13" i="24"/>
  <c r="Z99" i="24"/>
  <c r="V108" i="27"/>
  <c r="V96" i="27"/>
  <c r="V88" i="27"/>
  <c r="V72" i="27"/>
  <c r="V68" i="27"/>
  <c r="V64" i="27"/>
  <c r="V117" i="27"/>
  <c r="V111" i="27"/>
  <c r="V103" i="27"/>
  <c r="V87" i="27"/>
  <c r="V79" i="27"/>
  <c r="V55" i="27"/>
  <c r="V51" i="27"/>
  <c r="V47" i="27"/>
  <c r="V43" i="27"/>
  <c r="V116" i="27"/>
  <c r="V110" i="27"/>
  <c r="V98" i="27"/>
  <c r="V78" i="27"/>
  <c r="V74" i="27"/>
  <c r="V115" i="27"/>
  <c r="V97" i="27"/>
  <c r="V89" i="27"/>
  <c r="V81" i="27"/>
  <c r="V69" i="27"/>
  <c r="V65" i="27"/>
  <c r="V114" i="27"/>
  <c r="V112" i="27"/>
  <c r="V104" i="27"/>
  <c r="V80" i="27"/>
  <c r="V56" i="27"/>
  <c r="V52" i="27"/>
  <c r="V48" i="27"/>
  <c r="V44" i="27"/>
  <c r="V121" i="27"/>
  <c r="V99" i="27"/>
  <c r="V91" i="27"/>
  <c r="V75" i="27"/>
  <c r="V106" i="27"/>
  <c r="V90" i="27"/>
  <c r="V82" i="27"/>
  <c r="V70" i="27"/>
  <c r="V66" i="27"/>
  <c r="V105" i="27"/>
  <c r="V101" i="27"/>
  <c r="V93" i="27"/>
  <c r="V57" i="27"/>
  <c r="V53" i="27"/>
  <c r="V49" i="27"/>
  <c r="V45" i="27"/>
  <c r="V100" i="27"/>
  <c r="V92" i="27"/>
  <c r="V84" i="27"/>
  <c r="V76" i="27"/>
  <c r="V107" i="27"/>
  <c r="V95" i="27"/>
  <c r="V83" i="27"/>
  <c r="V71" i="27"/>
  <c r="V67" i="27"/>
  <c r="V63" i="27"/>
  <c r="V102" i="27"/>
  <c r="V94" i="27"/>
  <c r="V86" i="27"/>
  <c r="V62" i="27"/>
  <c r="V58" i="27"/>
  <c r="V54" i="27"/>
  <c r="V50" i="27"/>
  <c r="V46" i="27"/>
  <c r="V42" i="27"/>
  <c r="N19" i="27"/>
  <c r="J45" i="27"/>
  <c r="Z72" i="30"/>
  <c r="J34" i="21"/>
  <c r="J38" i="21"/>
  <c r="J45" i="21"/>
  <c r="J48" i="21"/>
  <c r="F53" i="21"/>
  <c r="F57" i="21"/>
  <c r="F58" i="21"/>
  <c r="F63" i="21"/>
  <c r="F64" i="21"/>
  <c r="J72" i="21"/>
  <c r="J79" i="21"/>
  <c r="J91" i="21"/>
  <c r="F108" i="21"/>
  <c r="N18" i="24"/>
  <c r="X21" i="24"/>
  <c r="Z21" i="24" s="1"/>
  <c r="Z23" i="24"/>
  <c r="Z104" i="24"/>
  <c r="Z15" i="27"/>
  <c r="N35" i="27"/>
  <c r="L39" i="27"/>
  <c r="X42" i="27"/>
  <c r="T60" i="27"/>
  <c r="V60" i="27" s="1"/>
  <c r="V146" i="30"/>
  <c r="V144" i="30"/>
  <c r="V136" i="30"/>
  <c r="V124" i="30"/>
  <c r="V151" i="30"/>
  <c r="V140" i="30"/>
  <c r="V132" i="30"/>
  <c r="V120" i="30"/>
  <c r="V112" i="30"/>
  <c r="V128" i="30"/>
  <c r="V143" i="30"/>
  <c r="V142" i="30"/>
  <c r="V134" i="30"/>
  <c r="V130" i="30"/>
  <c r="V106" i="30"/>
  <c r="V131" i="30"/>
  <c r="V121" i="30"/>
  <c r="V114" i="30"/>
  <c r="V108" i="30"/>
  <c r="V96" i="30"/>
  <c r="V72" i="30"/>
  <c r="V68" i="30"/>
  <c r="V64" i="30"/>
  <c r="V60" i="30"/>
  <c r="V56" i="30"/>
  <c r="V52" i="30"/>
  <c r="V48" i="30"/>
  <c r="V122" i="30"/>
  <c r="V115" i="30"/>
  <c r="V109" i="30"/>
  <c r="V87" i="30"/>
  <c r="V83" i="30"/>
  <c r="T70" i="30"/>
  <c r="V98" i="30"/>
  <c r="V78" i="30"/>
  <c r="V74" i="30"/>
  <c r="V147" i="30"/>
  <c r="V137" i="30"/>
  <c r="V119" i="30"/>
  <c r="V118" i="30"/>
  <c r="V103" i="30"/>
  <c r="V97" i="30"/>
  <c r="V89" i="30"/>
  <c r="V65" i="30"/>
  <c r="V61" i="30"/>
  <c r="V57" i="30"/>
  <c r="V53" i="30"/>
  <c r="V49" i="30"/>
  <c r="V45" i="30"/>
  <c r="V129" i="30"/>
  <c r="V125" i="30"/>
  <c r="V88" i="30"/>
  <c r="V84" i="30"/>
  <c r="V138" i="30"/>
  <c r="V126" i="30"/>
  <c r="V111" i="30"/>
  <c r="V105" i="30"/>
  <c r="V100" i="30"/>
  <c r="V99" i="30"/>
  <c r="V91" i="30"/>
  <c r="V79" i="30"/>
  <c r="V75" i="30"/>
  <c r="V123" i="30"/>
  <c r="V116" i="30"/>
  <c r="V110" i="30"/>
  <c r="V104" i="30"/>
  <c r="V90" i="30"/>
  <c r="V66" i="30"/>
  <c r="V62" i="30"/>
  <c r="V58" i="30"/>
  <c r="V54" i="30"/>
  <c r="V50" i="30"/>
  <c r="V46" i="30"/>
  <c r="V141" i="30"/>
  <c r="V135" i="30"/>
  <c r="V93" i="30"/>
  <c r="V85" i="30"/>
  <c r="V113" i="30"/>
  <c r="V107" i="30"/>
  <c r="V92" i="30"/>
  <c r="V80" i="30"/>
  <c r="V76" i="30"/>
  <c r="V95" i="30"/>
  <c r="V67" i="30"/>
  <c r="V63" i="30"/>
  <c r="V59" i="30"/>
  <c r="V55" i="30"/>
  <c r="V51" i="30"/>
  <c r="V47" i="30"/>
  <c r="V139" i="30"/>
  <c r="V133" i="30"/>
  <c r="V127" i="30"/>
  <c r="V101" i="30"/>
  <c r="V94" i="30"/>
  <c r="V86" i="30"/>
  <c r="V82" i="30"/>
  <c r="Z33" i="30"/>
  <c r="V81" i="30"/>
  <c r="L49" i="18"/>
  <c r="L53" i="18"/>
  <c r="L57" i="18"/>
  <c r="N57" i="18" s="1"/>
  <c r="L61" i="18"/>
  <c r="N61" i="18" s="1"/>
  <c r="L65" i="18"/>
  <c r="L69" i="18"/>
  <c r="N69" i="18" s="1"/>
  <c r="L73" i="18"/>
  <c r="N73" i="18" s="1"/>
  <c r="L77" i="18"/>
  <c r="N77" i="18" s="1"/>
  <c r="L81" i="18"/>
  <c r="L85" i="18"/>
  <c r="N85" i="18" s="1"/>
  <c r="L89" i="18"/>
  <c r="N89" i="18" s="1"/>
  <c r="L93" i="18"/>
  <c r="L97" i="18"/>
  <c r="N97" i="18" s="1"/>
  <c r="L101" i="18"/>
  <c r="L105" i="18"/>
  <c r="L109" i="18"/>
  <c r="L113" i="18"/>
  <c r="N113" i="18" s="1"/>
  <c r="L117" i="18"/>
  <c r="L121" i="18"/>
  <c r="N121" i="18" s="1"/>
  <c r="F29" i="21"/>
  <c r="F31" i="21"/>
  <c r="F41" i="21"/>
  <c r="F42" i="21"/>
  <c r="L48" i="21"/>
  <c r="N48" i="21" s="1"/>
  <c r="X50" i="21"/>
  <c r="J53" i="21"/>
  <c r="J58" i="21"/>
  <c r="F67" i="21"/>
  <c r="F71" i="21"/>
  <c r="L72" i="21"/>
  <c r="N72" i="21" s="1"/>
  <c r="J75" i="21"/>
  <c r="F82" i="21"/>
  <c r="J85" i="21"/>
  <c r="F88" i="21"/>
  <c r="F93" i="21"/>
  <c r="J99" i="21"/>
  <c r="J108" i="21"/>
  <c r="Z23" i="27"/>
  <c r="Z27" i="27"/>
  <c r="N39" i="27"/>
  <c r="Z42" i="27"/>
  <c r="V73" i="27"/>
  <c r="J105" i="27"/>
  <c r="V109" i="27"/>
  <c r="Z17" i="30"/>
  <c r="Z21" i="30"/>
  <c r="Z27" i="30"/>
  <c r="J91" i="30"/>
  <c r="Z98" i="30"/>
  <c r="V117" i="30"/>
  <c r="J135" i="30"/>
  <c r="H29" i="21"/>
  <c r="F32" i="21"/>
  <c r="F33" i="21"/>
  <c r="F37" i="21"/>
  <c r="F47" i="21"/>
  <c r="F52" i="21"/>
  <c r="J57" i="21"/>
  <c r="J63" i="21"/>
  <c r="J67" i="21"/>
  <c r="J71" i="21"/>
  <c r="F78" i="21"/>
  <c r="Z80" i="21"/>
  <c r="N88" i="21"/>
  <c r="J93" i="21"/>
  <c r="P12" i="24"/>
  <c r="Z16" i="24"/>
  <c r="Z25" i="24"/>
  <c r="J57" i="27"/>
  <c r="N62" i="27"/>
  <c r="D114" i="27"/>
  <c r="L114" i="27" s="1"/>
  <c r="N114" i="27" s="1"/>
  <c r="L116" i="27"/>
  <c r="J105" i="30"/>
  <c r="R47" i="30"/>
  <c r="R51" i="30"/>
  <c r="R55" i="30"/>
  <c r="R59" i="30"/>
  <c r="R63" i="30"/>
  <c r="R67" i="30"/>
  <c r="R107" i="30"/>
  <c r="R113" i="30"/>
  <c r="R136" i="30"/>
  <c r="L147" i="30"/>
  <c r="N147" i="30" s="1"/>
  <c r="P12" i="33"/>
  <c r="N22" i="33"/>
  <c r="X68" i="33"/>
  <c r="Z68" i="33" s="1"/>
  <c r="H12" i="36"/>
  <c r="N14" i="36"/>
  <c r="L18" i="36"/>
  <c r="L22" i="36"/>
  <c r="X65" i="36"/>
  <c r="R76" i="30"/>
  <c r="R80" i="30"/>
  <c r="R92" i="30"/>
  <c r="R93" i="30"/>
  <c r="R106" i="30"/>
  <c r="L109" i="30"/>
  <c r="R112" i="30"/>
  <c r="Z136" i="30"/>
  <c r="N18" i="36"/>
  <c r="N22" i="36"/>
  <c r="Z65" i="36"/>
  <c r="X13" i="30"/>
  <c r="X17" i="30"/>
  <c r="X21" i="30"/>
  <c r="X25" i="30"/>
  <c r="Z25" i="30" s="1"/>
  <c r="X29" i="30"/>
  <c r="Z29" i="30" s="1"/>
  <c r="X33" i="30"/>
  <c r="R85" i="30"/>
  <c r="R120" i="30"/>
  <c r="R130" i="30"/>
  <c r="R135" i="30"/>
  <c r="N26" i="33"/>
  <c r="L26" i="33"/>
  <c r="V96" i="36"/>
  <c r="V116" i="36"/>
  <c r="V108" i="36"/>
  <c r="V104" i="36"/>
  <c r="V123" i="36"/>
  <c r="V117" i="36"/>
  <c r="V122" i="36"/>
  <c r="V112" i="36"/>
  <c r="V128" i="36"/>
  <c r="V114" i="36"/>
  <c r="V106" i="36"/>
  <c r="V102" i="36"/>
  <c r="V90" i="36"/>
  <c r="V109" i="36"/>
  <c r="V98" i="36"/>
  <c r="V75" i="36"/>
  <c r="V67" i="36"/>
  <c r="V39" i="36"/>
  <c r="V35" i="36"/>
  <c r="V86" i="36"/>
  <c r="V78" i="36"/>
  <c r="V66" i="36"/>
  <c r="V58" i="36"/>
  <c r="V26" i="36"/>
  <c r="V110" i="36"/>
  <c r="V107" i="36"/>
  <c r="V95" i="36"/>
  <c r="V92" i="36"/>
  <c r="V77" i="36"/>
  <c r="V69" i="36"/>
  <c r="V49" i="36"/>
  <c r="V45" i="36"/>
  <c r="V91" i="36"/>
  <c r="V80" i="36"/>
  <c r="V68" i="36"/>
  <c r="V40" i="36"/>
  <c r="V36" i="36"/>
  <c r="V124" i="36"/>
  <c r="V119" i="36"/>
  <c r="V113" i="36"/>
  <c r="V79" i="36"/>
  <c r="V71" i="36"/>
  <c r="V59" i="36"/>
  <c r="V51" i="36"/>
  <c r="V27" i="36"/>
  <c r="V105" i="36"/>
  <c r="V99" i="36"/>
  <c r="V87" i="36"/>
  <c r="V82" i="36"/>
  <c r="V70" i="36"/>
  <c r="V50" i="36"/>
  <c r="V46" i="36"/>
  <c r="V93" i="36"/>
  <c r="V81" i="36"/>
  <c r="V61" i="36"/>
  <c r="V53" i="36"/>
  <c r="V41" i="36"/>
  <c r="V37" i="36"/>
  <c r="V33" i="36"/>
  <c r="V121" i="36"/>
  <c r="V111" i="36"/>
  <c r="V103" i="36"/>
  <c r="V84" i="36"/>
  <c r="V72" i="36"/>
  <c r="V60" i="36"/>
  <c r="V52" i="36"/>
  <c r="V32" i="36"/>
  <c r="V28" i="36"/>
  <c r="V89" i="36"/>
  <c r="V83" i="36"/>
  <c r="V63" i="36"/>
  <c r="V55" i="36"/>
  <c r="V47" i="36"/>
  <c r="V43" i="36"/>
  <c r="T30" i="36"/>
  <c r="V88" i="36"/>
  <c r="V74" i="36"/>
  <c r="V62" i="36"/>
  <c r="V54" i="36"/>
  <c r="V42" i="36"/>
  <c r="V38" i="36"/>
  <c r="V34" i="36"/>
  <c r="V115" i="36"/>
  <c r="V101" i="36"/>
  <c r="V100" i="36"/>
  <c r="V94" i="36"/>
  <c r="V85" i="36"/>
  <c r="V73" i="36"/>
  <c r="V65" i="36"/>
  <c r="V57" i="36"/>
  <c r="P114" i="27"/>
  <c r="R117" i="30"/>
  <c r="R151" i="30"/>
  <c r="R138" i="30"/>
  <c r="R137" i="30"/>
  <c r="R126" i="30"/>
  <c r="R125" i="30"/>
  <c r="R102" i="30"/>
  <c r="R101" i="30"/>
  <c r="R141" i="30"/>
  <c r="R133" i="30"/>
  <c r="R123" i="30"/>
  <c r="Z13" i="30"/>
  <c r="R46" i="30"/>
  <c r="R50" i="30"/>
  <c r="R54" i="30"/>
  <c r="R58" i="30"/>
  <c r="R62" i="30"/>
  <c r="R66" i="30"/>
  <c r="R90" i="30"/>
  <c r="R91" i="30"/>
  <c r="R100" i="30"/>
  <c r="R104" i="30"/>
  <c r="R105" i="30"/>
  <c r="R110" i="30"/>
  <c r="R111" i="30"/>
  <c r="R116" i="30"/>
  <c r="X15" i="27"/>
  <c r="X19" i="27"/>
  <c r="Z19" i="27" s="1"/>
  <c r="X23" i="27"/>
  <c r="X27" i="27"/>
  <c r="X31" i="27"/>
  <c r="Z31" i="27" s="1"/>
  <c r="X35" i="27"/>
  <c r="Z35" i="27" s="1"/>
  <c r="X39" i="27"/>
  <c r="Z39" i="27" s="1"/>
  <c r="L23" i="30"/>
  <c r="N23" i="30" s="1"/>
  <c r="L27" i="30"/>
  <c r="N27" i="30" s="1"/>
  <c r="L31" i="30"/>
  <c r="L35" i="30"/>
  <c r="N35" i="30" s="1"/>
  <c r="L39" i="30"/>
  <c r="L43" i="30"/>
  <c r="N43" i="30" s="1"/>
  <c r="R75" i="30"/>
  <c r="R79" i="30"/>
  <c r="R99" i="30"/>
  <c r="Z100" i="30"/>
  <c r="Z126" i="30"/>
  <c r="R129" i="30"/>
  <c r="Z138" i="30"/>
  <c r="P146" i="30"/>
  <c r="X146" i="30" s="1"/>
  <c r="X147" i="30"/>
  <c r="Z147" i="30" s="1"/>
  <c r="H12" i="33"/>
  <c r="N13" i="33"/>
  <c r="N15" i="33"/>
  <c r="X79" i="24"/>
  <c r="Z79" i="24" s="1"/>
  <c r="X95" i="24"/>
  <c r="Z95" i="24" s="1"/>
  <c r="X133" i="24"/>
  <c r="T114" i="27"/>
  <c r="X12" i="30"/>
  <c r="Z12" i="30" s="1"/>
  <c r="R45" i="30"/>
  <c r="R84" i="30"/>
  <c r="R88" i="30"/>
  <c r="R89" i="30"/>
  <c r="R119" i="30"/>
  <c r="L122" i="30"/>
  <c r="N122" i="30" s="1"/>
  <c r="R132" i="30"/>
  <c r="N140" i="30"/>
  <c r="N146" i="30"/>
  <c r="R147" i="30"/>
  <c r="N17" i="33"/>
  <c r="N19" i="33"/>
  <c r="Z90" i="33"/>
  <c r="N15" i="36"/>
  <c r="V44" i="36"/>
  <c r="N71" i="36"/>
  <c r="V118" i="36"/>
  <c r="L13" i="27"/>
  <c r="N13" i="27" s="1"/>
  <c r="R49" i="30"/>
  <c r="R53" i="30"/>
  <c r="R57" i="30"/>
  <c r="R61" i="30"/>
  <c r="R65" i="30"/>
  <c r="R97" i="30"/>
  <c r="R98" i="30"/>
  <c r="R103" i="30"/>
  <c r="X109" i="30"/>
  <c r="Z109" i="30" s="1"/>
  <c r="X115" i="30"/>
  <c r="R118" i="30"/>
  <c r="R128" i="30"/>
  <c r="R143" i="30"/>
  <c r="T12" i="33"/>
  <c r="X13" i="33"/>
  <c r="Z13" i="33" s="1"/>
  <c r="X19" i="33"/>
  <c r="Z19" i="33" s="1"/>
  <c r="N21" i="33"/>
  <c r="N23" i="33"/>
  <c r="L27" i="33"/>
  <c r="P12" i="36"/>
  <c r="X15" i="36"/>
  <c r="Z15" i="36" s="1"/>
  <c r="N19" i="36"/>
  <c r="V64" i="36"/>
  <c r="V97" i="36"/>
  <c r="P70" i="30"/>
  <c r="R74" i="30"/>
  <c r="R78" i="30"/>
  <c r="R109" i="30"/>
  <c r="R115" i="30"/>
  <c r="R122" i="30"/>
  <c r="R134" i="30"/>
  <c r="L17" i="39"/>
  <c r="N17" i="39" s="1"/>
  <c r="X15" i="30"/>
  <c r="Z15" i="30" s="1"/>
  <c r="X19" i="30"/>
  <c r="Z19" i="30" s="1"/>
  <c r="X23" i="30"/>
  <c r="Z23" i="30" s="1"/>
  <c r="X27" i="30"/>
  <c r="X31" i="30"/>
  <c r="Z31" i="30" s="1"/>
  <c r="X35" i="30"/>
  <c r="Z35" i="30" s="1"/>
  <c r="X39" i="30"/>
  <c r="Z39" i="30" s="1"/>
  <c r="X43" i="30"/>
  <c r="Z43" i="30" s="1"/>
  <c r="R72" i="30"/>
  <c r="R83" i="30"/>
  <c r="R87" i="30"/>
  <c r="Z122" i="30"/>
  <c r="N136" i="30"/>
  <c r="R140" i="30"/>
  <c r="R146" i="30"/>
  <c r="Z17" i="33"/>
  <c r="N53" i="36"/>
  <c r="Z57" i="36"/>
  <c r="N76" i="36"/>
  <c r="N92" i="36"/>
  <c r="X98" i="27"/>
  <c r="Z98" i="27" s="1"/>
  <c r="X116" i="27"/>
  <c r="R48" i="30"/>
  <c r="R52" i="30"/>
  <c r="R56" i="30"/>
  <c r="R60" i="30"/>
  <c r="R64" i="30"/>
  <c r="R68" i="30"/>
  <c r="R73" i="30"/>
  <c r="R96" i="30"/>
  <c r="X98" i="30"/>
  <c r="R108" i="30"/>
  <c r="R114" i="30"/>
  <c r="R121" i="30"/>
  <c r="R131" i="30"/>
  <c r="R142" i="30"/>
  <c r="Z146" i="30"/>
  <c r="Z21" i="33"/>
  <c r="N50" i="33"/>
  <c r="N13" i="39"/>
  <c r="H12" i="39"/>
  <c r="L13" i="39"/>
  <c r="R77" i="30"/>
  <c r="R81" i="30"/>
  <c r="R82" i="30"/>
  <c r="X122" i="30"/>
  <c r="N14" i="33"/>
  <c r="X40" i="33"/>
  <c r="Z40" i="33" s="1"/>
  <c r="N51" i="36"/>
  <c r="Z82" i="36"/>
  <c r="X89" i="33"/>
  <c r="Z89" i="33" s="1"/>
  <c r="F46" i="36"/>
  <c r="F50" i="36"/>
  <c r="F69" i="36"/>
  <c r="F70" i="36"/>
  <c r="F92" i="36"/>
  <c r="F96" i="36"/>
  <c r="F108" i="36"/>
  <c r="Z25" i="39"/>
  <c r="N33" i="39"/>
  <c r="D37" i="39"/>
  <c r="F63" i="39"/>
  <c r="F70" i="39"/>
  <c r="Z79" i="39"/>
  <c r="F91" i="39"/>
  <c r="F128" i="39"/>
  <c r="J125" i="42"/>
  <c r="J119" i="42"/>
  <c r="J89" i="42"/>
  <c r="J83" i="42"/>
  <c r="J73" i="42"/>
  <c r="J121" i="42"/>
  <c r="J115" i="42"/>
  <c r="J107" i="42"/>
  <c r="J97" i="42"/>
  <c r="J85" i="42"/>
  <c r="J79" i="42"/>
  <c r="J69" i="42"/>
  <c r="J113" i="42"/>
  <c r="J102" i="42"/>
  <c r="J84" i="42"/>
  <c r="J81" i="42"/>
  <c r="J71" i="42"/>
  <c r="J58" i="42"/>
  <c r="J50" i="42"/>
  <c r="J40" i="42"/>
  <c r="J36" i="42"/>
  <c r="J118" i="42"/>
  <c r="J96" i="42"/>
  <c r="J76" i="42"/>
  <c r="J65" i="42"/>
  <c r="J51" i="42"/>
  <c r="J27" i="42"/>
  <c r="J110" i="42"/>
  <c r="J92" i="42"/>
  <c r="J66" i="42"/>
  <c r="J52" i="42"/>
  <c r="J46" i="42"/>
  <c r="J32" i="42"/>
  <c r="J106" i="42"/>
  <c r="J103" i="42"/>
  <c r="J88" i="42"/>
  <c r="J82" i="42"/>
  <c r="J67" i="42"/>
  <c r="J59" i="42"/>
  <c r="J53" i="42"/>
  <c r="J41" i="42"/>
  <c r="J37" i="42"/>
  <c r="J33" i="42"/>
  <c r="J31" i="42"/>
  <c r="J114" i="42"/>
  <c r="J100" i="42"/>
  <c r="J77" i="42"/>
  <c r="J54" i="42"/>
  <c r="J42" i="42"/>
  <c r="H29" i="42"/>
  <c r="J120" i="42"/>
  <c r="J111" i="42"/>
  <c r="J93" i="42"/>
  <c r="J72" i="42"/>
  <c r="J68" i="42"/>
  <c r="J60" i="42"/>
  <c r="J55" i="42"/>
  <c r="J47" i="42"/>
  <c r="J43" i="42"/>
  <c r="J61" i="42"/>
  <c r="J56" i="42"/>
  <c r="J38" i="42"/>
  <c r="J34" i="42"/>
  <c r="J101" i="42"/>
  <c r="J90" i="42"/>
  <c r="J86" i="42"/>
  <c r="J78" i="42"/>
  <c r="J108" i="42"/>
  <c r="J104" i="42"/>
  <c r="J98" i="42"/>
  <c r="J62" i="42"/>
  <c r="J57" i="42"/>
  <c r="J48" i="42"/>
  <c r="J44" i="42"/>
  <c r="J116" i="42"/>
  <c r="J112" i="42"/>
  <c r="J94" i="42"/>
  <c r="J74" i="42"/>
  <c r="J70" i="42"/>
  <c r="J63" i="42"/>
  <c r="J39" i="42"/>
  <c r="J35" i="42"/>
  <c r="J25" i="42"/>
  <c r="J109" i="42"/>
  <c r="J95" i="42"/>
  <c r="J91" i="42"/>
  <c r="J87" i="42"/>
  <c r="J75" i="42"/>
  <c r="J26" i="42"/>
  <c r="Z86" i="42"/>
  <c r="X15" i="45"/>
  <c r="Z15" i="45" s="1"/>
  <c r="D92" i="45"/>
  <c r="D12" i="33"/>
  <c r="H86" i="33"/>
  <c r="F26" i="36"/>
  <c r="F27" i="36"/>
  <c r="F59" i="36"/>
  <c r="F78" i="36"/>
  <c r="F79" i="36"/>
  <c r="F124" i="36"/>
  <c r="P12" i="39"/>
  <c r="X13" i="39"/>
  <c r="V58" i="39"/>
  <c r="F36" i="36"/>
  <c r="F40" i="36"/>
  <c r="F67" i="36"/>
  <c r="F68" i="36"/>
  <c r="F91" i="36"/>
  <c r="F119" i="36"/>
  <c r="F123" i="36"/>
  <c r="N124" i="36"/>
  <c r="Z13" i="39"/>
  <c r="Z17" i="39"/>
  <c r="N50" i="42"/>
  <c r="N66" i="42"/>
  <c r="L75" i="42"/>
  <c r="N75" i="42" s="1"/>
  <c r="F87" i="42"/>
  <c r="Z89" i="42"/>
  <c r="F45" i="36"/>
  <c r="F49" i="36"/>
  <c r="F76" i="36"/>
  <c r="F77" i="36"/>
  <c r="F107" i="36"/>
  <c r="F110" i="36"/>
  <c r="F128" i="36"/>
  <c r="N26" i="39"/>
  <c r="V122" i="39"/>
  <c r="Z17" i="42"/>
  <c r="Z54" i="42"/>
  <c r="X54" i="42"/>
  <c r="F117" i="36"/>
  <c r="F109" i="36"/>
  <c r="F105" i="36"/>
  <c r="F122" i="36"/>
  <c r="F113" i="36"/>
  <c r="F112" i="36"/>
  <c r="F99" i="36"/>
  <c r="F98" i="36"/>
  <c r="F87" i="36"/>
  <c r="X14" i="36"/>
  <c r="X18" i="36"/>
  <c r="Z18" i="36" s="1"/>
  <c r="X22" i="36"/>
  <c r="Z22" i="36" s="1"/>
  <c r="F57" i="36"/>
  <c r="F58" i="36"/>
  <c r="F65" i="36"/>
  <c r="F66" i="36"/>
  <c r="F86" i="36"/>
  <c r="F95" i="36"/>
  <c r="F102" i="36"/>
  <c r="N110" i="36"/>
  <c r="Z114" i="36"/>
  <c r="F116" i="36"/>
  <c r="N22" i="39"/>
  <c r="Z30" i="39"/>
  <c r="V66" i="39"/>
  <c r="Z107" i="39"/>
  <c r="Z23" i="42"/>
  <c r="X42" i="42"/>
  <c r="Z42" i="42" s="1"/>
  <c r="Z66" i="42"/>
  <c r="R92" i="42"/>
  <c r="N16" i="45"/>
  <c r="L70" i="33"/>
  <c r="N70" i="33" s="1"/>
  <c r="L88" i="33"/>
  <c r="N88" i="33" s="1"/>
  <c r="Z14" i="36"/>
  <c r="F35" i="36"/>
  <c r="F39" i="36"/>
  <c r="F74" i="36"/>
  <c r="F75" i="36"/>
  <c r="F101" i="36"/>
  <c r="N123" i="36"/>
  <c r="Z124" i="36"/>
  <c r="Z26" i="39"/>
  <c r="Z28" i="39"/>
  <c r="Z39" i="39"/>
  <c r="V110" i="39"/>
  <c r="D127" i="39"/>
  <c r="L127" i="39" s="1"/>
  <c r="L129" i="39"/>
  <c r="N129" i="39" s="1"/>
  <c r="Z50" i="42"/>
  <c r="L95" i="42"/>
  <c r="N95" i="42" s="1"/>
  <c r="L12" i="36"/>
  <c r="D30" i="36"/>
  <c r="F30" i="36" s="1"/>
  <c r="F43" i="36"/>
  <c r="F44" i="36"/>
  <c r="F48" i="36"/>
  <c r="F55" i="36"/>
  <c r="F56" i="36"/>
  <c r="F63" i="36"/>
  <c r="F64" i="36"/>
  <c r="F89" i="36"/>
  <c r="F90" i="36"/>
  <c r="F118" i="36"/>
  <c r="N122" i="36"/>
  <c r="H121" i="36"/>
  <c r="X14" i="39"/>
  <c r="Z14" i="39" s="1"/>
  <c r="N16" i="39"/>
  <c r="L16" i="39"/>
  <c r="X18" i="39"/>
  <c r="Z18" i="39" s="1"/>
  <c r="X20" i="39"/>
  <c r="Z22" i="39"/>
  <c r="Z24" i="39"/>
  <c r="F71" i="39"/>
  <c r="Z32" i="42"/>
  <c r="J80" i="42"/>
  <c r="N98" i="42"/>
  <c r="H12" i="45"/>
  <c r="N14" i="45"/>
  <c r="L14" i="45"/>
  <c r="T86" i="33"/>
  <c r="F32" i="36"/>
  <c r="F73" i="36"/>
  <c r="F84" i="36"/>
  <c r="F85" i="36"/>
  <c r="Z92" i="36"/>
  <c r="F97" i="36"/>
  <c r="F104" i="36"/>
  <c r="Z110" i="36"/>
  <c r="F115" i="36"/>
  <c r="N118" i="36"/>
  <c r="X16" i="39"/>
  <c r="Z20" i="39"/>
  <c r="F33" i="36"/>
  <c r="F34" i="36"/>
  <c r="F38" i="36"/>
  <c r="F42" i="36"/>
  <c r="F53" i="36"/>
  <c r="F54" i="36"/>
  <c r="F61" i="36"/>
  <c r="F62" i="36"/>
  <c r="F94" i="36"/>
  <c r="N112" i="36"/>
  <c r="V105" i="39"/>
  <c r="V93" i="39"/>
  <c r="V85" i="39"/>
  <c r="V77" i="39"/>
  <c r="V57" i="39"/>
  <c r="V53" i="39"/>
  <c r="V130" i="39"/>
  <c r="V124" i="39"/>
  <c r="V116" i="39"/>
  <c r="V100" i="39"/>
  <c r="V88" i="39"/>
  <c r="V68" i="39"/>
  <c r="V60" i="39"/>
  <c r="V48" i="39"/>
  <c r="V44" i="39"/>
  <c r="V40" i="39"/>
  <c r="V129" i="39"/>
  <c r="V123" i="39"/>
  <c r="V115" i="39"/>
  <c r="V111" i="39"/>
  <c r="V107" i="39"/>
  <c r="V95" i="39"/>
  <c r="V87" i="39"/>
  <c r="V79" i="39"/>
  <c r="V67" i="39"/>
  <c r="V59" i="39"/>
  <c r="V39" i="39"/>
  <c r="V35" i="39"/>
  <c r="V128" i="39"/>
  <c r="V118" i="39"/>
  <c r="V106" i="39"/>
  <c r="V94" i="39"/>
  <c r="V90" i="39"/>
  <c r="V78" i="39"/>
  <c r="V70" i="39"/>
  <c r="V62" i="39"/>
  <c r="V54" i="39"/>
  <c r="V50" i="39"/>
  <c r="T37" i="39"/>
  <c r="V125" i="39"/>
  <c r="V117" i="39"/>
  <c r="V101" i="39"/>
  <c r="V89" i="39"/>
  <c r="V69" i="39"/>
  <c r="V61" i="39"/>
  <c r="V49" i="39"/>
  <c r="V45" i="39"/>
  <c r="V41" i="39"/>
  <c r="V134" i="39"/>
  <c r="V120" i="39"/>
  <c r="V112" i="39"/>
  <c r="V108" i="39"/>
  <c r="V96" i="39"/>
  <c r="V80" i="39"/>
  <c r="V72" i="39"/>
  <c r="V64" i="39"/>
  <c r="V119" i="39"/>
  <c r="V91" i="39"/>
  <c r="V71" i="39"/>
  <c r="V63" i="39"/>
  <c r="V55" i="39"/>
  <c r="V51" i="39"/>
  <c r="V102" i="39"/>
  <c r="V98" i="39"/>
  <c r="V82" i="39"/>
  <c r="V74" i="39"/>
  <c r="V46" i="39"/>
  <c r="V42" i="39"/>
  <c r="V121" i="39"/>
  <c r="V113" i="39"/>
  <c r="V109" i="39"/>
  <c r="V97" i="39"/>
  <c r="V81" i="39"/>
  <c r="V73" i="39"/>
  <c r="V65" i="39"/>
  <c r="V33" i="39"/>
  <c r="V104" i="39"/>
  <c r="V92" i="39"/>
  <c r="V84" i="39"/>
  <c r="V76" i="39"/>
  <c r="V56" i="39"/>
  <c r="V52" i="39"/>
  <c r="V103" i="39"/>
  <c r="V99" i="39"/>
  <c r="V83" i="39"/>
  <c r="V75" i="39"/>
  <c r="V47" i="39"/>
  <c r="V43" i="39"/>
  <c r="Z16" i="39"/>
  <c r="N27" i="39"/>
  <c r="N29" i="39"/>
  <c r="F121" i="42"/>
  <c r="F112" i="42"/>
  <c r="F111" i="42"/>
  <c r="F104" i="42"/>
  <c r="F100" i="42"/>
  <c r="F88" i="42"/>
  <c r="F72" i="42"/>
  <c r="F114" i="42"/>
  <c r="F106" i="42"/>
  <c r="F102" i="42"/>
  <c r="F78" i="42"/>
  <c r="F77" i="42"/>
  <c r="F58" i="42"/>
  <c r="F109" i="42"/>
  <c r="F105" i="42"/>
  <c r="F99" i="42"/>
  <c r="F95" i="42"/>
  <c r="F80" i="42"/>
  <c r="F75" i="42"/>
  <c r="F49" i="42"/>
  <c r="F45" i="42"/>
  <c r="F113" i="42"/>
  <c r="F84" i="42"/>
  <c r="F71" i="42"/>
  <c r="F64" i="42"/>
  <c r="F40" i="42"/>
  <c r="F36" i="42"/>
  <c r="F96" i="42"/>
  <c r="F81" i="42"/>
  <c r="F76" i="42"/>
  <c r="F65" i="42"/>
  <c r="F51" i="42"/>
  <c r="F50" i="42"/>
  <c r="F27" i="42"/>
  <c r="F110" i="42"/>
  <c r="F92" i="42"/>
  <c r="F46" i="42"/>
  <c r="F119" i="42"/>
  <c r="F103" i="42"/>
  <c r="F82" i="42"/>
  <c r="F67" i="42"/>
  <c r="F66" i="42"/>
  <c r="F59" i="42"/>
  <c r="F53" i="42"/>
  <c r="F52" i="42"/>
  <c r="F41" i="42"/>
  <c r="F37" i="42"/>
  <c r="F33" i="42"/>
  <c r="F32" i="42"/>
  <c r="F125" i="42"/>
  <c r="F85" i="42"/>
  <c r="F31" i="42"/>
  <c r="F107" i="42"/>
  <c r="F97" i="42"/>
  <c r="F93" i="42"/>
  <c r="F89" i="42"/>
  <c r="F55" i="42"/>
  <c r="F54" i="42"/>
  <c r="F47" i="42"/>
  <c r="F43" i="42"/>
  <c r="F42" i="42"/>
  <c r="D29" i="42"/>
  <c r="F29" i="42" s="1"/>
  <c r="F120" i="42"/>
  <c r="F115" i="42"/>
  <c r="F69" i="42"/>
  <c r="F68" i="42"/>
  <c r="F61" i="42"/>
  <c r="F60" i="42"/>
  <c r="F38" i="42"/>
  <c r="F34" i="42"/>
  <c r="F101" i="42"/>
  <c r="F90" i="42"/>
  <c r="F83" i="42"/>
  <c r="F73" i="42"/>
  <c r="F56" i="42"/>
  <c r="F108" i="42"/>
  <c r="F86" i="42"/>
  <c r="F57" i="42"/>
  <c r="F48" i="42"/>
  <c r="F44" i="42"/>
  <c r="L12" i="42"/>
  <c r="N12" i="42" s="1"/>
  <c r="F116" i="42"/>
  <c r="F98" i="42"/>
  <c r="F94" i="42"/>
  <c r="F79" i="42"/>
  <c r="F74" i="42"/>
  <c r="F63" i="42"/>
  <c r="F62" i="42"/>
  <c r="F39" i="42"/>
  <c r="F35" i="42"/>
  <c r="R96" i="42"/>
  <c r="R84" i="42"/>
  <c r="R77" i="42"/>
  <c r="R76" i="42"/>
  <c r="R119" i="42"/>
  <c r="R116" i="42"/>
  <c r="R109" i="42"/>
  <c r="R108" i="42"/>
  <c r="R111" i="42"/>
  <c r="R110" i="42"/>
  <c r="R82" i="42"/>
  <c r="R106" i="42"/>
  <c r="R88" i="42"/>
  <c r="R67" i="42"/>
  <c r="R54" i="42"/>
  <c r="R53" i="42"/>
  <c r="R42" i="42"/>
  <c r="R41" i="42"/>
  <c r="R37" i="42"/>
  <c r="R33" i="42"/>
  <c r="P29" i="42"/>
  <c r="R114" i="42"/>
  <c r="R103" i="42"/>
  <c r="R100" i="42"/>
  <c r="R89" i="42"/>
  <c r="R68" i="42"/>
  <c r="R60" i="42"/>
  <c r="R59" i="42"/>
  <c r="R120" i="42"/>
  <c r="R107" i="42"/>
  <c r="R93" i="42"/>
  <c r="R85" i="42"/>
  <c r="R72" i="42"/>
  <c r="R56" i="42"/>
  <c r="R55" i="42"/>
  <c r="R47" i="42"/>
  <c r="R43" i="42"/>
  <c r="R125" i="42"/>
  <c r="R115" i="42"/>
  <c r="R97" i="42"/>
  <c r="R73" i="42"/>
  <c r="R61" i="42"/>
  <c r="R38" i="42"/>
  <c r="R34" i="42"/>
  <c r="R90" i="42"/>
  <c r="R86" i="42"/>
  <c r="R78" i="42"/>
  <c r="R69" i="42"/>
  <c r="R62" i="42"/>
  <c r="R121" i="42"/>
  <c r="R104" i="42"/>
  <c r="R101" i="42"/>
  <c r="R98" i="42"/>
  <c r="R83" i="42"/>
  <c r="R79" i="42"/>
  <c r="R57" i="42"/>
  <c r="R48" i="42"/>
  <c r="R44" i="42"/>
  <c r="R25" i="42"/>
  <c r="X12" i="42"/>
  <c r="Z12" i="42" s="1"/>
  <c r="R112" i="42"/>
  <c r="R94" i="42"/>
  <c r="R74" i="42"/>
  <c r="R70" i="42"/>
  <c r="R63" i="42"/>
  <c r="R39" i="42"/>
  <c r="R35" i="42"/>
  <c r="R95" i="42"/>
  <c r="R91" i="42"/>
  <c r="R75" i="42"/>
  <c r="R64" i="42"/>
  <c r="R26" i="42"/>
  <c r="R105" i="42"/>
  <c r="R87" i="42"/>
  <c r="R80" i="42"/>
  <c r="R50" i="42"/>
  <c r="R49" i="42"/>
  <c r="R45" i="42"/>
  <c r="R113" i="42"/>
  <c r="R102" i="42"/>
  <c r="R99" i="42"/>
  <c r="R81" i="42"/>
  <c r="R58" i="42"/>
  <c r="R40" i="42"/>
  <c r="R36" i="42"/>
  <c r="R118" i="42"/>
  <c r="R71" i="42"/>
  <c r="R66" i="42"/>
  <c r="R65" i="42"/>
  <c r="R52" i="42"/>
  <c r="R51" i="42"/>
  <c r="R32" i="42"/>
  <c r="R27" i="42"/>
  <c r="R46" i="42"/>
  <c r="N109" i="42"/>
  <c r="L109" i="42"/>
  <c r="T12" i="45"/>
  <c r="L15" i="36"/>
  <c r="L19" i="36"/>
  <c r="L23" i="36"/>
  <c r="N23" i="36" s="1"/>
  <c r="F47" i="36"/>
  <c r="F82" i="36"/>
  <c r="F83" i="36"/>
  <c r="F88" i="36"/>
  <c r="Z98" i="36"/>
  <c r="F100" i="36"/>
  <c r="F106" i="36"/>
  <c r="P121" i="36"/>
  <c r="X121" i="36" s="1"/>
  <c r="X122" i="36"/>
  <c r="Z122" i="36" s="1"/>
  <c r="N127" i="39"/>
  <c r="Z16" i="42"/>
  <c r="Z20" i="42"/>
  <c r="F28" i="36"/>
  <c r="F51" i="36"/>
  <c r="F52" i="36"/>
  <c r="F60" i="36"/>
  <c r="F71" i="36"/>
  <c r="F72" i="36"/>
  <c r="F103" i="36"/>
  <c r="Z118" i="36"/>
  <c r="F121" i="36"/>
  <c r="Z121" i="36"/>
  <c r="F127" i="39"/>
  <c r="F102" i="39"/>
  <c r="F46" i="39"/>
  <c r="F42" i="39"/>
  <c r="F121" i="39"/>
  <c r="F120" i="39"/>
  <c r="F113" i="39"/>
  <c r="F109" i="39"/>
  <c r="F97" i="39"/>
  <c r="F81" i="39"/>
  <c r="F73" i="39"/>
  <c r="F72" i="39"/>
  <c r="F65" i="39"/>
  <c r="F64" i="39"/>
  <c r="F92" i="39"/>
  <c r="F56" i="39"/>
  <c r="F52" i="39"/>
  <c r="L12" i="39"/>
  <c r="F103" i="39"/>
  <c r="F99" i="39"/>
  <c r="F98" i="39"/>
  <c r="F83" i="39"/>
  <c r="F82" i="39"/>
  <c r="F75" i="39"/>
  <c r="F74" i="39"/>
  <c r="F47" i="39"/>
  <c r="F43" i="39"/>
  <c r="F122" i="39"/>
  <c r="F114" i="39"/>
  <c r="F110" i="39"/>
  <c r="F66" i="39"/>
  <c r="F34" i="39"/>
  <c r="F33" i="39"/>
  <c r="F105" i="39"/>
  <c r="F104" i="39"/>
  <c r="F93" i="39"/>
  <c r="F85" i="39"/>
  <c r="F84" i="39"/>
  <c r="F77" i="39"/>
  <c r="F76" i="39"/>
  <c r="F57" i="39"/>
  <c r="F53" i="39"/>
  <c r="F100" i="39"/>
  <c r="F48" i="39"/>
  <c r="F44" i="39"/>
  <c r="F123" i="39"/>
  <c r="F115" i="39"/>
  <c r="F111" i="39"/>
  <c r="F87" i="39"/>
  <c r="F86" i="39"/>
  <c r="F67" i="39"/>
  <c r="F59" i="39"/>
  <c r="F58" i="39"/>
  <c r="F35" i="39"/>
  <c r="F106" i="39"/>
  <c r="F94" i="39"/>
  <c r="F78" i="39"/>
  <c r="F54" i="39"/>
  <c r="F130" i="39"/>
  <c r="F125" i="39"/>
  <c r="F124" i="39"/>
  <c r="F117" i="39"/>
  <c r="F116" i="39"/>
  <c r="F101" i="39"/>
  <c r="F89" i="39"/>
  <c r="F88" i="39"/>
  <c r="F69" i="39"/>
  <c r="F68" i="39"/>
  <c r="F61" i="39"/>
  <c r="F60" i="39"/>
  <c r="F49" i="39"/>
  <c r="F45" i="39"/>
  <c r="F41" i="39"/>
  <c r="F40" i="39"/>
  <c r="F134" i="39"/>
  <c r="F129" i="39"/>
  <c r="F112" i="39"/>
  <c r="F108" i="39"/>
  <c r="F107" i="39"/>
  <c r="F96" i="39"/>
  <c r="F95" i="39"/>
  <c r="F80" i="39"/>
  <c r="F79" i="39"/>
  <c r="F39" i="39"/>
  <c r="F37" i="39"/>
  <c r="N19" i="39"/>
  <c r="N21" i="39"/>
  <c r="L25" i="39"/>
  <c r="N25" i="39" s="1"/>
  <c r="F50" i="39"/>
  <c r="N58" i="39"/>
  <c r="F70" i="42"/>
  <c r="F91" i="42"/>
  <c r="T29" i="42"/>
  <c r="V29" i="42" s="1"/>
  <c r="V42" i="42"/>
  <c r="V46" i="42"/>
  <c r="V54" i="42"/>
  <c r="V76" i="42"/>
  <c r="L86" i="42"/>
  <c r="N86" i="42" s="1"/>
  <c r="V92" i="42"/>
  <c r="V96" i="42"/>
  <c r="X119" i="42"/>
  <c r="F21" i="45"/>
  <c r="F24" i="45"/>
  <c r="X12" i="48"/>
  <c r="Z12" i="48" s="1"/>
  <c r="V27" i="42"/>
  <c r="V31" i="42"/>
  <c r="V51" i="42"/>
  <c r="V65" i="42"/>
  <c r="V71" i="42"/>
  <c r="V84" i="42"/>
  <c r="F43" i="45"/>
  <c r="F45" i="45"/>
  <c r="L14" i="39"/>
  <c r="L18" i="39"/>
  <c r="N18" i="39" s="1"/>
  <c r="L22" i="39"/>
  <c r="L26" i="39"/>
  <c r="L30" i="39"/>
  <c r="N30" i="39" s="1"/>
  <c r="X13" i="42"/>
  <c r="Z13" i="42" s="1"/>
  <c r="X17" i="42"/>
  <c r="X21" i="42"/>
  <c r="Z21" i="42" s="1"/>
  <c r="V32" i="42"/>
  <c r="V36" i="42"/>
  <c r="V40" i="42"/>
  <c r="V52" i="42"/>
  <c r="V58" i="42"/>
  <c r="X64" i="42"/>
  <c r="Z64" i="42" s="1"/>
  <c r="V66" i="42"/>
  <c r="Z81" i="42"/>
  <c r="V99" i="42"/>
  <c r="V102" i="42"/>
  <c r="V113" i="42"/>
  <c r="N121" i="42"/>
  <c r="L16" i="45"/>
  <c r="Z17" i="45"/>
  <c r="F20" i="45"/>
  <c r="N45" i="45"/>
  <c r="L53" i="45"/>
  <c r="P127" i="39"/>
  <c r="X127" i="39" s="1"/>
  <c r="V45" i="42"/>
  <c r="V49" i="42"/>
  <c r="V80" i="42"/>
  <c r="V81" i="42"/>
  <c r="V87" i="42"/>
  <c r="F39" i="45"/>
  <c r="N53" i="45"/>
  <c r="F84" i="45"/>
  <c r="V121" i="42"/>
  <c r="V115" i="42"/>
  <c r="V107" i="42"/>
  <c r="V91" i="42"/>
  <c r="V79" i="42"/>
  <c r="V67" i="42"/>
  <c r="V125" i="42"/>
  <c r="V111" i="42"/>
  <c r="V93" i="42"/>
  <c r="V89" i="42"/>
  <c r="V73" i="42"/>
  <c r="V61" i="42"/>
  <c r="V26" i="42"/>
  <c r="V50" i="42"/>
  <c r="Z75" i="42"/>
  <c r="Z95" i="42"/>
  <c r="V109" i="42"/>
  <c r="N115" i="42"/>
  <c r="V116" i="42"/>
  <c r="X14" i="45"/>
  <c r="Z14" i="45" s="1"/>
  <c r="N27" i="45"/>
  <c r="N51" i="45"/>
  <c r="L55" i="45"/>
  <c r="N55" i="45" s="1"/>
  <c r="F81" i="45"/>
  <c r="R68" i="48"/>
  <c r="R60" i="48"/>
  <c r="R54" i="48"/>
  <c r="R34" i="48"/>
  <c r="R30" i="48"/>
  <c r="R19" i="48"/>
  <c r="R17" i="48"/>
  <c r="R15" i="48"/>
  <c r="R61" i="48"/>
  <c r="R74" i="48"/>
  <c r="R58" i="48"/>
  <c r="R59" i="48"/>
  <c r="R40" i="48"/>
  <c r="R39" i="48"/>
  <c r="R27" i="48"/>
  <c r="R23" i="48"/>
  <c r="R50" i="48"/>
  <c r="R41" i="48"/>
  <c r="R24" i="48"/>
  <c r="R21" i="48"/>
  <c r="R46" i="48"/>
  <c r="R37" i="48"/>
  <c r="R65" i="48"/>
  <c r="R63" i="48"/>
  <c r="R51" i="48"/>
  <c r="R42" i="48"/>
  <c r="R38" i="48"/>
  <c r="R31" i="48"/>
  <c r="R47" i="48"/>
  <c r="R55" i="48"/>
  <c r="R28" i="48"/>
  <c r="R25" i="48"/>
  <c r="R69" i="48"/>
  <c r="R52" i="48"/>
  <c r="R43" i="48"/>
  <c r="R22" i="48"/>
  <c r="R56" i="48"/>
  <c r="R29" i="48"/>
  <c r="R70" i="48"/>
  <c r="R66" i="48"/>
  <c r="R35" i="48"/>
  <c r="R32" i="48"/>
  <c r="R53" i="48"/>
  <c r="R48" i="48"/>
  <c r="R44" i="48"/>
  <c r="R64" i="48"/>
  <c r="R49" i="48"/>
  <c r="R45" i="48"/>
  <c r="R36" i="48"/>
  <c r="R26" i="48"/>
  <c r="R20" i="48"/>
  <c r="P17" i="48"/>
  <c r="R57" i="48"/>
  <c r="T127" i="39"/>
  <c r="V35" i="42"/>
  <c r="V39" i="42"/>
  <c r="V63" i="42"/>
  <c r="V64" i="42"/>
  <c r="V74" i="42"/>
  <c r="V75" i="42"/>
  <c r="X86" i="42"/>
  <c r="V94" i="42"/>
  <c r="V95" i="42"/>
  <c r="N107" i="42"/>
  <c r="V108" i="42"/>
  <c r="X109" i="42"/>
  <c r="Z109" i="42" s="1"/>
  <c r="V112" i="42"/>
  <c r="L115" i="42"/>
  <c r="D118" i="42"/>
  <c r="L118" i="42" s="1"/>
  <c r="F22" i="45"/>
  <c r="Z45" i="45"/>
  <c r="Z53" i="45"/>
  <c r="F57" i="45"/>
  <c r="V44" i="42"/>
  <c r="V48" i="42"/>
  <c r="V57" i="42"/>
  <c r="V70" i="42"/>
  <c r="V83" i="42"/>
  <c r="V101" i="42"/>
  <c r="V104" i="42"/>
  <c r="P12" i="45"/>
  <c r="F26" i="45"/>
  <c r="X27" i="45"/>
  <c r="Z27" i="45" s="1"/>
  <c r="Z37" i="45"/>
  <c r="Z47" i="45"/>
  <c r="Z49" i="45"/>
  <c r="N57" i="45"/>
  <c r="L65" i="45"/>
  <c r="N65" i="45" s="1"/>
  <c r="R33" i="48"/>
  <c r="V25" i="42"/>
  <c r="V69" i="42"/>
  <c r="V78" i="42"/>
  <c r="V90" i="42"/>
  <c r="V98" i="42"/>
  <c r="N119" i="42"/>
  <c r="F46" i="45"/>
  <c r="N15" i="48"/>
  <c r="L15" i="48"/>
  <c r="Z58" i="48"/>
  <c r="X58" i="48"/>
  <c r="L20" i="39"/>
  <c r="L24" i="39"/>
  <c r="L28" i="39"/>
  <c r="N28" i="39" s="1"/>
  <c r="X15" i="42"/>
  <c r="Z15" i="42" s="1"/>
  <c r="X19" i="42"/>
  <c r="Z19" i="42" s="1"/>
  <c r="X23" i="42"/>
  <c r="V34" i="42"/>
  <c r="V38" i="42"/>
  <c r="V62" i="42"/>
  <c r="V86" i="42"/>
  <c r="V97" i="42"/>
  <c r="H118" i="42"/>
  <c r="L119" i="42"/>
  <c r="F83" i="45"/>
  <c r="F82" i="45"/>
  <c r="F88" i="45"/>
  <c r="F80" i="45"/>
  <c r="F76" i="45"/>
  <c r="F90" i="45"/>
  <c r="F75" i="45"/>
  <c r="F71" i="45"/>
  <c r="F56" i="45"/>
  <c r="F55" i="45"/>
  <c r="F44" i="45"/>
  <c r="F40" i="45"/>
  <c r="L12" i="45"/>
  <c r="F86" i="45"/>
  <c r="F78" i="45"/>
  <c r="F67" i="45"/>
  <c r="F35" i="45"/>
  <c r="F31" i="45"/>
  <c r="F87" i="45"/>
  <c r="F41" i="45"/>
  <c r="F72" i="45"/>
  <c r="F60" i="45"/>
  <c r="F59" i="45"/>
  <c r="F48" i="45"/>
  <c r="F47" i="45"/>
  <c r="F36" i="45"/>
  <c r="F32" i="45"/>
  <c r="F28" i="45"/>
  <c r="F27" i="45"/>
  <c r="F94" i="45"/>
  <c r="F79" i="45"/>
  <c r="F68" i="45"/>
  <c r="F62" i="45"/>
  <c r="F61" i="45"/>
  <c r="F50" i="45"/>
  <c r="F49" i="45"/>
  <c r="F42" i="45"/>
  <c r="F38" i="45"/>
  <c r="F37" i="45"/>
  <c r="F73" i="45"/>
  <c r="F69" i="45"/>
  <c r="F33" i="45"/>
  <c r="F29" i="45"/>
  <c r="F74" i="45"/>
  <c r="F70" i="45"/>
  <c r="F64" i="45"/>
  <c r="F63" i="45"/>
  <c r="F52" i="45"/>
  <c r="F51" i="45"/>
  <c r="F85" i="45"/>
  <c r="F66" i="45"/>
  <c r="F65" i="45"/>
  <c r="F54" i="45"/>
  <c r="F53" i="45"/>
  <c r="F34" i="45"/>
  <c r="F30" i="45"/>
  <c r="N63" i="45"/>
  <c r="X129" i="39"/>
  <c r="Z129" i="39" s="1"/>
  <c r="V43" i="42"/>
  <c r="V47" i="42"/>
  <c r="L52" i="42"/>
  <c r="N52" i="42" s="1"/>
  <c r="V55" i="42"/>
  <c r="L66" i="42"/>
  <c r="V72" i="42"/>
  <c r="N81" i="42"/>
  <c r="V85" i="42"/>
  <c r="X115" i="42"/>
  <c r="Z115" i="42" s="1"/>
  <c r="Z57" i="45"/>
  <c r="Z65" i="45"/>
  <c r="T72" i="48"/>
  <c r="V17" i="48"/>
  <c r="V56" i="42"/>
  <c r="V59" i="42"/>
  <c r="V82" i="42"/>
  <c r="V100" i="42"/>
  <c r="V103" i="42"/>
  <c r="V114" i="42"/>
  <c r="Z119" i="42"/>
  <c r="T118" i="42"/>
  <c r="X118" i="42" s="1"/>
  <c r="V120" i="42"/>
  <c r="Z59" i="45"/>
  <c r="Z61" i="45"/>
  <c r="J15" i="48"/>
  <c r="N29" i="48"/>
  <c r="V33" i="48"/>
  <c r="J35" i="48"/>
  <c r="X36" i="48"/>
  <c r="Z36" i="48" s="1"/>
  <c r="J48" i="48"/>
  <c r="J53" i="48"/>
  <c r="V58" i="48"/>
  <c r="N32" i="51"/>
  <c r="Z57" i="51"/>
  <c r="J66" i="48"/>
  <c r="Z53" i="56"/>
  <c r="F64" i="48"/>
  <c r="F63" i="48"/>
  <c r="F66" i="48"/>
  <c r="F65" i="48"/>
  <c r="F50" i="48"/>
  <c r="F49" i="48"/>
  <c r="F41" i="48"/>
  <c r="F40" i="48"/>
  <c r="F68" i="48"/>
  <c r="F61" i="48"/>
  <c r="F55" i="48"/>
  <c r="F35" i="48"/>
  <c r="F31" i="48"/>
  <c r="D17" i="48"/>
  <c r="V19" i="48"/>
  <c r="Z20" i="48"/>
  <c r="F22" i="48"/>
  <c r="F25" i="48"/>
  <c r="F28" i="48"/>
  <c r="J39" i="48"/>
  <c r="J43" i="48"/>
  <c r="F47" i="48"/>
  <c r="F52" i="48"/>
  <c r="Z32" i="51"/>
  <c r="Z95" i="51"/>
  <c r="X95" i="51"/>
  <c r="Z99" i="51"/>
  <c r="X102" i="51"/>
  <c r="Z102" i="51" s="1"/>
  <c r="D102" i="51"/>
  <c r="L105" i="51"/>
  <c r="P31" i="54"/>
  <c r="N21" i="55"/>
  <c r="L21" i="55"/>
  <c r="N13" i="48"/>
  <c r="X19" i="48"/>
  <c r="Z19" i="48" s="1"/>
  <c r="J25" i="48"/>
  <c r="J28" i="48"/>
  <c r="X29" i="48"/>
  <c r="Z29" i="48" s="1"/>
  <c r="L42" i="48"/>
  <c r="N42" i="48" s="1"/>
  <c r="J55" i="48"/>
  <c r="X56" i="48"/>
  <c r="J61" i="48"/>
  <c r="X34" i="51"/>
  <c r="Z34" i="51" s="1"/>
  <c r="Z16" i="55"/>
  <c r="T33" i="55"/>
  <c r="L13" i="48"/>
  <c r="N38" i="48"/>
  <c r="V40" i="48"/>
  <c r="F42" i="48"/>
  <c r="J47" i="48"/>
  <c r="N76" i="51"/>
  <c r="J31" i="48"/>
  <c r="J34" i="48"/>
  <c r="J38" i="48"/>
  <c r="J63" i="48"/>
  <c r="Z44" i="57"/>
  <c r="X44" i="57"/>
  <c r="V72" i="48"/>
  <c r="V70" i="48"/>
  <c r="V60" i="48"/>
  <c r="V61" i="48"/>
  <c r="V45" i="48"/>
  <c r="V25" i="48"/>
  <c r="V21" i="48"/>
  <c r="V56" i="48"/>
  <c r="V44" i="48"/>
  <c r="V36" i="48"/>
  <c r="V62" i="48"/>
  <c r="V64" i="48"/>
  <c r="V68" i="48"/>
  <c r="V66" i="48"/>
  <c r="V50" i="48"/>
  <c r="V42" i="48"/>
  <c r="F21" i="48"/>
  <c r="V22" i="48"/>
  <c r="F24" i="48"/>
  <c r="F27" i="48"/>
  <c r="V29" i="48"/>
  <c r="L38" i="48"/>
  <c r="V43" i="48"/>
  <c r="F46" i="48"/>
  <c r="X47" i="48"/>
  <c r="Z47" i="48" s="1"/>
  <c r="V52" i="48"/>
  <c r="F58" i="48"/>
  <c r="V59" i="48"/>
  <c r="N65" i="48"/>
  <c r="X17" i="51"/>
  <c r="Z17" i="51" s="1"/>
  <c r="Z21" i="51"/>
  <c r="L67" i="51"/>
  <c r="J64" i="48"/>
  <c r="J65" i="48"/>
  <c r="J59" i="48"/>
  <c r="J70" i="48"/>
  <c r="J69" i="48"/>
  <c r="J51" i="48"/>
  <c r="J41" i="48"/>
  <c r="J33" i="48"/>
  <c r="J68" i="48"/>
  <c r="J60" i="48"/>
  <c r="J52" i="48"/>
  <c r="J42" i="48"/>
  <c r="J74" i="48"/>
  <c r="J62" i="48"/>
  <c r="J56" i="48"/>
  <c r="J46" i="48"/>
  <c r="J36" i="48"/>
  <c r="J26" i="48"/>
  <c r="J22" i="48"/>
  <c r="X13" i="48"/>
  <c r="Z13" i="48" s="1"/>
  <c r="J21" i="48"/>
  <c r="J24" i="48"/>
  <c r="J27" i="48"/>
  <c r="J50" i="48"/>
  <c r="N67" i="51"/>
  <c r="J54" i="48"/>
  <c r="J58" i="48"/>
  <c r="P71" i="57"/>
  <c r="L90" i="45"/>
  <c r="N12" i="48"/>
  <c r="H17" i="48"/>
  <c r="J19" i="48"/>
  <c r="J20" i="48"/>
  <c r="Z38" i="48"/>
  <c r="J45" i="48"/>
  <c r="V47" i="48"/>
  <c r="J49" i="48"/>
  <c r="L53" i="48"/>
  <c r="J57" i="48"/>
  <c r="Z63" i="48"/>
  <c r="N18" i="51"/>
  <c r="N22" i="51"/>
  <c r="N26" i="51"/>
  <c r="L26" i="51"/>
  <c r="Z67" i="51"/>
  <c r="L106" i="51"/>
  <c r="N106" i="51" s="1"/>
  <c r="Z69" i="45"/>
  <c r="N86" i="45"/>
  <c r="F15" i="48"/>
  <c r="J17" i="48"/>
  <c r="F23" i="48"/>
  <c r="F26" i="48"/>
  <c r="J30" i="48"/>
  <c r="V38" i="48"/>
  <c r="F44" i="48"/>
  <c r="F53" i="48"/>
  <c r="F60" i="48"/>
  <c r="X68" i="48"/>
  <c r="Z68" i="48" s="1"/>
  <c r="F70" i="48"/>
  <c r="F74" i="48"/>
  <c r="Z28" i="51"/>
  <c r="D73" i="56"/>
  <c r="F21" i="55"/>
  <c r="X49" i="56"/>
  <c r="Z49" i="56" s="1"/>
  <c r="T80" i="58"/>
  <c r="D12" i="51"/>
  <c r="P12" i="51"/>
  <c r="Z27" i="51"/>
  <c r="F24" i="54"/>
  <c r="D16" i="54"/>
  <c r="F14" i="54"/>
  <c r="F26" i="54"/>
  <c r="F16" i="54"/>
  <c r="F28" i="54"/>
  <c r="F18" i="54"/>
  <c r="F29" i="54"/>
  <c r="J21" i="55"/>
  <c r="T77" i="56"/>
  <c r="P55" i="61"/>
  <c r="H12" i="51"/>
  <c r="Z39" i="56"/>
  <c r="Z63" i="56"/>
  <c r="L14" i="57"/>
  <c r="D16" i="57"/>
  <c r="Z41" i="64"/>
  <c r="X41" i="64"/>
  <c r="X13" i="51"/>
  <c r="Z13" i="51" s="1"/>
  <c r="L22" i="51"/>
  <c r="Z23" i="51"/>
  <c r="X30" i="51"/>
  <c r="L57" i="51"/>
  <c r="N57" i="51" s="1"/>
  <c r="X67" i="51"/>
  <c r="L97" i="51"/>
  <c r="L12" i="54"/>
  <c r="X20" i="54"/>
  <c r="X28" i="54"/>
  <c r="Z28" i="54" s="1"/>
  <c r="J35" i="55"/>
  <c r="N14" i="57"/>
  <c r="H16" i="57"/>
  <c r="Z40" i="57"/>
  <c r="N42" i="57"/>
  <c r="N19" i="58"/>
  <c r="F65" i="58"/>
  <c r="Z66" i="58"/>
  <c r="N32" i="60"/>
  <c r="H102" i="51"/>
  <c r="J23" i="55"/>
  <c r="L14" i="56"/>
  <c r="L19" i="56"/>
  <c r="N19" i="56" s="1"/>
  <c r="X65" i="56"/>
  <c r="Z65" i="56" s="1"/>
  <c r="L44" i="59"/>
  <c r="N44" i="59" s="1"/>
  <c r="L32" i="60"/>
  <c r="T12" i="51"/>
  <c r="Z19" i="51"/>
  <c r="X26" i="51"/>
  <c r="Z26" i="51" s="1"/>
  <c r="L103" i="51"/>
  <c r="F22" i="54"/>
  <c r="Z18" i="55"/>
  <c r="F20" i="55"/>
  <c r="X36" i="57"/>
  <c r="N64" i="57"/>
  <c r="Z46" i="59"/>
  <c r="X30" i="60"/>
  <c r="Z30" i="60" s="1"/>
  <c r="Z29" i="51"/>
  <c r="N103" i="51"/>
  <c r="V31" i="54"/>
  <c r="V29" i="54"/>
  <c r="V28" i="54"/>
  <c r="V26" i="54"/>
  <c r="V24" i="54"/>
  <c r="V22" i="54"/>
  <c r="Z12" i="54"/>
  <c r="X12" i="54"/>
  <c r="V14" i="54"/>
  <c r="N29" i="54"/>
  <c r="X33" i="56"/>
  <c r="L47" i="56"/>
  <c r="N47" i="56" s="1"/>
  <c r="Z28" i="57"/>
  <c r="T22" i="54"/>
  <c r="Z16" i="54"/>
  <c r="Z14" i="55"/>
  <c r="X14" i="55"/>
  <c r="Z36" i="57"/>
  <c r="Z50" i="58"/>
  <c r="H49" i="60"/>
  <c r="N16" i="60"/>
  <c r="X15" i="51"/>
  <c r="Z15" i="51" s="1"/>
  <c r="L24" i="51"/>
  <c r="N24" i="51" s="1"/>
  <c r="Z25" i="51"/>
  <c r="X32" i="51"/>
  <c r="F28" i="55"/>
  <c r="F27" i="55"/>
  <c r="L12" i="55"/>
  <c r="F35" i="55"/>
  <c r="F23" i="55"/>
  <c r="F37" i="55"/>
  <c r="F24" i="55"/>
  <c r="F14" i="55"/>
  <c r="F29" i="55"/>
  <c r="F16" i="55"/>
  <c r="F40" i="55"/>
  <c r="D16" i="55"/>
  <c r="F25" i="55"/>
  <c r="F19" i="55"/>
  <c r="F18" i="55"/>
  <c r="F31" i="55"/>
  <c r="N27" i="55"/>
  <c r="Z33" i="56"/>
  <c r="L63" i="56"/>
  <c r="N63" i="56" s="1"/>
  <c r="L46" i="57"/>
  <c r="J113" i="69"/>
  <c r="J97" i="69"/>
  <c r="J87" i="69"/>
  <c r="J81" i="69"/>
  <c r="J77" i="69"/>
  <c r="J114" i="69"/>
  <c r="J98" i="69"/>
  <c r="J88" i="69"/>
  <c r="J82" i="69"/>
  <c r="J68" i="69"/>
  <c r="J64" i="69"/>
  <c r="J60" i="69"/>
  <c r="J56" i="69"/>
  <c r="J52" i="69"/>
  <c r="J115" i="69"/>
  <c r="J107" i="69"/>
  <c r="J99" i="69"/>
  <c r="J89" i="69"/>
  <c r="J83" i="69"/>
  <c r="J73" i="69"/>
  <c r="J118" i="69"/>
  <c r="J108" i="69"/>
  <c r="J100" i="69"/>
  <c r="J90" i="69"/>
  <c r="J78" i="69"/>
  <c r="J74" i="69"/>
  <c r="J72" i="69"/>
  <c r="J70" i="69"/>
  <c r="J48" i="69"/>
  <c r="J109" i="69"/>
  <c r="J101" i="69"/>
  <c r="J91" i="69"/>
  <c r="H70" i="69"/>
  <c r="J65" i="69"/>
  <c r="J61" i="69"/>
  <c r="J57" i="69"/>
  <c r="J53" i="69"/>
  <c r="J49" i="69"/>
  <c r="J122" i="69"/>
  <c r="J102" i="69"/>
  <c r="J92" i="69"/>
  <c r="J84" i="69"/>
  <c r="J103" i="69"/>
  <c r="J79" i="69"/>
  <c r="J75" i="69"/>
  <c r="J93" i="69"/>
  <c r="J85" i="69"/>
  <c r="J104" i="69"/>
  <c r="J94" i="69"/>
  <c r="J80" i="69"/>
  <c r="J76" i="69"/>
  <c r="J110" i="69"/>
  <c r="J50" i="69"/>
  <c r="J96" i="69"/>
  <c r="J54" i="69"/>
  <c r="J105" i="69"/>
  <c r="J58" i="69"/>
  <c r="J86" i="69"/>
  <c r="J62" i="69"/>
  <c r="J111" i="69"/>
  <c r="J66" i="69"/>
  <c r="J51" i="69"/>
  <c r="J112" i="69"/>
  <c r="J59" i="69"/>
  <c r="J67" i="69"/>
  <c r="J55" i="69"/>
  <c r="J106" i="69"/>
  <c r="J95" i="69"/>
  <c r="Z35" i="51"/>
  <c r="N95" i="51"/>
  <c r="X99" i="51"/>
  <c r="Z103" i="51"/>
  <c r="X16" i="54"/>
  <c r="J24" i="55"/>
  <c r="J37" i="55"/>
  <c r="J14" i="55"/>
  <c r="J16" i="55"/>
  <c r="J40" i="55"/>
  <c r="J29" i="55"/>
  <c r="H16" i="55"/>
  <c r="J25" i="55"/>
  <c r="J19" i="55"/>
  <c r="J18" i="55"/>
  <c r="J31" i="55"/>
  <c r="J33" i="55"/>
  <c r="J26" i="55"/>
  <c r="J20" i="55"/>
  <c r="Z25" i="55"/>
  <c r="J27" i="55"/>
  <c r="H16" i="56"/>
  <c r="N46" i="57"/>
  <c r="L50" i="57"/>
  <c r="N50" i="57" s="1"/>
  <c r="F69" i="58"/>
  <c r="F68" i="58"/>
  <c r="F61" i="58"/>
  <c r="F60" i="58"/>
  <c r="F53" i="58"/>
  <c r="F45" i="58"/>
  <c r="F44" i="58"/>
  <c r="F75" i="58"/>
  <c r="F58" i="58"/>
  <c r="F54" i="58"/>
  <c r="F35" i="58"/>
  <c r="F31" i="58"/>
  <c r="F30" i="58"/>
  <c r="F77" i="58"/>
  <c r="F71" i="58"/>
  <c r="F62" i="58"/>
  <c r="F51" i="58"/>
  <c r="F26" i="58"/>
  <c r="F22" i="58"/>
  <c r="F55" i="58"/>
  <c r="F32" i="58"/>
  <c r="L12" i="58"/>
  <c r="F80" i="58"/>
  <c r="F73" i="58"/>
  <c r="F67" i="58"/>
  <c r="F59" i="58"/>
  <c r="F52" i="58"/>
  <c r="F46" i="58"/>
  <c r="F39" i="58"/>
  <c r="F38" i="58"/>
  <c r="F27" i="58"/>
  <c r="F23" i="58"/>
  <c r="F63" i="58"/>
  <c r="F56" i="58"/>
  <c r="F40" i="58"/>
  <c r="F33" i="58"/>
  <c r="F48" i="58"/>
  <c r="F41" i="58"/>
  <c r="F28" i="58"/>
  <c r="F24" i="58"/>
  <c r="F20" i="58"/>
  <c r="F19" i="58"/>
  <c r="F49" i="58"/>
  <c r="F43" i="58"/>
  <c r="F66" i="58"/>
  <c r="F47" i="58"/>
  <c r="F14" i="58"/>
  <c r="F64" i="58"/>
  <c r="F57" i="58"/>
  <c r="F50" i="58"/>
  <c r="F29" i="58"/>
  <c r="F16" i="58"/>
  <c r="F36" i="58"/>
  <c r="D16" i="58"/>
  <c r="F42" i="58"/>
  <c r="F37" i="58"/>
  <c r="F25" i="58"/>
  <c r="F34" i="58"/>
  <c r="L40" i="58"/>
  <c r="N40" i="58"/>
  <c r="N16" i="59"/>
  <c r="H65" i="59"/>
  <c r="X14" i="60"/>
  <c r="T16" i="60"/>
  <c r="Z14" i="60"/>
  <c r="D51" i="61"/>
  <c r="L16" i="61"/>
  <c r="H22" i="54"/>
  <c r="R24" i="54"/>
  <c r="R33" i="55"/>
  <c r="R31" i="55"/>
  <c r="R21" i="55"/>
  <c r="R20" i="55"/>
  <c r="P16" i="55"/>
  <c r="V14" i="55"/>
  <c r="V22" i="55"/>
  <c r="L25" i="55"/>
  <c r="R16" i="56"/>
  <c r="R32" i="56"/>
  <c r="V33" i="56"/>
  <c r="F36" i="56"/>
  <c r="V38" i="56"/>
  <c r="F41" i="56"/>
  <c r="J46" i="56"/>
  <c r="V51" i="56"/>
  <c r="R54" i="56"/>
  <c r="R57" i="56"/>
  <c r="L59" i="56"/>
  <c r="N59" i="56" s="1"/>
  <c r="F62" i="56"/>
  <c r="X71" i="56"/>
  <c r="V39" i="57"/>
  <c r="Z46" i="58"/>
  <c r="X71" i="58"/>
  <c r="N19" i="59"/>
  <c r="V21" i="59"/>
  <c r="V29" i="59"/>
  <c r="V46" i="59"/>
  <c r="J14" i="61"/>
  <c r="V23" i="55"/>
  <c r="V28" i="55"/>
  <c r="Z12" i="55"/>
  <c r="F55" i="56"/>
  <c r="F18" i="56"/>
  <c r="F16" i="56"/>
  <c r="F14" i="56"/>
  <c r="F64" i="56"/>
  <c r="F63" i="56"/>
  <c r="F56" i="56"/>
  <c r="F51" i="56"/>
  <c r="F68" i="56"/>
  <c r="F67" i="56"/>
  <c r="F60" i="56"/>
  <c r="F59" i="56"/>
  <c r="F52" i="56"/>
  <c r="F44" i="56"/>
  <c r="F43" i="56"/>
  <c r="F32" i="56"/>
  <c r="L12" i="56"/>
  <c r="F21" i="56"/>
  <c r="F24" i="56"/>
  <c r="F27" i="56"/>
  <c r="V28" i="56"/>
  <c r="V29" i="56"/>
  <c r="F31" i="56"/>
  <c r="V32" i="56"/>
  <c r="F35" i="56"/>
  <c r="V43" i="56"/>
  <c r="F45" i="56"/>
  <c r="F50" i="56"/>
  <c r="V60" i="56"/>
  <c r="V67" i="56"/>
  <c r="V77" i="56"/>
  <c r="N58" i="57"/>
  <c r="Z38" i="58"/>
  <c r="X59" i="59"/>
  <c r="Z59" i="59"/>
  <c r="X12" i="55"/>
  <c r="N19" i="55"/>
  <c r="J62" i="56"/>
  <c r="J50" i="56"/>
  <c r="J38" i="56"/>
  <c r="J30" i="56"/>
  <c r="J80" i="56"/>
  <c r="J77" i="56"/>
  <c r="J65" i="56"/>
  <c r="J57" i="56"/>
  <c r="J66" i="56"/>
  <c r="J58" i="56"/>
  <c r="J42" i="56"/>
  <c r="J53" i="56"/>
  <c r="J45" i="56"/>
  <c r="J33" i="56"/>
  <c r="J27" i="56"/>
  <c r="J23" i="56"/>
  <c r="R14" i="56"/>
  <c r="V16" i="56"/>
  <c r="J21" i="56"/>
  <c r="J24" i="56"/>
  <c r="V25" i="56"/>
  <c r="J31" i="56"/>
  <c r="N35" i="56"/>
  <c r="J41" i="56"/>
  <c r="R42" i="56"/>
  <c r="V56" i="56"/>
  <c r="V57" i="56"/>
  <c r="J59" i="56"/>
  <c r="F65" i="56"/>
  <c r="R69" i="56"/>
  <c r="V71" i="56"/>
  <c r="L57" i="58"/>
  <c r="N57" i="58" s="1"/>
  <c r="J54" i="59"/>
  <c r="J48" i="59"/>
  <c r="J40" i="59"/>
  <c r="J28" i="59"/>
  <c r="J24" i="59"/>
  <c r="J20" i="59"/>
  <c r="J18" i="59"/>
  <c r="J16" i="59"/>
  <c r="J14" i="59"/>
  <c r="J65" i="59"/>
  <c r="J63" i="59"/>
  <c r="J55" i="59"/>
  <c r="J67" i="59"/>
  <c r="J49" i="59"/>
  <c r="J56" i="59"/>
  <c r="J42" i="59"/>
  <c r="J30" i="59"/>
  <c r="J72" i="59"/>
  <c r="J69" i="59"/>
  <c r="J57" i="59"/>
  <c r="J43" i="59"/>
  <c r="J35" i="59"/>
  <c r="J31" i="59"/>
  <c r="J47" i="59"/>
  <c r="J37" i="59"/>
  <c r="J27" i="59"/>
  <c r="J23" i="59"/>
  <c r="J50" i="59"/>
  <c r="J34" i="59"/>
  <c r="J46" i="59"/>
  <c r="J32" i="59"/>
  <c r="J22" i="59"/>
  <c r="J53" i="59"/>
  <c r="J51" i="59"/>
  <c r="J44" i="59"/>
  <c r="J38" i="59"/>
  <c r="J25" i="59"/>
  <c r="N12" i="59"/>
  <c r="J39" i="59"/>
  <c r="J33" i="59"/>
  <c r="J21" i="59"/>
  <c r="T16" i="59"/>
  <c r="J58" i="59"/>
  <c r="N18" i="60"/>
  <c r="L44" i="60"/>
  <c r="N44" i="60" s="1"/>
  <c r="T93" i="64"/>
  <c r="Z25" i="71"/>
  <c r="V20" i="55"/>
  <c r="V21" i="55"/>
  <c r="L31" i="55"/>
  <c r="N12" i="56"/>
  <c r="F34" i="56"/>
  <c r="J35" i="56"/>
  <c r="F40" i="56"/>
  <c r="L45" i="56"/>
  <c r="R46" i="56"/>
  <c r="V47" i="56"/>
  <c r="F49" i="56"/>
  <c r="X53" i="56"/>
  <c r="X57" i="56"/>
  <c r="Z57" i="56" s="1"/>
  <c r="R62" i="56"/>
  <c r="X63" i="56"/>
  <c r="R66" i="56"/>
  <c r="V69" i="56"/>
  <c r="N18" i="57"/>
  <c r="N19" i="57"/>
  <c r="N54" i="57"/>
  <c r="L58" i="57"/>
  <c r="X42" i="58"/>
  <c r="Z42" i="58" s="1"/>
  <c r="Z37" i="59"/>
  <c r="J45" i="59"/>
  <c r="J52" i="59"/>
  <c r="J60" i="59"/>
  <c r="L20" i="54"/>
  <c r="V26" i="55"/>
  <c r="V27" i="55"/>
  <c r="R51" i="56"/>
  <c r="R31" i="56"/>
  <c r="R68" i="56"/>
  <c r="R60" i="56"/>
  <c r="R53" i="56"/>
  <c r="R52" i="56"/>
  <c r="R73" i="56"/>
  <c r="R71" i="56"/>
  <c r="R49" i="56"/>
  <c r="R48" i="56"/>
  <c r="R37" i="56"/>
  <c r="R36" i="56"/>
  <c r="R29" i="56"/>
  <c r="R28" i="56"/>
  <c r="R24" i="56"/>
  <c r="R20" i="56"/>
  <c r="P16" i="56"/>
  <c r="V14" i="56"/>
  <c r="R27" i="56"/>
  <c r="J34" i="56"/>
  <c r="L35" i="56"/>
  <c r="V36" i="56"/>
  <c r="V37" i="56"/>
  <c r="J40" i="56"/>
  <c r="R50" i="56"/>
  <c r="J52" i="56"/>
  <c r="J55" i="56"/>
  <c r="R59" i="56"/>
  <c r="F61" i="56"/>
  <c r="V62" i="56"/>
  <c r="F73" i="56"/>
  <c r="F80" i="56"/>
  <c r="V56" i="59"/>
  <c r="V44" i="59"/>
  <c r="V59" i="59"/>
  <c r="V51" i="59"/>
  <c r="V43" i="59"/>
  <c r="V35" i="59"/>
  <c r="V31" i="59"/>
  <c r="V45" i="59"/>
  <c r="V60" i="59"/>
  <c r="V52" i="59"/>
  <c r="V36" i="59"/>
  <c r="V32" i="59"/>
  <c r="Z12" i="59"/>
  <c r="V47" i="59"/>
  <c r="V39" i="59"/>
  <c r="V27" i="59"/>
  <c r="V23" i="59"/>
  <c r="V19" i="59"/>
  <c r="V55" i="59"/>
  <c r="V69" i="59"/>
  <c r="V53" i="59"/>
  <c r="V38" i="59"/>
  <c r="V18" i="59"/>
  <c r="V61" i="59"/>
  <c r="V54" i="59"/>
  <c r="V25" i="59"/>
  <c r="V41" i="59"/>
  <c r="V28" i="59"/>
  <c r="V49" i="59"/>
  <c r="V33" i="59"/>
  <c r="V26" i="59"/>
  <c r="V57" i="59"/>
  <c r="V72" i="59"/>
  <c r="V67" i="59"/>
  <c r="J36" i="59"/>
  <c r="V37" i="59"/>
  <c r="V50" i="59"/>
  <c r="J44" i="61"/>
  <c r="J34" i="61"/>
  <c r="J30" i="61"/>
  <c r="J45" i="61"/>
  <c r="J35" i="61"/>
  <c r="J25" i="61"/>
  <c r="J21" i="61"/>
  <c r="J47" i="61"/>
  <c r="J37" i="61"/>
  <c r="J31" i="61"/>
  <c r="J38" i="61"/>
  <c r="J26" i="61"/>
  <c r="J22" i="61"/>
  <c r="J51" i="61"/>
  <c r="J49" i="61"/>
  <c r="J39" i="61"/>
  <c r="J40" i="61"/>
  <c r="J32" i="61"/>
  <c r="N12" i="61"/>
  <c r="J42" i="61"/>
  <c r="J58" i="61"/>
  <c r="J55" i="61"/>
  <c r="J33" i="61"/>
  <c r="J29" i="61"/>
  <c r="J19" i="61"/>
  <c r="J16" i="61"/>
  <c r="H16" i="61"/>
  <c r="J24" i="61"/>
  <c r="J18" i="61"/>
  <c r="L12" i="61"/>
  <c r="J27" i="61"/>
  <c r="J41" i="61"/>
  <c r="J23" i="61"/>
  <c r="J28" i="61"/>
  <c r="X41" i="61"/>
  <c r="Z41" i="61" s="1"/>
  <c r="X19" i="55"/>
  <c r="Z19" i="55" s="1"/>
  <c r="V33" i="55"/>
  <c r="V66" i="56"/>
  <c r="V58" i="56"/>
  <c r="V42" i="56"/>
  <c r="V26" i="56"/>
  <c r="V22" i="56"/>
  <c r="V54" i="56"/>
  <c r="V46" i="56"/>
  <c r="V63" i="56"/>
  <c r="V55" i="56"/>
  <c r="V39" i="56"/>
  <c r="F20" i="56"/>
  <c r="F23" i="56"/>
  <c r="V24" i="56"/>
  <c r="F26" i="56"/>
  <c r="V27" i="56"/>
  <c r="F30" i="56"/>
  <c r="V31" i="56"/>
  <c r="F33" i="56"/>
  <c r="F39" i="56"/>
  <c r="X45" i="56"/>
  <c r="Z45" i="56" s="1"/>
  <c r="V50" i="56"/>
  <c r="V53" i="56"/>
  <c r="F58" i="56"/>
  <c r="L14" i="60"/>
  <c r="D16" i="60"/>
  <c r="R19" i="55"/>
  <c r="R25" i="55"/>
  <c r="X12" i="56"/>
  <c r="F19" i="56"/>
  <c r="J20" i="56"/>
  <c r="V21" i="56"/>
  <c r="J26" i="56"/>
  <c r="F29" i="56"/>
  <c r="R35" i="56"/>
  <c r="R40" i="56"/>
  <c r="R41" i="56"/>
  <c r="L43" i="56"/>
  <c r="R45" i="56"/>
  <c r="V59" i="56"/>
  <c r="J64" i="56"/>
  <c r="V61" i="57"/>
  <c r="V53" i="57"/>
  <c r="V45" i="57"/>
  <c r="V33" i="57"/>
  <c r="V29" i="57"/>
  <c r="T16" i="57"/>
  <c r="V64" i="57"/>
  <c r="V56" i="57"/>
  <c r="V48" i="57"/>
  <c r="V36" i="57"/>
  <c r="V66" i="57"/>
  <c r="V58" i="57"/>
  <c r="V50" i="57"/>
  <c r="V38" i="57"/>
  <c r="V30" i="57"/>
  <c r="V65" i="57"/>
  <c r="V57" i="57"/>
  <c r="V49" i="57"/>
  <c r="V37" i="57"/>
  <c r="V25" i="57"/>
  <c r="V21" i="57"/>
  <c r="V71" i="57"/>
  <c r="V69" i="57"/>
  <c r="V67" i="57"/>
  <c r="V59" i="57"/>
  <c r="V42" i="57"/>
  <c r="V26" i="57"/>
  <c r="V22" i="57"/>
  <c r="V19" i="57"/>
  <c r="X48" i="57"/>
  <c r="L56" i="57"/>
  <c r="N62" i="57"/>
  <c r="V63" i="57"/>
  <c r="L66" i="57"/>
  <c r="N66" i="57" s="1"/>
  <c r="J26" i="59"/>
  <c r="X54" i="59"/>
  <c r="Z54" i="59" s="1"/>
  <c r="Z41" i="56"/>
  <c r="L67" i="56"/>
  <c r="N67" i="56" s="1"/>
  <c r="V68" i="56"/>
  <c r="F71" i="56"/>
  <c r="L57" i="59"/>
  <c r="N57" i="59" s="1"/>
  <c r="Z53" i="64"/>
  <c r="X53" i="64"/>
  <c r="N24" i="69"/>
  <c r="L24" i="69"/>
  <c r="X38" i="64"/>
  <c r="Z38" i="64" s="1"/>
  <c r="V56" i="73"/>
  <c r="V44" i="73"/>
  <c r="V28" i="73"/>
  <c r="V26" i="73"/>
  <c r="V24" i="73"/>
  <c r="V75" i="73"/>
  <c r="V63" i="73"/>
  <c r="V55" i="73"/>
  <c r="V43" i="73"/>
  <c r="V39" i="73"/>
  <c r="T26" i="73"/>
  <c r="V74" i="73"/>
  <c r="V70" i="73"/>
  <c r="V58" i="73"/>
  <c r="V46" i="73"/>
  <c r="V34" i="73"/>
  <c r="V30" i="73"/>
  <c r="V77" i="73"/>
  <c r="V65" i="73"/>
  <c r="V57" i="73"/>
  <c r="V45" i="73"/>
  <c r="V76" i="73"/>
  <c r="V64" i="73"/>
  <c r="V48" i="73"/>
  <c r="V40" i="73"/>
  <c r="V71" i="73"/>
  <c r="V59" i="73"/>
  <c r="V47" i="73"/>
  <c r="V35" i="73"/>
  <c r="V31" i="73"/>
  <c r="V80" i="73"/>
  <c r="V78" i="73"/>
  <c r="V66" i="73"/>
  <c r="V50" i="73"/>
  <c r="V22" i="73"/>
  <c r="V72" i="73"/>
  <c r="V68" i="73"/>
  <c r="V60" i="73"/>
  <c r="V52" i="73"/>
  <c r="V36" i="73"/>
  <c r="V32" i="73"/>
  <c r="V67" i="73"/>
  <c r="V51" i="73"/>
  <c r="V23" i="73"/>
  <c r="V84" i="73"/>
  <c r="V62" i="73"/>
  <c r="V54" i="73"/>
  <c r="V42" i="73"/>
  <c r="V38" i="73"/>
  <c r="V61" i="73"/>
  <c r="V29" i="73"/>
  <c r="V69" i="73"/>
  <c r="V49" i="73"/>
  <c r="V37" i="73"/>
  <c r="V53" i="73"/>
  <c r="V41" i="73"/>
  <c r="V33" i="73"/>
  <c r="H98" i="64"/>
  <c r="N16" i="64"/>
  <c r="N18" i="64"/>
  <c r="Z38" i="70"/>
  <c r="N23" i="71"/>
  <c r="L23" i="71"/>
  <c r="F14" i="57"/>
  <c r="F16" i="57"/>
  <c r="F18" i="57"/>
  <c r="J30" i="57"/>
  <c r="R31" i="57"/>
  <c r="F34" i="57"/>
  <c r="F35" i="57"/>
  <c r="J36" i="57"/>
  <c r="R39" i="57"/>
  <c r="R40" i="57"/>
  <c r="F46" i="57"/>
  <c r="F47" i="57"/>
  <c r="J48" i="57"/>
  <c r="R51" i="57"/>
  <c r="F54" i="57"/>
  <c r="F55" i="57"/>
  <c r="J56" i="57"/>
  <c r="R59" i="57"/>
  <c r="F62" i="57"/>
  <c r="F63" i="57"/>
  <c r="J64" i="57"/>
  <c r="R67" i="57"/>
  <c r="H16" i="58"/>
  <c r="V31" i="58"/>
  <c r="V35" i="58"/>
  <c r="J42" i="58"/>
  <c r="R44" i="58"/>
  <c r="J49" i="58"/>
  <c r="Z54" i="58"/>
  <c r="V58" i="58"/>
  <c r="N64" i="58"/>
  <c r="V65" i="58"/>
  <c r="V66" i="58"/>
  <c r="N39" i="59"/>
  <c r="X42" i="59"/>
  <c r="Z42" i="59" s="1"/>
  <c r="Z57" i="59"/>
  <c r="Z32" i="60"/>
  <c r="L18" i="61"/>
  <c r="N18" i="61" s="1"/>
  <c r="X35" i="61"/>
  <c r="F42" i="64"/>
  <c r="Z57" i="64"/>
  <c r="Z82" i="64"/>
  <c r="Z50" i="70"/>
  <c r="R43" i="58"/>
  <c r="N48" i="58"/>
  <c r="R53" i="58"/>
  <c r="R61" i="58"/>
  <c r="R69" i="58"/>
  <c r="F61" i="59"/>
  <c r="F53" i="59"/>
  <c r="F33" i="59"/>
  <c r="F48" i="59"/>
  <c r="F40" i="59"/>
  <c r="F39" i="59"/>
  <c r="F28" i="59"/>
  <c r="F24" i="59"/>
  <c r="F20" i="59"/>
  <c r="F19" i="59"/>
  <c r="F65" i="59"/>
  <c r="F63" i="59"/>
  <c r="F67" i="59"/>
  <c r="F49" i="59"/>
  <c r="F41" i="59"/>
  <c r="F29" i="59"/>
  <c r="F25" i="59"/>
  <c r="F21" i="59"/>
  <c r="F56" i="59"/>
  <c r="F60" i="59"/>
  <c r="F59" i="59"/>
  <c r="F52" i="59"/>
  <c r="F51" i="59"/>
  <c r="F36" i="59"/>
  <c r="F32" i="59"/>
  <c r="L12" i="59"/>
  <c r="F44" i="59"/>
  <c r="F47" i="59"/>
  <c r="N39" i="60"/>
  <c r="L39" i="60"/>
  <c r="Z35" i="61"/>
  <c r="X44" i="61"/>
  <c r="Z44" i="61" s="1"/>
  <c r="N46" i="61"/>
  <c r="J19" i="57"/>
  <c r="J29" i="57"/>
  <c r="J33" i="57"/>
  <c r="J45" i="57"/>
  <c r="J53" i="57"/>
  <c r="J61" i="57"/>
  <c r="J75" i="57"/>
  <c r="J78" i="57"/>
  <c r="J69" i="58"/>
  <c r="J61" i="58"/>
  <c r="J53" i="58"/>
  <c r="J54" i="58"/>
  <c r="J46" i="58"/>
  <c r="J56" i="58"/>
  <c r="J50" i="58"/>
  <c r="J40" i="58"/>
  <c r="J47" i="58"/>
  <c r="X50" i="58"/>
  <c r="X64" i="58"/>
  <c r="Z64" i="58" s="1"/>
  <c r="D16" i="59"/>
  <c r="F35" i="59"/>
  <c r="X39" i="59"/>
  <c r="Z39" i="59" s="1"/>
  <c r="N51" i="59"/>
  <c r="L59" i="59"/>
  <c r="X63" i="59"/>
  <c r="N28" i="60"/>
  <c r="Z37" i="60"/>
  <c r="N42" i="60"/>
  <c r="N51" i="64"/>
  <c r="N63" i="64"/>
  <c r="N20" i="69"/>
  <c r="L20" i="69"/>
  <c r="L16" i="71"/>
  <c r="D12" i="71"/>
  <c r="J28" i="57"/>
  <c r="J44" i="57"/>
  <c r="F73" i="57"/>
  <c r="P16" i="58"/>
  <c r="R20" i="58"/>
  <c r="R24" i="58"/>
  <c r="R28" i="58"/>
  <c r="R41" i="58"/>
  <c r="R42" i="58"/>
  <c r="J52" i="58"/>
  <c r="R56" i="58"/>
  <c r="J59" i="58"/>
  <c r="J67" i="58"/>
  <c r="R67" i="59"/>
  <c r="R49" i="59"/>
  <c r="R42" i="59"/>
  <c r="R41" i="59"/>
  <c r="R30" i="59"/>
  <c r="R29" i="59"/>
  <c r="R25" i="59"/>
  <c r="R21" i="59"/>
  <c r="R72" i="59"/>
  <c r="R69" i="59"/>
  <c r="R57" i="59"/>
  <c r="R56" i="59"/>
  <c r="R59" i="59"/>
  <c r="R58" i="59"/>
  <c r="R51" i="59"/>
  <c r="R50" i="59"/>
  <c r="R46" i="59"/>
  <c r="R45" i="59"/>
  <c r="R60" i="59"/>
  <c r="R52" i="59"/>
  <c r="R37" i="59"/>
  <c r="R36" i="59"/>
  <c r="R32" i="59"/>
  <c r="X12" i="59"/>
  <c r="R65" i="59"/>
  <c r="R63" i="59"/>
  <c r="R48" i="59"/>
  <c r="R40" i="59"/>
  <c r="R28" i="59"/>
  <c r="R24" i="59"/>
  <c r="R20" i="59"/>
  <c r="P16" i="59"/>
  <c r="F16" i="59"/>
  <c r="R39" i="59"/>
  <c r="F46" i="59"/>
  <c r="R47" i="59"/>
  <c r="R54" i="59"/>
  <c r="F58" i="59"/>
  <c r="F69" i="59"/>
  <c r="F75" i="64"/>
  <c r="F74" i="64"/>
  <c r="F67" i="64"/>
  <c r="F89" i="64"/>
  <c r="F81" i="64"/>
  <c r="F77" i="64"/>
  <c r="F76" i="64"/>
  <c r="F69" i="64"/>
  <c r="F68" i="64"/>
  <c r="F98" i="64"/>
  <c r="F96" i="64"/>
  <c r="F91" i="64"/>
  <c r="F90" i="64"/>
  <c r="F83" i="64"/>
  <c r="F82" i="64"/>
  <c r="F71" i="64"/>
  <c r="F70" i="64"/>
  <c r="F100" i="64"/>
  <c r="F95" i="64"/>
  <c r="F78" i="64"/>
  <c r="F94" i="64"/>
  <c r="F85" i="64"/>
  <c r="F84" i="64"/>
  <c r="F60" i="64"/>
  <c r="F59" i="64"/>
  <c r="F48" i="64"/>
  <c r="F40" i="64"/>
  <c r="F24" i="64"/>
  <c r="F20" i="64"/>
  <c r="F19" i="64"/>
  <c r="F18" i="64"/>
  <c r="F16" i="64"/>
  <c r="F14" i="64"/>
  <c r="F79" i="64"/>
  <c r="F25" i="64"/>
  <c r="F21" i="64"/>
  <c r="F105" i="64"/>
  <c r="F86" i="64"/>
  <c r="F73" i="64"/>
  <c r="F64" i="64"/>
  <c r="F63" i="64"/>
  <c r="F52" i="64"/>
  <c r="F51" i="64"/>
  <c r="F44" i="64"/>
  <c r="F43" i="64"/>
  <c r="F35" i="64"/>
  <c r="F31" i="64"/>
  <c r="F54" i="64"/>
  <c r="F53" i="64"/>
  <c r="F26" i="64"/>
  <c r="F22" i="64"/>
  <c r="F102" i="64"/>
  <c r="F80" i="64"/>
  <c r="F56" i="64"/>
  <c r="F55" i="64"/>
  <c r="F32" i="64"/>
  <c r="L12" i="64"/>
  <c r="F87" i="64"/>
  <c r="F72" i="64"/>
  <c r="F65" i="64"/>
  <c r="F47" i="64"/>
  <c r="F46" i="64"/>
  <c r="F39" i="64"/>
  <c r="F38" i="64"/>
  <c r="F27" i="64"/>
  <c r="F23" i="64"/>
  <c r="T98" i="64"/>
  <c r="Z16" i="64"/>
  <c r="F36" i="64"/>
  <c r="F41" i="64"/>
  <c r="Z49" i="64"/>
  <c r="X49" i="64"/>
  <c r="Z61" i="64"/>
  <c r="X61" i="64"/>
  <c r="F88" i="64"/>
  <c r="N16" i="69"/>
  <c r="L16" i="69"/>
  <c r="L36" i="69"/>
  <c r="N36" i="69" s="1"/>
  <c r="H73" i="70"/>
  <c r="J73" i="70" s="1"/>
  <c r="V73" i="73"/>
  <c r="Z90" i="71"/>
  <c r="X90" i="71"/>
  <c r="J42" i="57"/>
  <c r="J52" i="57"/>
  <c r="J60" i="57"/>
  <c r="R62" i="58"/>
  <c r="R75" i="58"/>
  <c r="R50" i="58"/>
  <c r="R49" i="58"/>
  <c r="R66" i="58"/>
  <c r="R65" i="58"/>
  <c r="R19" i="58"/>
  <c r="R47" i="58"/>
  <c r="L54" i="58"/>
  <c r="N54" i="58" s="1"/>
  <c r="R60" i="58"/>
  <c r="R68" i="58"/>
  <c r="Z18" i="59"/>
  <c r="F34" i="59"/>
  <c r="R35" i="59"/>
  <c r="R38" i="59"/>
  <c r="F50" i="59"/>
  <c r="R53" i="59"/>
  <c r="N19" i="60"/>
  <c r="L19" i="60"/>
  <c r="N30" i="60"/>
  <c r="D16" i="64"/>
  <c r="N55" i="64"/>
  <c r="L55" i="64"/>
  <c r="Z29" i="68"/>
  <c r="R19" i="57"/>
  <c r="F22" i="57"/>
  <c r="J41" i="57"/>
  <c r="J69" i="57"/>
  <c r="R75" i="57"/>
  <c r="V80" i="58"/>
  <c r="V77" i="58"/>
  <c r="V75" i="58"/>
  <c r="V57" i="58"/>
  <c r="V64" i="58"/>
  <c r="V56" i="58"/>
  <c r="V40" i="58"/>
  <c r="V68" i="58"/>
  <c r="V60" i="58"/>
  <c r="V52" i="58"/>
  <c r="V14" i="58"/>
  <c r="V16" i="58"/>
  <c r="V18" i="58"/>
  <c r="J22" i="58"/>
  <c r="R23" i="58"/>
  <c r="J26" i="58"/>
  <c r="R27" i="58"/>
  <c r="J36" i="58"/>
  <c r="R39" i="58"/>
  <c r="R40" i="58"/>
  <c r="V47" i="58"/>
  <c r="V48" i="58"/>
  <c r="J51" i="58"/>
  <c r="R52" i="58"/>
  <c r="R59" i="58"/>
  <c r="J62" i="58"/>
  <c r="J66" i="58"/>
  <c r="R67" i="58"/>
  <c r="R73" i="58"/>
  <c r="F14" i="59"/>
  <c r="F27" i="59"/>
  <c r="R49" i="60"/>
  <c r="R47" i="60"/>
  <c r="R37" i="60"/>
  <c r="R36" i="60"/>
  <c r="X12" i="60"/>
  <c r="R28" i="60"/>
  <c r="R27" i="60"/>
  <c r="R23" i="60"/>
  <c r="R51" i="60"/>
  <c r="R30" i="60"/>
  <c r="R29" i="60"/>
  <c r="R18" i="60"/>
  <c r="R16" i="60"/>
  <c r="R14" i="60"/>
  <c r="R56" i="60"/>
  <c r="R53" i="60"/>
  <c r="R40" i="60"/>
  <c r="R24" i="60"/>
  <c r="R20" i="60"/>
  <c r="P16" i="60"/>
  <c r="R32" i="60"/>
  <c r="R31" i="60"/>
  <c r="R44" i="60"/>
  <c r="R43" i="60"/>
  <c r="R35" i="60"/>
  <c r="Z34" i="60"/>
  <c r="R38" i="60"/>
  <c r="R42" i="60"/>
  <c r="X44" i="60"/>
  <c r="Z44" i="60" s="1"/>
  <c r="N19" i="64"/>
  <c r="N28" i="64"/>
  <c r="Z36" i="64"/>
  <c r="X46" i="64"/>
  <c r="Z46" i="64" s="1"/>
  <c r="F50" i="64"/>
  <c r="F62" i="64"/>
  <c r="N48" i="68"/>
  <c r="F14" i="60"/>
  <c r="F16" i="60"/>
  <c r="F18" i="60"/>
  <c r="V22" i="60"/>
  <c r="V26" i="60"/>
  <c r="F30" i="60"/>
  <c r="F31" i="60"/>
  <c r="J32" i="60"/>
  <c r="L14" i="61"/>
  <c r="V21" i="61"/>
  <c r="V25" i="61"/>
  <c r="R30" i="61"/>
  <c r="R34" i="61"/>
  <c r="R35" i="61"/>
  <c r="V37" i="61"/>
  <c r="F41" i="61"/>
  <c r="F42" i="61"/>
  <c r="V45" i="61"/>
  <c r="J76" i="64"/>
  <c r="J68" i="64"/>
  <c r="J89" i="64"/>
  <c r="J81" i="64"/>
  <c r="J77" i="64"/>
  <c r="J98" i="64"/>
  <c r="J96" i="64"/>
  <c r="J90" i="64"/>
  <c r="J82" i="64"/>
  <c r="J70" i="64"/>
  <c r="J64" i="64"/>
  <c r="J95" i="64"/>
  <c r="J91" i="64"/>
  <c r="J83" i="64"/>
  <c r="J71" i="64"/>
  <c r="J100" i="64"/>
  <c r="J94" i="64"/>
  <c r="J84" i="64"/>
  <c r="J78" i="64"/>
  <c r="J93" i="64"/>
  <c r="J85" i="64"/>
  <c r="J65" i="64"/>
  <c r="J105" i="64"/>
  <c r="J102" i="64"/>
  <c r="J86" i="64"/>
  <c r="J72" i="64"/>
  <c r="J73" i="64"/>
  <c r="N14" i="64"/>
  <c r="J28" i="64"/>
  <c r="V30" i="64"/>
  <c r="V34" i="64"/>
  <c r="V42" i="64"/>
  <c r="V50" i="64"/>
  <c r="J58" i="64"/>
  <c r="V62" i="64"/>
  <c r="J67" i="64"/>
  <c r="R68" i="64"/>
  <c r="N93" i="64"/>
  <c r="Z19" i="68"/>
  <c r="N28" i="69"/>
  <c r="L28" i="69"/>
  <c r="T70" i="69"/>
  <c r="V82" i="69"/>
  <c r="V98" i="69"/>
  <c r="V106" i="69"/>
  <c r="N112" i="69"/>
  <c r="X16" i="71"/>
  <c r="P12" i="71"/>
  <c r="N20" i="71"/>
  <c r="Z15" i="73"/>
  <c r="Z19" i="73"/>
  <c r="Z54" i="73"/>
  <c r="X54" i="73"/>
  <c r="P16" i="64"/>
  <c r="R20" i="64"/>
  <c r="R24" i="64"/>
  <c r="R40" i="64"/>
  <c r="R41" i="64"/>
  <c r="V43" i="64"/>
  <c r="J47" i="64"/>
  <c r="R48" i="64"/>
  <c r="R49" i="64"/>
  <c r="V51" i="64"/>
  <c r="J57" i="64"/>
  <c r="R60" i="64"/>
  <c r="R61" i="64"/>
  <c r="V63" i="64"/>
  <c r="Z68" i="64"/>
  <c r="J74" i="64"/>
  <c r="V83" i="64"/>
  <c r="J87" i="64"/>
  <c r="R90" i="64"/>
  <c r="V93" i="64"/>
  <c r="X29" i="68"/>
  <c r="D12" i="69"/>
  <c r="L13" i="69"/>
  <c r="L32" i="69"/>
  <c r="N32" i="69" s="1"/>
  <c r="J67" i="70"/>
  <c r="J63" i="70"/>
  <c r="J68" i="70"/>
  <c r="J69" i="70"/>
  <c r="J57" i="70"/>
  <c r="J64" i="70"/>
  <c r="J75" i="70"/>
  <c r="J65" i="70"/>
  <c r="J59" i="70"/>
  <c r="J61" i="70"/>
  <c r="J58" i="70"/>
  <c r="J53" i="70"/>
  <c r="J41" i="70"/>
  <c r="J29" i="70"/>
  <c r="J25" i="70"/>
  <c r="J56" i="70"/>
  <c r="J42" i="70"/>
  <c r="J43" i="70"/>
  <c r="J35" i="70"/>
  <c r="J54" i="70"/>
  <c r="J44" i="70"/>
  <c r="J30" i="70"/>
  <c r="J26" i="70"/>
  <c r="J16" i="70"/>
  <c r="J45" i="70"/>
  <c r="J17" i="70"/>
  <c r="J46" i="70"/>
  <c r="J36" i="70"/>
  <c r="J62" i="70"/>
  <c r="J47" i="70"/>
  <c r="J31" i="70"/>
  <c r="J27" i="70"/>
  <c r="J71" i="70"/>
  <c r="J66" i="70"/>
  <c r="J49" i="70"/>
  <c r="J37" i="70"/>
  <c r="J33" i="70"/>
  <c r="J23" i="70"/>
  <c r="J60" i="70"/>
  <c r="J50" i="70"/>
  <c r="J38" i="70"/>
  <c r="J28" i="70"/>
  <c r="J24" i="70"/>
  <c r="J22" i="70"/>
  <c r="J20" i="70"/>
  <c r="J34" i="70"/>
  <c r="N40" i="70"/>
  <c r="F37" i="60"/>
  <c r="F38" i="60"/>
  <c r="F47" i="60"/>
  <c r="F49" i="60"/>
  <c r="R94" i="64"/>
  <c r="R91" i="64"/>
  <c r="R84" i="64"/>
  <c r="R83" i="64"/>
  <c r="R71" i="64"/>
  <c r="R100" i="64"/>
  <c r="R93" i="64"/>
  <c r="R78" i="64"/>
  <c r="R105" i="64"/>
  <c r="R102" i="64"/>
  <c r="R86" i="64"/>
  <c r="R85" i="64"/>
  <c r="R65" i="64"/>
  <c r="R72" i="64"/>
  <c r="R87" i="64"/>
  <c r="R79" i="64"/>
  <c r="R66" i="64"/>
  <c r="R74" i="64"/>
  <c r="R73" i="64"/>
  <c r="R19" i="64"/>
  <c r="R58" i="64"/>
  <c r="R59" i="64"/>
  <c r="V90" i="64"/>
  <c r="N54" i="68"/>
  <c r="P12" i="69"/>
  <c r="X13" i="69"/>
  <c r="Z13" i="69" s="1"/>
  <c r="N17" i="69"/>
  <c r="N21" i="69"/>
  <c r="N40" i="69"/>
  <c r="L40" i="69"/>
  <c r="N72" i="69"/>
  <c r="L94" i="69"/>
  <c r="V102" i="69"/>
  <c r="D12" i="70"/>
  <c r="L13" i="70"/>
  <c r="N32" i="70"/>
  <c r="J55" i="70"/>
  <c r="N16" i="77"/>
  <c r="H12" i="77"/>
  <c r="F23" i="60"/>
  <c r="F27" i="60"/>
  <c r="J28" i="60"/>
  <c r="V34" i="60"/>
  <c r="J38" i="60"/>
  <c r="V42" i="60"/>
  <c r="T16" i="61"/>
  <c r="X16" i="61" s="1"/>
  <c r="R19" i="61"/>
  <c r="F26" i="61"/>
  <c r="V29" i="61"/>
  <c r="V33" i="61"/>
  <c r="F37" i="61"/>
  <c r="F38" i="61"/>
  <c r="R42" i="61"/>
  <c r="R55" i="61"/>
  <c r="R58" i="61"/>
  <c r="V105" i="64"/>
  <c r="V102" i="64"/>
  <c r="V100" i="64"/>
  <c r="V86" i="64"/>
  <c r="V78" i="64"/>
  <c r="V85" i="64"/>
  <c r="V72" i="64"/>
  <c r="V87" i="64"/>
  <c r="V79" i="64"/>
  <c r="V74" i="64"/>
  <c r="V66" i="64"/>
  <c r="V73" i="64"/>
  <c r="V88" i="64"/>
  <c r="V80" i="64"/>
  <c r="V76" i="64"/>
  <c r="V68" i="64"/>
  <c r="V95" i="64"/>
  <c r="V89" i="64"/>
  <c r="V81" i="64"/>
  <c r="V77" i="64"/>
  <c r="V69" i="64"/>
  <c r="V14" i="64"/>
  <c r="V16" i="64"/>
  <c r="V18" i="64"/>
  <c r="J22" i="64"/>
  <c r="R23" i="64"/>
  <c r="J26" i="64"/>
  <c r="R27" i="64"/>
  <c r="R28" i="64"/>
  <c r="J36" i="64"/>
  <c r="R39" i="64"/>
  <c r="R47" i="64"/>
  <c r="J54" i="64"/>
  <c r="V58" i="64"/>
  <c r="V70" i="64"/>
  <c r="Z74" i="64"/>
  <c r="X76" i="64"/>
  <c r="Z76" i="64" s="1"/>
  <c r="L86" i="64"/>
  <c r="R95" i="64"/>
  <c r="Z18" i="68"/>
  <c r="X59" i="68"/>
  <c r="V109" i="69"/>
  <c r="V101" i="69"/>
  <c r="V65" i="69"/>
  <c r="V61" i="69"/>
  <c r="V57" i="69"/>
  <c r="V53" i="69"/>
  <c r="V49" i="69"/>
  <c r="V122" i="69"/>
  <c r="V92" i="69"/>
  <c r="V84" i="69"/>
  <c r="V103" i="69"/>
  <c r="V79" i="69"/>
  <c r="V75" i="69"/>
  <c r="V110" i="69"/>
  <c r="V94" i="69"/>
  <c r="V66" i="69"/>
  <c r="V62" i="69"/>
  <c r="V58" i="69"/>
  <c r="V54" i="69"/>
  <c r="V50" i="69"/>
  <c r="V105" i="69"/>
  <c r="V93" i="69"/>
  <c r="V85" i="69"/>
  <c r="V112" i="69"/>
  <c r="V104" i="69"/>
  <c r="V96" i="69"/>
  <c r="V80" i="69"/>
  <c r="V76" i="69"/>
  <c r="V111" i="69"/>
  <c r="V95" i="69"/>
  <c r="V87" i="69"/>
  <c r="V67" i="69"/>
  <c r="V63" i="69"/>
  <c r="V59" i="69"/>
  <c r="V55" i="69"/>
  <c r="V51" i="69"/>
  <c r="V113" i="69"/>
  <c r="V97" i="69"/>
  <c r="V89" i="69"/>
  <c r="V81" i="69"/>
  <c r="V77" i="69"/>
  <c r="V73" i="69"/>
  <c r="V118" i="69"/>
  <c r="V108" i="69"/>
  <c r="V100" i="69"/>
  <c r="V88" i="69"/>
  <c r="V72" i="69"/>
  <c r="V68" i="69"/>
  <c r="V64" i="69"/>
  <c r="V60" i="69"/>
  <c r="V56" i="69"/>
  <c r="V52" i="69"/>
  <c r="V48" i="69"/>
  <c r="N25" i="69"/>
  <c r="L29" i="69"/>
  <c r="X72" i="69"/>
  <c r="Z72" i="69" s="1"/>
  <c r="V83" i="69"/>
  <c r="Z87" i="69"/>
  <c r="X87" i="69"/>
  <c r="Z91" i="69"/>
  <c r="L105" i="69"/>
  <c r="N13" i="70"/>
  <c r="N16" i="70"/>
  <c r="J32" i="70"/>
  <c r="X44" i="70"/>
  <c r="L48" i="73"/>
  <c r="N48" i="73" s="1"/>
  <c r="L12" i="60"/>
  <c r="F36" i="60"/>
  <c r="J37" i="60"/>
  <c r="J47" i="60"/>
  <c r="J49" i="60"/>
  <c r="V14" i="61"/>
  <c r="V16" i="61"/>
  <c r="V18" i="61"/>
  <c r="V42" i="61"/>
  <c r="R53" i="61"/>
  <c r="X12" i="64"/>
  <c r="R32" i="64"/>
  <c r="R56" i="64"/>
  <c r="R57" i="64"/>
  <c r="V59" i="64"/>
  <c r="R76" i="64"/>
  <c r="R80" i="64"/>
  <c r="R89" i="64"/>
  <c r="L39" i="68"/>
  <c r="N39" i="68" s="1"/>
  <c r="X56" i="68"/>
  <c r="N29" i="69"/>
  <c r="L33" i="69"/>
  <c r="L44" i="69"/>
  <c r="N44" i="69" s="1"/>
  <c r="N105" i="69"/>
  <c r="P12" i="70"/>
  <c r="X13" i="70"/>
  <c r="Z13" i="70" s="1"/>
  <c r="X16" i="70"/>
  <c r="Z16" i="70" s="1"/>
  <c r="P113" i="71"/>
  <c r="X114" i="71"/>
  <c r="Z114" i="71" s="1"/>
  <c r="F44" i="60"/>
  <c r="F45" i="60"/>
  <c r="R37" i="64"/>
  <c r="R38" i="64"/>
  <c r="R45" i="64"/>
  <c r="R46" i="64"/>
  <c r="R69" i="64"/>
  <c r="R82" i="64"/>
  <c r="X84" i="64"/>
  <c r="Z84" i="64" s="1"/>
  <c r="R98" i="64"/>
  <c r="Z56" i="68"/>
  <c r="N31" i="69"/>
  <c r="N33" i="69"/>
  <c r="L37" i="69"/>
  <c r="V107" i="69"/>
  <c r="V64" i="70"/>
  <c r="V59" i="70"/>
  <c r="V58" i="70"/>
  <c r="V75" i="70"/>
  <c r="V65" i="70"/>
  <c r="V61" i="70"/>
  <c r="V60" i="70"/>
  <c r="V67" i="70"/>
  <c r="V63" i="70"/>
  <c r="V69" i="70"/>
  <c r="V54" i="70"/>
  <c r="V45" i="70"/>
  <c r="V17" i="70"/>
  <c r="V48" i="70"/>
  <c r="V36" i="70"/>
  <c r="V32" i="70"/>
  <c r="V47" i="70"/>
  <c r="V31" i="70"/>
  <c r="V27" i="70"/>
  <c r="V23" i="70"/>
  <c r="V62" i="70"/>
  <c r="V57" i="70"/>
  <c r="V55" i="70"/>
  <c r="V50" i="70"/>
  <c r="V38" i="70"/>
  <c r="V22" i="70"/>
  <c r="V20" i="70"/>
  <c r="V18" i="70"/>
  <c r="V68" i="70"/>
  <c r="V49" i="70"/>
  <c r="V37" i="70"/>
  <c r="V33" i="70"/>
  <c r="T20" i="70"/>
  <c r="V71" i="70"/>
  <c r="V66" i="70"/>
  <c r="V52" i="70"/>
  <c r="V40" i="70"/>
  <c r="V28" i="70"/>
  <c r="V24" i="70"/>
  <c r="V51" i="70"/>
  <c r="V39" i="70"/>
  <c r="V53" i="70"/>
  <c r="V41" i="70"/>
  <c r="V29" i="70"/>
  <c r="V25" i="70"/>
  <c r="V44" i="70"/>
  <c r="V16" i="70"/>
  <c r="V30" i="70"/>
  <c r="V42" i="70"/>
  <c r="N35" i="71"/>
  <c r="L35" i="71"/>
  <c r="N18" i="79"/>
  <c r="J18" i="79"/>
  <c r="L18" i="79"/>
  <c r="L93" i="75"/>
  <c r="N93" i="75" s="1"/>
  <c r="V14" i="60"/>
  <c r="V16" i="60"/>
  <c r="V18" i="60"/>
  <c r="J22" i="60"/>
  <c r="J26" i="60"/>
  <c r="V30" i="60"/>
  <c r="F34" i="60"/>
  <c r="F35" i="60"/>
  <c r="F42" i="60"/>
  <c r="R22" i="61"/>
  <c r="R26" i="61"/>
  <c r="F30" i="61"/>
  <c r="R38" i="61"/>
  <c r="R39" i="61"/>
  <c r="R49" i="61"/>
  <c r="V22" i="64"/>
  <c r="V26" i="64"/>
  <c r="J30" i="64"/>
  <c r="R31" i="64"/>
  <c r="J34" i="64"/>
  <c r="R35" i="64"/>
  <c r="R36" i="64"/>
  <c r="V38" i="64"/>
  <c r="J42" i="64"/>
  <c r="V46" i="64"/>
  <c r="J50" i="64"/>
  <c r="V54" i="64"/>
  <c r="J62" i="64"/>
  <c r="V64" i="64"/>
  <c r="J66" i="64"/>
  <c r="R75" i="64"/>
  <c r="V82" i="64"/>
  <c r="V84" i="64"/>
  <c r="J88" i="64"/>
  <c r="V91" i="64"/>
  <c r="V94" i="64"/>
  <c r="P61" i="68"/>
  <c r="N41" i="68"/>
  <c r="Z105" i="69"/>
  <c r="V35" i="70"/>
  <c r="V46" i="70"/>
  <c r="N62" i="71"/>
  <c r="N78" i="71"/>
  <c r="N94" i="71"/>
  <c r="N68" i="73"/>
  <c r="V75" i="74"/>
  <c r="V67" i="74"/>
  <c r="V80" i="74"/>
  <c r="V68" i="74"/>
  <c r="V64" i="74"/>
  <c r="V79" i="74"/>
  <c r="V71" i="74"/>
  <c r="V63" i="74"/>
  <c r="V59" i="74"/>
  <c r="V55" i="74"/>
  <c r="V92" i="74"/>
  <c r="V70" i="74"/>
  <c r="V54" i="74"/>
  <c r="V50" i="74"/>
  <c r="V46" i="74"/>
  <c r="V81" i="74"/>
  <c r="V65" i="74"/>
  <c r="V72" i="74"/>
  <c r="V60" i="74"/>
  <c r="V56" i="74"/>
  <c r="V85" i="74"/>
  <c r="V73" i="74"/>
  <c r="V61" i="74"/>
  <c r="V57" i="74"/>
  <c r="V84" i="74"/>
  <c r="V47" i="74"/>
  <c r="V38" i="74"/>
  <c r="V88" i="74"/>
  <c r="V82" i="74"/>
  <c r="V42" i="74"/>
  <c r="V77" i="74"/>
  <c r="V66" i="74"/>
  <c r="V45" i="74"/>
  <c r="V39" i="74"/>
  <c r="V35" i="74"/>
  <c r="V83" i="74"/>
  <c r="V48" i="74"/>
  <c r="V43" i="74"/>
  <c r="V78" i="74"/>
  <c r="V40" i="74"/>
  <c r="V36" i="74"/>
  <c r="V74" i="74"/>
  <c r="V69" i="74"/>
  <c r="V86" i="74"/>
  <c r="V62" i="74"/>
  <c r="V41" i="74"/>
  <c r="V37" i="74"/>
  <c r="V49" i="74"/>
  <c r="V44" i="74"/>
  <c r="V58" i="74"/>
  <c r="T52" i="74"/>
  <c r="V52" i="74" s="1"/>
  <c r="V35" i="64"/>
  <c r="J41" i="64"/>
  <c r="R44" i="64"/>
  <c r="J49" i="64"/>
  <c r="R52" i="64"/>
  <c r="R53" i="64"/>
  <c r="V55" i="64"/>
  <c r="J61" i="64"/>
  <c r="V71" i="64"/>
  <c r="V75" i="64"/>
  <c r="L45" i="69"/>
  <c r="L22" i="70"/>
  <c r="N22" i="70" s="1"/>
  <c r="L38" i="70"/>
  <c r="N38" i="70" s="1"/>
  <c r="N52" i="70"/>
  <c r="V56" i="70"/>
  <c r="Z37" i="71"/>
  <c r="L92" i="71"/>
  <c r="N92" i="71" s="1"/>
  <c r="N28" i="73"/>
  <c r="X94" i="64"/>
  <c r="Z94" i="64" s="1"/>
  <c r="T16" i="68"/>
  <c r="R19" i="68"/>
  <c r="F22" i="68"/>
  <c r="F26" i="68"/>
  <c r="V29" i="68"/>
  <c r="V33" i="68"/>
  <c r="F37" i="68"/>
  <c r="F38" i="68"/>
  <c r="J39" i="68"/>
  <c r="R42" i="68"/>
  <c r="R43" i="68"/>
  <c r="V45" i="68"/>
  <c r="J49" i="68"/>
  <c r="R50" i="68"/>
  <c r="J53" i="68"/>
  <c r="V57" i="68"/>
  <c r="V59" i="68"/>
  <c r="V61" i="68"/>
  <c r="F65" i="68"/>
  <c r="F68" i="68"/>
  <c r="Z61" i="70"/>
  <c r="N16" i="71"/>
  <c r="L27" i="71"/>
  <c r="N27" i="71" s="1"/>
  <c r="Z41" i="71"/>
  <c r="X78" i="71"/>
  <c r="Z78" i="71" s="1"/>
  <c r="Z80" i="71"/>
  <c r="T113" i="71"/>
  <c r="X38" i="73"/>
  <c r="Z38" i="73" s="1"/>
  <c r="Z52" i="73"/>
  <c r="N75" i="73"/>
  <c r="Z24" i="76"/>
  <c r="X24" i="76"/>
  <c r="L20" i="77"/>
  <c r="N20" i="77" s="1"/>
  <c r="D12" i="77"/>
  <c r="V14" i="68"/>
  <c r="V16" i="68"/>
  <c r="V18" i="68"/>
  <c r="J22" i="68"/>
  <c r="R23" i="68"/>
  <c r="J26" i="68"/>
  <c r="R27" i="68"/>
  <c r="F31" i="68"/>
  <c r="J38" i="68"/>
  <c r="V42" i="68"/>
  <c r="F47" i="68"/>
  <c r="J48" i="68"/>
  <c r="V50" i="68"/>
  <c r="R55" i="68"/>
  <c r="R56" i="68"/>
  <c r="X118" i="69"/>
  <c r="X25" i="71"/>
  <c r="N31" i="71"/>
  <c r="L31" i="71"/>
  <c r="N72" i="71"/>
  <c r="Z92" i="71"/>
  <c r="L44" i="73"/>
  <c r="N46" i="73"/>
  <c r="Z48" i="73"/>
  <c r="X50" i="73"/>
  <c r="Z50" i="73" s="1"/>
  <c r="Z68" i="73"/>
  <c r="N28" i="77"/>
  <c r="F21" i="68"/>
  <c r="F25" i="68"/>
  <c r="V32" i="68"/>
  <c r="J36" i="68"/>
  <c r="V40" i="68"/>
  <c r="R49" i="68"/>
  <c r="J52" i="68"/>
  <c r="R53" i="68"/>
  <c r="R54" i="68"/>
  <c r="V56" i="68"/>
  <c r="F63" i="68"/>
  <c r="L55" i="70"/>
  <c r="N55" i="70" s="1"/>
  <c r="Z14" i="71"/>
  <c r="Z16" i="71"/>
  <c r="Z31" i="71"/>
  <c r="X33" i="71"/>
  <c r="Z33" i="71" s="1"/>
  <c r="N39" i="71"/>
  <c r="L39" i="71"/>
  <c r="Z116" i="71"/>
  <c r="D12" i="73"/>
  <c r="N17" i="75"/>
  <c r="L17" i="75"/>
  <c r="Z19" i="76"/>
  <c r="D12" i="81"/>
  <c r="L13" i="81"/>
  <c r="D16" i="68"/>
  <c r="J21" i="68"/>
  <c r="R22" i="68"/>
  <c r="J25" i="68"/>
  <c r="R26" i="68"/>
  <c r="F29" i="68"/>
  <c r="F30" i="68"/>
  <c r="F34" i="68"/>
  <c r="J35" i="68"/>
  <c r="R38" i="68"/>
  <c r="R39" i="68"/>
  <c r="V41" i="68"/>
  <c r="F45" i="68"/>
  <c r="F46" i="68"/>
  <c r="V49" i="68"/>
  <c r="V53" i="68"/>
  <c r="F59" i="68"/>
  <c r="F61" i="68"/>
  <c r="J63" i="68"/>
  <c r="H117" i="69"/>
  <c r="N117" i="69" s="1"/>
  <c r="X55" i="70"/>
  <c r="N24" i="71"/>
  <c r="X37" i="71"/>
  <c r="R73" i="73"/>
  <c r="R69" i="73"/>
  <c r="R62" i="73"/>
  <c r="R61" i="73"/>
  <c r="R54" i="73"/>
  <c r="R53" i="73"/>
  <c r="R38" i="73"/>
  <c r="R37" i="73"/>
  <c r="R33" i="73"/>
  <c r="R29" i="73"/>
  <c r="R24" i="73"/>
  <c r="R63" i="73"/>
  <c r="R56" i="73"/>
  <c r="R55" i="73"/>
  <c r="R44" i="73"/>
  <c r="R43" i="73"/>
  <c r="R39" i="73"/>
  <c r="R28" i="73"/>
  <c r="R26" i="73"/>
  <c r="R75" i="73"/>
  <c r="R74" i="73"/>
  <c r="R70" i="73"/>
  <c r="R34" i="73"/>
  <c r="R30" i="73"/>
  <c r="P26" i="73"/>
  <c r="R58" i="73"/>
  <c r="R57" i="73"/>
  <c r="R46" i="73"/>
  <c r="R45" i="73"/>
  <c r="R77" i="73"/>
  <c r="R76" i="73"/>
  <c r="R65" i="73"/>
  <c r="R64" i="73"/>
  <c r="R40" i="73"/>
  <c r="X12" i="73"/>
  <c r="Z12" i="73" s="1"/>
  <c r="R71" i="73"/>
  <c r="R59" i="73"/>
  <c r="R48" i="73"/>
  <c r="R47" i="73"/>
  <c r="R35" i="73"/>
  <c r="R31" i="73"/>
  <c r="R80" i="73"/>
  <c r="R50" i="73"/>
  <c r="R49" i="73"/>
  <c r="R41" i="73"/>
  <c r="R22" i="73"/>
  <c r="R72" i="73"/>
  <c r="R60" i="73"/>
  <c r="R36" i="73"/>
  <c r="R32" i="73"/>
  <c r="R68" i="73"/>
  <c r="R67" i="73"/>
  <c r="R52" i="73"/>
  <c r="R51" i="73"/>
  <c r="R23" i="73"/>
  <c r="Z44" i="73"/>
  <c r="X62" i="73"/>
  <c r="Z62" i="73" s="1"/>
  <c r="P12" i="74"/>
  <c r="X14" i="74"/>
  <c r="Z34" i="75"/>
  <c r="F14" i="68"/>
  <c r="F16" i="68"/>
  <c r="F18" i="68"/>
  <c r="V22" i="68"/>
  <c r="V26" i="68"/>
  <c r="J30" i="68"/>
  <c r="R31" i="68"/>
  <c r="J34" i="68"/>
  <c r="V38" i="68"/>
  <c r="J46" i="68"/>
  <c r="R47" i="68"/>
  <c r="R48" i="68"/>
  <c r="F51" i="68"/>
  <c r="V54" i="68"/>
  <c r="Z55" i="70"/>
  <c r="N28" i="71"/>
  <c r="Z14" i="74"/>
  <c r="Z16" i="74"/>
  <c r="Z20" i="74"/>
  <c r="Z24" i="74"/>
  <c r="Z28" i="74"/>
  <c r="H12" i="75"/>
  <c r="H16" i="68"/>
  <c r="F19" i="68"/>
  <c r="F20" i="68"/>
  <c r="F24" i="68"/>
  <c r="F28" i="68"/>
  <c r="J29" i="68"/>
  <c r="V31" i="68"/>
  <c r="R36" i="68"/>
  <c r="R37" i="68"/>
  <c r="V39" i="68"/>
  <c r="F43" i="68"/>
  <c r="F44" i="68"/>
  <c r="J45" i="68"/>
  <c r="V47" i="68"/>
  <c r="J51" i="68"/>
  <c r="R52" i="68"/>
  <c r="J59" i="68"/>
  <c r="J61" i="68"/>
  <c r="R65" i="68"/>
  <c r="R68" i="68"/>
  <c r="L19" i="69"/>
  <c r="N19" i="69" s="1"/>
  <c r="L23" i="69"/>
  <c r="N23" i="69" s="1"/>
  <c r="L27" i="69"/>
  <c r="N27" i="69" s="1"/>
  <c r="L31" i="69"/>
  <c r="L35" i="69"/>
  <c r="N35" i="69" s="1"/>
  <c r="L39" i="69"/>
  <c r="N39" i="69" s="1"/>
  <c r="L43" i="69"/>
  <c r="N43" i="69" s="1"/>
  <c r="N32" i="71"/>
  <c r="N58" i="73"/>
  <c r="V59" i="76"/>
  <c r="V47" i="76"/>
  <c r="V31" i="76"/>
  <c r="V27" i="76"/>
  <c r="V66" i="76"/>
  <c r="V50" i="76"/>
  <c r="V42" i="76"/>
  <c r="T29" i="76"/>
  <c r="V29" i="76" s="1"/>
  <c r="V79" i="76"/>
  <c r="V61" i="76"/>
  <c r="V49" i="76"/>
  <c r="V37" i="76"/>
  <c r="V33" i="76"/>
  <c r="V60" i="76"/>
  <c r="V52" i="76"/>
  <c r="V67" i="76"/>
  <c r="V63" i="76"/>
  <c r="V51" i="76"/>
  <c r="V43" i="76"/>
  <c r="V62" i="76"/>
  <c r="V54" i="76"/>
  <c r="V38" i="76"/>
  <c r="V34" i="76"/>
  <c r="V69" i="76"/>
  <c r="V53" i="76"/>
  <c r="V68" i="76"/>
  <c r="V64" i="76"/>
  <c r="V56" i="76"/>
  <c r="V44" i="76"/>
  <c r="V75" i="76"/>
  <c r="V65" i="76"/>
  <c r="V57" i="76"/>
  <c r="V45" i="76"/>
  <c r="V41" i="76"/>
  <c r="V39" i="76"/>
  <c r="V70" i="76"/>
  <c r="V72" i="76"/>
  <c r="V36" i="76"/>
  <c r="V46" i="76"/>
  <c r="X12" i="76"/>
  <c r="Z12" i="76" s="1"/>
  <c r="V71" i="76"/>
  <c r="V55" i="76"/>
  <c r="V58" i="76"/>
  <c r="V40" i="76"/>
  <c r="V35" i="76"/>
  <c r="J14" i="68"/>
  <c r="J16" i="68"/>
  <c r="J18" i="68"/>
  <c r="J20" i="68"/>
  <c r="R21" i="68"/>
  <c r="J24" i="68"/>
  <c r="R25" i="68"/>
  <c r="J28" i="68"/>
  <c r="F33" i="68"/>
  <c r="V36" i="68"/>
  <c r="J44" i="68"/>
  <c r="V48" i="68"/>
  <c r="V52" i="68"/>
  <c r="F56" i="68"/>
  <c r="F57" i="68"/>
  <c r="R63" i="68"/>
  <c r="X94" i="69"/>
  <c r="Z94" i="69" s="1"/>
  <c r="X38" i="70"/>
  <c r="X50" i="70"/>
  <c r="X13" i="71"/>
  <c r="N15" i="71"/>
  <c r="L15" i="71"/>
  <c r="H12" i="71"/>
  <c r="Z22" i="71"/>
  <c r="Z24" i="71"/>
  <c r="N36" i="71"/>
  <c r="Z97" i="71"/>
  <c r="N22" i="73"/>
  <c r="N56" i="73"/>
  <c r="D12" i="74"/>
  <c r="P12" i="75"/>
  <c r="L13" i="77"/>
  <c r="N13" i="77"/>
  <c r="F41" i="68"/>
  <c r="F42" i="68"/>
  <c r="J43" i="68"/>
  <c r="R46" i="68"/>
  <c r="F50" i="68"/>
  <c r="J57" i="68"/>
  <c r="V63" i="68"/>
  <c r="V65" i="68"/>
  <c r="V68" i="68"/>
  <c r="N61" i="70"/>
  <c r="T12" i="71"/>
  <c r="N34" i="71"/>
  <c r="H12" i="74"/>
  <c r="N13" i="74"/>
  <c r="X78" i="74"/>
  <c r="Z78" i="74"/>
  <c r="T12" i="75"/>
  <c r="F23" i="68"/>
  <c r="F27" i="68"/>
  <c r="V30" i="68"/>
  <c r="V34" i="68"/>
  <c r="J42" i="68"/>
  <c r="J50" i="68"/>
  <c r="F54" i="68"/>
  <c r="L61" i="70"/>
  <c r="Z13" i="71"/>
  <c r="Z15" i="71"/>
  <c r="X17" i="71"/>
  <c r="Z17" i="71" s="1"/>
  <c r="N19" i="71"/>
  <c r="L19" i="71"/>
  <c r="Z30" i="71"/>
  <c r="Z32" i="71"/>
  <c r="N100" i="71"/>
  <c r="X110" i="71"/>
  <c r="Z110" i="71" s="1"/>
  <c r="N15" i="73"/>
  <c r="N19" i="73"/>
  <c r="X22" i="73"/>
  <c r="Z22" i="73" s="1"/>
  <c r="L28" i="73"/>
  <c r="N54" i="73"/>
  <c r="Z56" i="73"/>
  <c r="Z58" i="73"/>
  <c r="R84" i="73"/>
  <c r="N17" i="74"/>
  <c r="N21" i="74"/>
  <c r="N25" i="74"/>
  <c r="N29" i="74"/>
  <c r="L33" i="74"/>
  <c r="L53" i="75"/>
  <c r="N53" i="75" s="1"/>
  <c r="N63" i="76"/>
  <c r="L63" i="76"/>
  <c r="Z40" i="81"/>
  <c r="H12" i="73"/>
  <c r="N13" i="75"/>
  <c r="Z16" i="75"/>
  <c r="N31" i="75"/>
  <c r="N54" i="75"/>
  <c r="L61" i="76"/>
  <c r="Z92" i="77"/>
  <c r="H12" i="81"/>
  <c r="N13" i="81"/>
  <c r="Z74" i="74"/>
  <c r="N83" i="74"/>
  <c r="X34" i="75"/>
  <c r="D12" i="76"/>
  <c r="L14" i="76"/>
  <c r="N14" i="76" s="1"/>
  <c r="N31" i="76"/>
  <c r="L50" i="76"/>
  <c r="N50" i="76" s="1"/>
  <c r="N61" i="76"/>
  <c r="Z35" i="77"/>
  <c r="X13" i="73"/>
  <c r="Z13" i="73" s="1"/>
  <c r="D12" i="75"/>
  <c r="L15" i="75"/>
  <c r="N15" i="75" s="1"/>
  <c r="N72" i="75"/>
  <c r="N82" i="75"/>
  <c r="N84" i="75"/>
  <c r="L84" i="75"/>
  <c r="N99" i="75"/>
  <c r="N101" i="75"/>
  <c r="J61" i="76"/>
  <c r="N24" i="77"/>
  <c r="L28" i="77"/>
  <c r="R48" i="79"/>
  <c r="R47" i="79"/>
  <c r="R39" i="79"/>
  <c r="R34" i="79"/>
  <c r="R30" i="79"/>
  <c r="R50" i="79"/>
  <c r="R49" i="79"/>
  <c r="R21" i="79"/>
  <c r="R41" i="79"/>
  <c r="R40" i="79"/>
  <c r="X12" i="79"/>
  <c r="R52" i="79"/>
  <c r="R51" i="79"/>
  <c r="R35" i="79"/>
  <c r="R31" i="79"/>
  <c r="R43" i="79"/>
  <c r="R42" i="79"/>
  <c r="R22" i="79"/>
  <c r="R53" i="79"/>
  <c r="R18" i="79"/>
  <c r="R63" i="79"/>
  <c r="R45" i="79"/>
  <c r="R44" i="79"/>
  <c r="R37" i="79"/>
  <c r="R36" i="79"/>
  <c r="R32" i="79"/>
  <c r="R62" i="79"/>
  <c r="R28" i="79"/>
  <c r="R23" i="79"/>
  <c r="R19" i="79"/>
  <c r="R33" i="79"/>
  <c r="R25" i="79"/>
  <c r="P25" i="79"/>
  <c r="R61" i="79"/>
  <c r="R67" i="79"/>
  <c r="R59" i="79"/>
  <c r="R56" i="79"/>
  <c r="R54" i="79"/>
  <c r="R46" i="79"/>
  <c r="R29" i="79"/>
  <c r="R27" i="79"/>
  <c r="R55" i="79"/>
  <c r="L13" i="74"/>
  <c r="N80" i="74"/>
  <c r="X83" i="74"/>
  <c r="L88" i="74"/>
  <c r="X13" i="75"/>
  <c r="Z13" i="75" s="1"/>
  <c r="Z54" i="75"/>
  <c r="Z101" i="75"/>
  <c r="Z14" i="76"/>
  <c r="Z31" i="76"/>
  <c r="Z61" i="76"/>
  <c r="L32" i="77"/>
  <c r="N34" i="77"/>
  <c r="D12" i="83"/>
  <c r="Z83" i="74"/>
  <c r="X70" i="75"/>
  <c r="Z70" i="75" s="1"/>
  <c r="P12" i="77"/>
  <c r="X13" i="77"/>
  <c r="Z13" i="77" s="1"/>
  <c r="N32" i="77"/>
  <c r="Z23" i="80"/>
  <c r="X23" i="80"/>
  <c r="T16" i="87"/>
  <c r="V24" i="87"/>
  <c r="V22" i="87"/>
  <c r="V20" i="87"/>
  <c r="V31" i="87"/>
  <c r="V28" i="87"/>
  <c r="V26" i="87"/>
  <c r="V19" i="87"/>
  <c r="X12" i="87"/>
  <c r="V18" i="87"/>
  <c r="V14" i="87"/>
  <c r="V16" i="87"/>
  <c r="Z12" i="87"/>
  <c r="H113" i="71"/>
  <c r="N19" i="75"/>
  <c r="N21" i="75"/>
  <c r="L21" i="75"/>
  <c r="X16" i="76"/>
  <c r="Z16" i="76" s="1"/>
  <c r="X75" i="76"/>
  <c r="N21" i="77"/>
  <c r="V23" i="80"/>
  <c r="L26" i="71"/>
  <c r="L30" i="71"/>
  <c r="L34" i="71"/>
  <c r="L38" i="71"/>
  <c r="N38" i="71" s="1"/>
  <c r="X88" i="74"/>
  <c r="L23" i="75"/>
  <c r="L75" i="75"/>
  <c r="Z93" i="75"/>
  <c r="Z75" i="76"/>
  <c r="R38" i="79"/>
  <c r="R60" i="79"/>
  <c r="N23" i="75"/>
  <c r="N25" i="75"/>
  <c r="L25" i="75"/>
  <c r="N75" i="75"/>
  <c r="N26" i="85"/>
  <c r="L114" i="71"/>
  <c r="N114" i="71" s="1"/>
  <c r="Z32" i="75"/>
  <c r="L107" i="75"/>
  <c r="N107" i="75" s="1"/>
  <c r="N74" i="76"/>
  <c r="N29" i="77"/>
  <c r="Z102" i="77"/>
  <c r="N50" i="79"/>
  <c r="N52" i="79"/>
  <c r="H12" i="85"/>
  <c r="L14" i="85"/>
  <c r="N14" i="85"/>
  <c r="Z54" i="74"/>
  <c r="X14" i="75"/>
  <c r="Z14" i="75" s="1"/>
  <c r="N16" i="75"/>
  <c r="N29" i="75"/>
  <c r="L29" i="75"/>
  <c r="L34" i="75"/>
  <c r="N34" i="75" s="1"/>
  <c r="N63" i="75"/>
  <c r="Z13" i="76"/>
  <c r="X20" i="76"/>
  <c r="Z20" i="76" s="1"/>
  <c r="Z56" i="76"/>
  <c r="X56" i="76"/>
  <c r="N69" i="76"/>
  <c r="X74" i="76"/>
  <c r="Z74" i="76" s="1"/>
  <c r="L16" i="77"/>
  <c r="Z25" i="77"/>
  <c r="L14" i="80"/>
  <c r="N14" i="80" s="1"/>
  <c r="J53" i="76"/>
  <c r="J63" i="76"/>
  <c r="R70" i="76"/>
  <c r="R71" i="76"/>
  <c r="V43" i="77"/>
  <c r="V65" i="77"/>
  <c r="Z76" i="77"/>
  <c r="X92" i="77"/>
  <c r="L52" i="79"/>
  <c r="Z47" i="80"/>
  <c r="Z53" i="80"/>
  <c r="Z14" i="81"/>
  <c r="Z44" i="81"/>
  <c r="X44" i="81"/>
  <c r="P107" i="75"/>
  <c r="X107" i="75" s="1"/>
  <c r="Z107" i="75" s="1"/>
  <c r="H29" i="76"/>
  <c r="J50" i="76"/>
  <c r="R53" i="76"/>
  <c r="R54" i="76"/>
  <c r="J60" i="76"/>
  <c r="V38" i="77"/>
  <c r="Z78" i="77"/>
  <c r="L86" i="77"/>
  <c r="N86" i="77" s="1"/>
  <c r="V92" i="77"/>
  <c r="H102" i="77"/>
  <c r="N106" i="77"/>
  <c r="Z62" i="79"/>
  <c r="R39" i="80"/>
  <c r="R38" i="80"/>
  <c r="R23" i="80"/>
  <c r="R18" i="80"/>
  <c r="R61" i="80"/>
  <c r="R49" i="80"/>
  <c r="R33" i="80"/>
  <c r="R22" i="80"/>
  <c r="R20" i="80"/>
  <c r="R74" i="80"/>
  <c r="R57" i="80"/>
  <c r="R56" i="80"/>
  <c r="R41" i="80"/>
  <c r="R40" i="80"/>
  <c r="R28" i="80"/>
  <c r="R24" i="80"/>
  <c r="P20" i="80"/>
  <c r="R63" i="80"/>
  <c r="R62" i="80"/>
  <c r="R58" i="80"/>
  <c r="R51" i="80"/>
  <c r="R50" i="80"/>
  <c r="R43" i="80"/>
  <c r="R42" i="80"/>
  <c r="R34" i="80"/>
  <c r="R29" i="80"/>
  <c r="R25" i="80"/>
  <c r="R65" i="80"/>
  <c r="R64" i="80"/>
  <c r="R53" i="80"/>
  <c r="R52" i="80"/>
  <c r="R45" i="80"/>
  <c r="R44" i="80"/>
  <c r="R59" i="80"/>
  <c r="R35" i="80"/>
  <c r="R16" i="80"/>
  <c r="R67" i="80"/>
  <c r="R66" i="80"/>
  <c r="R54" i="80"/>
  <c r="R47" i="80"/>
  <c r="R46" i="80"/>
  <c r="R31" i="80"/>
  <c r="R30" i="80"/>
  <c r="R26" i="80"/>
  <c r="R17" i="80"/>
  <c r="N22" i="80"/>
  <c r="R32" i="80"/>
  <c r="L63" i="80"/>
  <c r="N63" i="80" s="1"/>
  <c r="X16" i="81"/>
  <c r="Z16" i="81" s="1"/>
  <c r="N23" i="81"/>
  <c r="R24" i="83"/>
  <c r="R19" i="83"/>
  <c r="R27" i="83"/>
  <c r="R31" i="83"/>
  <c r="R21" i="83"/>
  <c r="R25" i="83"/>
  <c r="P21" i="83"/>
  <c r="R23" i="83"/>
  <c r="R17" i="83"/>
  <c r="X12" i="83"/>
  <c r="J27" i="76"/>
  <c r="J29" i="76"/>
  <c r="J31" i="76"/>
  <c r="J33" i="76"/>
  <c r="R34" i="76"/>
  <c r="J37" i="76"/>
  <c r="R38" i="76"/>
  <c r="J49" i="76"/>
  <c r="R62" i="76"/>
  <c r="R63" i="76"/>
  <c r="J79" i="76"/>
  <c r="V42" i="77"/>
  <c r="Z80" i="77"/>
  <c r="Z27" i="79"/>
  <c r="Z59" i="79"/>
  <c r="X59" i="79"/>
  <c r="V61" i="80"/>
  <c r="V57" i="80"/>
  <c r="V49" i="80"/>
  <c r="V41" i="80"/>
  <c r="V33" i="80"/>
  <c r="T20" i="80"/>
  <c r="V74" i="80"/>
  <c r="V56" i="80"/>
  <c r="V40" i="80"/>
  <c r="V28" i="80"/>
  <c r="V24" i="80"/>
  <c r="V63" i="80"/>
  <c r="V51" i="80"/>
  <c r="V43" i="80"/>
  <c r="V62" i="80"/>
  <c r="V58" i="80"/>
  <c r="V50" i="80"/>
  <c r="V42" i="80"/>
  <c r="V34" i="80"/>
  <c r="V65" i="80"/>
  <c r="V53" i="80"/>
  <c r="V45" i="80"/>
  <c r="V29" i="80"/>
  <c r="V25" i="80"/>
  <c r="V64" i="80"/>
  <c r="V52" i="80"/>
  <c r="V44" i="80"/>
  <c r="V16" i="80"/>
  <c r="V67" i="80"/>
  <c r="V59" i="80"/>
  <c r="V47" i="80"/>
  <c r="V35" i="80"/>
  <c r="V31" i="80"/>
  <c r="V66" i="80"/>
  <c r="V54" i="80"/>
  <c r="V46" i="80"/>
  <c r="V30" i="80"/>
  <c r="V26" i="80"/>
  <c r="V37" i="80"/>
  <c r="V17" i="80"/>
  <c r="Z14" i="80"/>
  <c r="V32" i="80"/>
  <c r="P12" i="81"/>
  <c r="H12" i="84"/>
  <c r="X15" i="76"/>
  <c r="Z15" i="76" s="1"/>
  <c r="X19" i="76"/>
  <c r="J32" i="76"/>
  <c r="J42" i="76"/>
  <c r="R43" i="76"/>
  <c r="J48" i="76"/>
  <c r="R51" i="76"/>
  <c r="R52" i="76"/>
  <c r="J66" i="76"/>
  <c r="R67" i="76"/>
  <c r="J74" i="76"/>
  <c r="N35" i="77"/>
  <c r="Z36" i="77"/>
  <c r="N57" i="77"/>
  <c r="V61" i="77"/>
  <c r="L74" i="77"/>
  <c r="N74" i="77" s="1"/>
  <c r="V80" i="77"/>
  <c r="N14" i="79"/>
  <c r="J37" i="79"/>
  <c r="L43" i="79"/>
  <c r="N43" i="79" s="1"/>
  <c r="X12" i="80"/>
  <c r="Z12" i="80" s="1"/>
  <c r="V48" i="80"/>
  <c r="T12" i="81"/>
  <c r="Z23" i="81"/>
  <c r="L13" i="84"/>
  <c r="N13" i="84" s="1"/>
  <c r="N43" i="84"/>
  <c r="L45" i="84"/>
  <c r="N45" i="84" s="1"/>
  <c r="J41" i="76"/>
  <c r="J47" i="76"/>
  <c r="J59" i="76"/>
  <c r="R60" i="76"/>
  <c r="R61" i="76"/>
  <c r="J75" i="76"/>
  <c r="V84" i="77"/>
  <c r="V72" i="77"/>
  <c r="V56" i="77"/>
  <c r="V54" i="77"/>
  <c r="V52" i="77"/>
  <c r="V48" i="77"/>
  <c r="V44" i="77"/>
  <c r="V40" i="77"/>
  <c r="V95" i="77"/>
  <c r="V83" i="77"/>
  <c r="V71" i="77"/>
  <c r="V67" i="77"/>
  <c r="T54" i="77"/>
  <c r="V94" i="77"/>
  <c r="V86" i="77"/>
  <c r="V74" i="77"/>
  <c r="V66" i="77"/>
  <c r="V62" i="77"/>
  <c r="V58" i="77"/>
  <c r="V97" i="77"/>
  <c r="V85" i="77"/>
  <c r="V73" i="77"/>
  <c r="V49" i="77"/>
  <c r="V106" i="77"/>
  <c r="V96" i="77"/>
  <c r="V88" i="77"/>
  <c r="V76" i="77"/>
  <c r="V68" i="77"/>
  <c r="V105" i="77"/>
  <c r="V99" i="77"/>
  <c r="V87" i="77"/>
  <c r="V75" i="77"/>
  <c r="V63" i="77"/>
  <c r="V59" i="77"/>
  <c r="V104" i="77"/>
  <c r="V98" i="77"/>
  <c r="V90" i="77"/>
  <c r="V78" i="77"/>
  <c r="V50" i="77"/>
  <c r="V46" i="77"/>
  <c r="V103" i="77"/>
  <c r="V89" i="77"/>
  <c r="V77" i="77"/>
  <c r="V69" i="77"/>
  <c r="V110" i="77"/>
  <c r="V102" i="77"/>
  <c r="V100" i="77"/>
  <c r="N72" i="77"/>
  <c r="X82" i="77"/>
  <c r="Z82" i="77" s="1"/>
  <c r="N95" i="77"/>
  <c r="N41" i="79"/>
  <c r="X48" i="79"/>
  <c r="Z48" i="79" s="1"/>
  <c r="V22" i="80"/>
  <c r="L51" i="80"/>
  <c r="L65" i="80"/>
  <c r="X70" i="80"/>
  <c r="L22" i="81"/>
  <c r="N41" i="84"/>
  <c r="P29" i="76"/>
  <c r="R33" i="76"/>
  <c r="J36" i="76"/>
  <c r="R37" i="76"/>
  <c r="J40" i="76"/>
  <c r="J46" i="76"/>
  <c r="R49" i="76"/>
  <c r="R50" i="76"/>
  <c r="J58" i="76"/>
  <c r="J72" i="76"/>
  <c r="R79" i="76"/>
  <c r="V70" i="77"/>
  <c r="V91" i="77"/>
  <c r="V93" i="77"/>
  <c r="D12" i="79"/>
  <c r="T12" i="79"/>
  <c r="Z14" i="79"/>
  <c r="J45" i="79"/>
  <c r="J53" i="79"/>
  <c r="T58" i="79"/>
  <c r="N37" i="80"/>
  <c r="N41" i="80"/>
  <c r="N43" i="80"/>
  <c r="N57" i="80"/>
  <c r="Z63" i="80"/>
  <c r="R70" i="80"/>
  <c r="N54" i="81"/>
  <c r="L23" i="84"/>
  <c r="N23" i="84" s="1"/>
  <c r="Z23" i="85"/>
  <c r="Z27" i="85"/>
  <c r="X14" i="76"/>
  <c r="R42" i="76"/>
  <c r="J45" i="76"/>
  <c r="J57" i="76"/>
  <c r="J65" i="76"/>
  <c r="R66" i="76"/>
  <c r="J71" i="76"/>
  <c r="V57" i="77"/>
  <c r="V64" i="77"/>
  <c r="V79" i="77"/>
  <c r="Z86" i="77"/>
  <c r="D12" i="80"/>
  <c r="N45" i="80"/>
  <c r="N22" i="81"/>
  <c r="N38" i="81"/>
  <c r="L38" i="81"/>
  <c r="Z103" i="85"/>
  <c r="R32" i="76"/>
  <c r="R47" i="76"/>
  <c r="R48" i="76"/>
  <c r="J56" i="76"/>
  <c r="R59" i="76"/>
  <c r="J70" i="76"/>
  <c r="R74" i="76"/>
  <c r="L14" i="77"/>
  <c r="N14" i="77" s="1"/>
  <c r="L18" i="77"/>
  <c r="N18" i="77" s="1"/>
  <c r="X35" i="77"/>
  <c r="V41" i="77"/>
  <c r="L76" i="77"/>
  <c r="N76" i="77" s="1"/>
  <c r="V81" i="77"/>
  <c r="P102" i="77"/>
  <c r="X102" i="77" s="1"/>
  <c r="Z37" i="79"/>
  <c r="H12" i="80"/>
  <c r="R37" i="80"/>
  <c r="Z39" i="80"/>
  <c r="R55" i="80"/>
  <c r="V70" i="80"/>
  <c r="N44" i="81"/>
  <c r="L50" i="81"/>
  <c r="N50" i="81" s="1"/>
  <c r="L54" i="81"/>
  <c r="L18" i="85"/>
  <c r="N18" i="85" s="1"/>
  <c r="Z21" i="86"/>
  <c r="J35" i="76"/>
  <c r="R36" i="76"/>
  <c r="J39" i="76"/>
  <c r="R40" i="76"/>
  <c r="R41" i="76"/>
  <c r="J55" i="76"/>
  <c r="R72" i="76"/>
  <c r="R75" i="76"/>
  <c r="V39" i="77"/>
  <c r="V45" i="77"/>
  <c r="V51" i="77"/>
  <c r="N56" i="77"/>
  <c r="N67" i="77"/>
  <c r="Z74" i="77"/>
  <c r="J62" i="79"/>
  <c r="J54" i="79"/>
  <c r="J46" i="79"/>
  <c r="J38" i="79"/>
  <c r="J28" i="79"/>
  <c r="J67" i="79"/>
  <c r="J61" i="79"/>
  <c r="J55" i="79"/>
  <c r="J33" i="79"/>
  <c r="J29" i="79"/>
  <c r="J27" i="79"/>
  <c r="J25" i="79"/>
  <c r="J60" i="79"/>
  <c r="J56" i="79"/>
  <c r="H25" i="79"/>
  <c r="J20" i="79"/>
  <c r="J59" i="79"/>
  <c r="J47" i="79"/>
  <c r="J39" i="79"/>
  <c r="J58" i="79"/>
  <c r="J48" i="79"/>
  <c r="J34" i="79"/>
  <c r="J30" i="79"/>
  <c r="J49" i="79"/>
  <c r="J21" i="79"/>
  <c r="J50" i="79"/>
  <c r="J40" i="79"/>
  <c r="J51" i="79"/>
  <c r="J41" i="79"/>
  <c r="J35" i="79"/>
  <c r="J31" i="79"/>
  <c r="J52" i="79"/>
  <c r="J42" i="79"/>
  <c r="J22" i="79"/>
  <c r="P58" i="79"/>
  <c r="X58" i="79" s="1"/>
  <c r="X60" i="79"/>
  <c r="Z60" i="79" s="1"/>
  <c r="V27" i="80"/>
  <c r="Z37" i="80"/>
  <c r="V39" i="80"/>
  <c r="L45" i="80"/>
  <c r="L53" i="80"/>
  <c r="N53" i="80" s="1"/>
  <c r="V55" i="80"/>
  <c r="N99" i="85"/>
  <c r="X54" i="81"/>
  <c r="Z54" i="81" s="1"/>
  <c r="J17" i="83"/>
  <c r="R88" i="84"/>
  <c r="R39" i="84"/>
  <c r="R38" i="84"/>
  <c r="R34" i="84"/>
  <c r="R77" i="84"/>
  <c r="R76" i="84"/>
  <c r="R72" i="84"/>
  <c r="R60" i="84"/>
  <c r="R41" i="84"/>
  <c r="R40" i="84"/>
  <c r="R52" i="84"/>
  <c r="R51" i="84"/>
  <c r="R35" i="84"/>
  <c r="R16" i="84"/>
  <c r="R79" i="84"/>
  <c r="R78" i="84"/>
  <c r="R67" i="84"/>
  <c r="R66" i="84"/>
  <c r="R43" i="84"/>
  <c r="R42" i="84"/>
  <c r="R30" i="84"/>
  <c r="R26" i="84"/>
  <c r="R73" i="84"/>
  <c r="R62" i="84"/>
  <c r="R61" i="84"/>
  <c r="R54" i="84"/>
  <c r="R53" i="84"/>
  <c r="R17" i="84"/>
  <c r="R81" i="84"/>
  <c r="R80" i="84"/>
  <c r="R68" i="84"/>
  <c r="R45" i="84"/>
  <c r="R44" i="84"/>
  <c r="R36" i="84"/>
  <c r="X12" i="84"/>
  <c r="R82" i="84"/>
  <c r="R74" i="84"/>
  <c r="R46" i="84"/>
  <c r="R23" i="84"/>
  <c r="R18" i="84"/>
  <c r="R64" i="84"/>
  <c r="R28" i="84"/>
  <c r="R24" i="84"/>
  <c r="P20" i="84"/>
  <c r="X23" i="84"/>
  <c r="Z41" i="84"/>
  <c r="V50" i="84"/>
  <c r="R57" i="84"/>
  <c r="V64" i="84"/>
  <c r="R70" i="84"/>
  <c r="N77" i="84"/>
  <c r="N81" i="84"/>
  <c r="V88" i="84"/>
  <c r="T12" i="85"/>
  <c r="X14" i="85"/>
  <c r="Z14" i="85" s="1"/>
  <c r="L26" i="85"/>
  <c r="Z31" i="85"/>
  <c r="J32" i="86"/>
  <c r="J15" i="86"/>
  <c r="J16" i="86"/>
  <c r="J21" i="86"/>
  <c r="J22" i="86"/>
  <c r="J20" i="86"/>
  <c r="J18" i="86"/>
  <c r="J23" i="86"/>
  <c r="H18" i="86"/>
  <c r="J25" i="86"/>
  <c r="J24" i="86"/>
  <c r="N23" i="88"/>
  <c r="D58" i="79"/>
  <c r="L58" i="79" s="1"/>
  <c r="N58" i="79" s="1"/>
  <c r="Z14" i="83"/>
  <c r="Z24" i="83"/>
  <c r="Z23" i="84"/>
  <c r="D12" i="85"/>
  <c r="Z18" i="85"/>
  <c r="X18" i="85"/>
  <c r="N59" i="85"/>
  <c r="Z15" i="86"/>
  <c r="N20" i="86"/>
  <c r="X13" i="79"/>
  <c r="Z13" i="79" s="1"/>
  <c r="X14" i="83"/>
  <c r="X24" i="83"/>
  <c r="X39" i="84"/>
  <c r="Z39" i="84" s="1"/>
  <c r="L59" i="85"/>
  <c r="J77" i="88"/>
  <c r="J65" i="88"/>
  <c r="J78" i="88"/>
  <c r="J66" i="88"/>
  <c r="J60" i="88"/>
  <c r="J50" i="88"/>
  <c r="J40" i="88"/>
  <c r="J79" i="88"/>
  <c r="J71" i="88"/>
  <c r="J67" i="88"/>
  <c r="J51" i="88"/>
  <c r="J41" i="88"/>
  <c r="J52" i="88"/>
  <c r="J42" i="88"/>
  <c r="J34" i="88"/>
  <c r="J81" i="88"/>
  <c r="J61" i="88"/>
  <c r="J53" i="88"/>
  <c r="J43" i="88"/>
  <c r="J72" i="88"/>
  <c r="J68" i="88"/>
  <c r="J54" i="88"/>
  <c r="J44" i="88"/>
  <c r="J85" i="88"/>
  <c r="J55" i="88"/>
  <c r="J35" i="88"/>
  <c r="J73" i="88"/>
  <c r="J69" i="88"/>
  <c r="J63" i="88"/>
  <c r="J45" i="88"/>
  <c r="J75" i="88"/>
  <c r="J57" i="88"/>
  <c r="J47" i="88"/>
  <c r="J37" i="88"/>
  <c r="J31" i="88"/>
  <c r="J27" i="88"/>
  <c r="J76" i="88"/>
  <c r="J70" i="88"/>
  <c r="J58" i="88"/>
  <c r="J48" i="88"/>
  <c r="J38" i="88"/>
  <c r="J64" i="88"/>
  <c r="J62" i="88"/>
  <c r="J46" i="88"/>
  <c r="J23" i="88"/>
  <c r="J24" i="88"/>
  <c r="J22" i="88"/>
  <c r="J20" i="88"/>
  <c r="J59" i="88"/>
  <c r="J36" i="88"/>
  <c r="H20" i="88"/>
  <c r="J28" i="88"/>
  <c r="J39" i="88"/>
  <c r="J25" i="88"/>
  <c r="J32" i="88"/>
  <c r="J49" i="88"/>
  <c r="J26" i="88"/>
  <c r="J17" i="88"/>
  <c r="X23" i="88"/>
  <c r="Z23" i="88" s="1"/>
  <c r="L13" i="80"/>
  <c r="X13" i="81"/>
  <c r="V16" i="84"/>
  <c r="L13" i="85"/>
  <c r="N13" i="85" s="1"/>
  <c r="Z22" i="85"/>
  <c r="X22" i="85"/>
  <c r="F28" i="86"/>
  <c r="F32" i="86"/>
  <c r="F16" i="86"/>
  <c r="F15" i="86"/>
  <c r="F22" i="86"/>
  <c r="F21" i="86"/>
  <c r="F24" i="86"/>
  <c r="F23" i="86"/>
  <c r="D18" i="86"/>
  <c r="L12" i="86"/>
  <c r="N12" i="86" s="1"/>
  <c r="F26" i="86"/>
  <c r="F25" i="86"/>
  <c r="X19" i="87"/>
  <c r="N12" i="88"/>
  <c r="N54" i="88"/>
  <c r="N13" i="80"/>
  <c r="X14" i="80"/>
  <c r="Z13" i="81"/>
  <c r="X40" i="81"/>
  <c r="L46" i="81"/>
  <c r="N67" i="84"/>
  <c r="Z26" i="85"/>
  <c r="X26" i="85"/>
  <c r="Z90" i="85"/>
  <c r="V20" i="86"/>
  <c r="V72" i="88"/>
  <c r="V68" i="88"/>
  <c r="V44" i="88"/>
  <c r="V85" i="88"/>
  <c r="V63" i="88"/>
  <c r="V55" i="88"/>
  <c r="V74" i="88"/>
  <c r="V62" i="88"/>
  <c r="V46" i="88"/>
  <c r="V30" i="88"/>
  <c r="V73" i="88"/>
  <c r="V69" i="88"/>
  <c r="V57" i="88"/>
  <c r="V45" i="88"/>
  <c r="V37" i="88"/>
  <c r="V76" i="88"/>
  <c r="V64" i="88"/>
  <c r="V56" i="88"/>
  <c r="V48" i="88"/>
  <c r="V75" i="88"/>
  <c r="V59" i="88"/>
  <c r="V47" i="88"/>
  <c r="V39" i="88"/>
  <c r="V77" i="88"/>
  <c r="V65" i="88"/>
  <c r="V49" i="88"/>
  <c r="V41" i="88"/>
  <c r="V81" i="88"/>
  <c r="V79" i="88"/>
  <c r="V71" i="88"/>
  <c r="V67" i="88"/>
  <c r="V51" i="88"/>
  <c r="V43" i="88"/>
  <c r="V54" i="88"/>
  <c r="V42" i="88"/>
  <c r="V34" i="88"/>
  <c r="V32" i="88"/>
  <c r="V31" i="88"/>
  <c r="V28" i="88"/>
  <c r="V25" i="88"/>
  <c r="V16" i="88"/>
  <c r="V53" i="88"/>
  <c r="V78" i="88"/>
  <c r="V70" i="88"/>
  <c r="V61" i="88"/>
  <c r="V29" i="88"/>
  <c r="V26" i="88"/>
  <c r="V17" i="88"/>
  <c r="Z12" i="88"/>
  <c r="V35" i="88"/>
  <c r="V33" i="88"/>
  <c r="V23" i="88"/>
  <c r="V58" i="88"/>
  <c r="V27" i="88"/>
  <c r="T20" i="88"/>
  <c r="V40" i="88"/>
  <c r="V38" i="88"/>
  <c r="J29" i="88"/>
  <c r="J74" i="88"/>
  <c r="P73" i="89"/>
  <c r="X16" i="79"/>
  <c r="Z16" i="79" s="1"/>
  <c r="X50" i="81"/>
  <c r="Z50" i="81" s="1"/>
  <c r="N52" i="81"/>
  <c r="J18" i="83"/>
  <c r="J19" i="83"/>
  <c r="J24" i="83"/>
  <c r="J25" i="83"/>
  <c r="J23" i="83"/>
  <c r="J21" i="83"/>
  <c r="H21" i="83"/>
  <c r="N14" i="84"/>
  <c r="V40" i="84"/>
  <c r="R63" i="84"/>
  <c r="R69" i="84"/>
  <c r="V84" i="84"/>
  <c r="P12" i="85"/>
  <c r="L111" i="85"/>
  <c r="N111" i="85" s="1"/>
  <c r="P24" i="87"/>
  <c r="X16" i="87"/>
  <c r="R66" i="88"/>
  <c r="T12" i="89"/>
  <c r="X13" i="89"/>
  <c r="Z13" i="89" s="1"/>
  <c r="N15" i="83"/>
  <c r="X14" i="84"/>
  <c r="Z14" i="84" s="1"/>
  <c r="V22" i="84"/>
  <c r="F32" i="84"/>
  <c r="V38" i="84"/>
  <c r="R56" i="84"/>
  <c r="R65" i="84"/>
  <c r="R71" i="84"/>
  <c r="Z15" i="85"/>
  <c r="Z30" i="85"/>
  <c r="X30" i="85"/>
  <c r="L103" i="85"/>
  <c r="N105" i="85"/>
  <c r="R21" i="86"/>
  <c r="R16" i="86"/>
  <c r="R20" i="86"/>
  <c r="R23" i="86"/>
  <c r="R22" i="86"/>
  <c r="P18" i="86"/>
  <c r="R18" i="86" s="1"/>
  <c r="R25" i="86"/>
  <c r="R24" i="86"/>
  <c r="X12" i="86"/>
  <c r="Z12" i="86" s="1"/>
  <c r="R26" i="86"/>
  <c r="R32" i="86"/>
  <c r="R15" i="86"/>
  <c r="L23" i="86"/>
  <c r="F70" i="88"/>
  <c r="F77" i="88"/>
  <c r="F76" i="88"/>
  <c r="F65" i="88"/>
  <c r="F49" i="88"/>
  <c r="F48" i="88"/>
  <c r="F60" i="88"/>
  <c r="F59" i="88"/>
  <c r="F40" i="88"/>
  <c r="F39" i="88"/>
  <c r="F79" i="88"/>
  <c r="F78" i="88"/>
  <c r="F71" i="88"/>
  <c r="F67" i="88"/>
  <c r="F66" i="88"/>
  <c r="F51" i="88"/>
  <c r="F50" i="88"/>
  <c r="F42" i="88"/>
  <c r="F41" i="88"/>
  <c r="F34" i="88"/>
  <c r="F61" i="88"/>
  <c r="F53" i="88"/>
  <c r="F52" i="88"/>
  <c r="F81" i="88"/>
  <c r="F72" i="88"/>
  <c r="F68" i="88"/>
  <c r="F44" i="88"/>
  <c r="F43" i="88"/>
  <c r="F62" i="88"/>
  <c r="F64" i="88"/>
  <c r="F63" i="88"/>
  <c r="F56" i="88"/>
  <c r="F36" i="88"/>
  <c r="F75" i="88"/>
  <c r="F74" i="88"/>
  <c r="F47" i="88"/>
  <c r="F46" i="88"/>
  <c r="F30" i="88"/>
  <c r="F27" i="88"/>
  <c r="F18" i="88"/>
  <c r="F85" i="88"/>
  <c r="F38" i="88"/>
  <c r="F24" i="88"/>
  <c r="F23" i="88"/>
  <c r="F73" i="88"/>
  <c r="F22" i="88"/>
  <c r="F55" i="88"/>
  <c r="F31" i="88"/>
  <c r="F28" i="88"/>
  <c r="D20" i="88"/>
  <c r="F20" i="88" s="1"/>
  <c r="F57" i="88"/>
  <c r="F25" i="88"/>
  <c r="F35" i="88"/>
  <c r="F29" i="88"/>
  <c r="F69" i="88"/>
  <c r="F54" i="88"/>
  <c r="F33" i="88"/>
  <c r="L12" i="88"/>
  <c r="F16" i="88"/>
  <c r="J18" i="88"/>
  <c r="F32" i="88"/>
  <c r="F37" i="88"/>
  <c r="R50" i="88"/>
  <c r="X74" i="77"/>
  <c r="X86" i="77"/>
  <c r="T12" i="83"/>
  <c r="X13" i="83"/>
  <c r="Z13" i="83" s="1"/>
  <c r="V77" i="84"/>
  <c r="V65" i="84"/>
  <c r="V49" i="84"/>
  <c r="V41" i="84"/>
  <c r="V29" i="84"/>
  <c r="V25" i="84"/>
  <c r="V76" i="84"/>
  <c r="V72" i="84"/>
  <c r="V79" i="84"/>
  <c r="V67" i="84"/>
  <c r="V51" i="84"/>
  <c r="V43" i="84"/>
  <c r="V35" i="84"/>
  <c r="V78" i="84"/>
  <c r="V66" i="84"/>
  <c r="V62" i="84"/>
  <c r="V54" i="84"/>
  <c r="V42" i="84"/>
  <c r="V30" i="84"/>
  <c r="V26" i="84"/>
  <c r="V81" i="84"/>
  <c r="V73" i="84"/>
  <c r="V61" i="84"/>
  <c r="V53" i="84"/>
  <c r="V45" i="84"/>
  <c r="V17" i="84"/>
  <c r="V80" i="84"/>
  <c r="V68" i="84"/>
  <c r="V56" i="84"/>
  <c r="V44" i="84"/>
  <c r="V36" i="84"/>
  <c r="V32" i="84"/>
  <c r="Z12" i="84"/>
  <c r="V63" i="84"/>
  <c r="V55" i="84"/>
  <c r="V31" i="84"/>
  <c r="V27" i="84"/>
  <c r="V23" i="84"/>
  <c r="V69" i="84"/>
  <c r="V57" i="84"/>
  <c r="V37" i="84"/>
  <c r="V33" i="84"/>
  <c r="T20" i="84"/>
  <c r="V75" i="84"/>
  <c r="V71" i="84"/>
  <c r="V59" i="84"/>
  <c r="V47" i="84"/>
  <c r="V39" i="84"/>
  <c r="V24" i="84"/>
  <c r="R48" i="84"/>
  <c r="N103" i="85"/>
  <c r="V23" i="86"/>
  <c r="T18" i="86"/>
  <c r="V22" i="86"/>
  <c r="V25" i="86"/>
  <c r="V24" i="86"/>
  <c r="V28" i="86"/>
  <c r="V26" i="86"/>
  <c r="V15" i="86"/>
  <c r="V21" i="86"/>
  <c r="V32" i="86"/>
  <c r="N13" i="88"/>
  <c r="V24" i="88"/>
  <c r="N32" i="88"/>
  <c r="V66" i="88"/>
  <c r="Z15" i="83"/>
  <c r="V28" i="84"/>
  <c r="R58" i="84"/>
  <c r="V60" i="84"/>
  <c r="V82" i="84"/>
  <c r="Z34" i="85"/>
  <c r="X37" i="85"/>
  <c r="Z37" i="85" s="1"/>
  <c r="N69" i="85"/>
  <c r="Z113" i="85"/>
  <c r="Z115" i="85"/>
  <c r="F18" i="86"/>
  <c r="R81" i="88"/>
  <c r="R61" i="88"/>
  <c r="R54" i="88"/>
  <c r="R53" i="88"/>
  <c r="R72" i="88"/>
  <c r="R68" i="88"/>
  <c r="R44" i="88"/>
  <c r="R85" i="88"/>
  <c r="R55" i="88"/>
  <c r="R35" i="88"/>
  <c r="R63" i="88"/>
  <c r="R62" i="88"/>
  <c r="R74" i="88"/>
  <c r="R73" i="88"/>
  <c r="R69" i="88"/>
  <c r="R46" i="88"/>
  <c r="R45" i="88"/>
  <c r="R64" i="88"/>
  <c r="R57" i="88"/>
  <c r="R56" i="88"/>
  <c r="R37" i="88"/>
  <c r="R36" i="88"/>
  <c r="R70" i="88"/>
  <c r="R59" i="88"/>
  <c r="R58" i="88"/>
  <c r="R39" i="88"/>
  <c r="R38" i="88"/>
  <c r="R60" i="88"/>
  <c r="R41" i="88"/>
  <c r="R40" i="88"/>
  <c r="R28" i="88"/>
  <c r="R79" i="88"/>
  <c r="R71" i="88"/>
  <c r="R67" i="88"/>
  <c r="R52" i="88"/>
  <c r="R51" i="88"/>
  <c r="R77" i="88"/>
  <c r="R34" i="88"/>
  <c r="R31" i="88"/>
  <c r="R25" i="88"/>
  <c r="R43" i="88"/>
  <c r="R32" i="88"/>
  <c r="R16" i="88"/>
  <c r="R76" i="88"/>
  <c r="R65" i="88"/>
  <c r="R49" i="88"/>
  <c r="R47" i="88"/>
  <c r="R29" i="88"/>
  <c r="R78" i="88"/>
  <c r="R26" i="88"/>
  <c r="R17" i="88"/>
  <c r="X12" i="88"/>
  <c r="R30" i="88"/>
  <c r="R23" i="88"/>
  <c r="R18" i="88"/>
  <c r="R24" i="88"/>
  <c r="P20" i="88"/>
  <c r="J16" i="88"/>
  <c r="R48" i="88"/>
  <c r="V50" i="88"/>
  <c r="V52" i="88"/>
  <c r="X42" i="89"/>
  <c r="Z42" i="89" s="1"/>
  <c r="F36" i="84"/>
  <c r="F43" i="84"/>
  <c r="F44" i="84"/>
  <c r="F67" i="84"/>
  <c r="F68" i="84"/>
  <c r="F79" i="84"/>
  <c r="F80" i="84"/>
  <c r="X14" i="87"/>
  <c r="F26" i="87"/>
  <c r="J58" i="89"/>
  <c r="J52" i="89"/>
  <c r="J40" i="89"/>
  <c r="J34" i="89"/>
  <c r="J75" i="89"/>
  <c r="J59" i="89"/>
  <c r="J53" i="89"/>
  <c r="J41" i="89"/>
  <c r="J29" i="89"/>
  <c r="J25" i="89"/>
  <c r="J64" i="89"/>
  <c r="J60" i="89"/>
  <c r="J42" i="89"/>
  <c r="J43" i="89"/>
  <c r="J35" i="89"/>
  <c r="J54" i="89"/>
  <c r="J44" i="89"/>
  <c r="J30" i="89"/>
  <c r="J26" i="89"/>
  <c r="J16" i="89"/>
  <c r="J65" i="89"/>
  <c r="J61" i="89"/>
  <c r="J45" i="89"/>
  <c r="J17" i="89"/>
  <c r="J66" i="89"/>
  <c r="J46" i="89"/>
  <c r="J36" i="89"/>
  <c r="J68" i="89"/>
  <c r="J62" i="89"/>
  <c r="J56" i="89"/>
  <c r="J48" i="89"/>
  <c r="J32" i="89"/>
  <c r="J18" i="89"/>
  <c r="J50" i="89"/>
  <c r="J38" i="89"/>
  <c r="J28" i="89"/>
  <c r="J24" i="89"/>
  <c r="J22" i="89"/>
  <c r="J71" i="89"/>
  <c r="J63" i="89"/>
  <c r="J51" i="89"/>
  <c r="J39" i="89"/>
  <c r="H20" i="89"/>
  <c r="J20" i="89" s="1"/>
  <c r="J23" i="89"/>
  <c r="N44" i="89"/>
  <c r="N66" i="89"/>
  <c r="F26" i="84"/>
  <c r="F30" i="84"/>
  <c r="F41" i="84"/>
  <c r="F42" i="84"/>
  <c r="F66" i="84"/>
  <c r="F77" i="84"/>
  <c r="F78" i="84"/>
  <c r="D16" i="87"/>
  <c r="L32" i="88"/>
  <c r="X54" i="88"/>
  <c r="Z54" i="88" s="1"/>
  <c r="F36" i="89"/>
  <c r="N38" i="89"/>
  <c r="Z44" i="89"/>
  <c r="Z50" i="89"/>
  <c r="Z52" i="89"/>
  <c r="J55" i="89"/>
  <c r="J57" i="89"/>
  <c r="L56" i="92"/>
  <c r="N56" i="92" s="1"/>
  <c r="F39" i="84"/>
  <c r="F40" i="84"/>
  <c r="F60" i="84"/>
  <c r="F72" i="84"/>
  <c r="F76" i="84"/>
  <c r="Z13" i="86"/>
  <c r="H16" i="87"/>
  <c r="F19" i="87"/>
  <c r="J49" i="89"/>
  <c r="N18" i="92"/>
  <c r="F48" i="84"/>
  <c r="F49" i="84"/>
  <c r="F65" i="84"/>
  <c r="J14" i="87"/>
  <c r="J16" i="87"/>
  <c r="J18" i="87"/>
  <c r="J20" i="87"/>
  <c r="J27" i="89"/>
  <c r="Z38" i="89"/>
  <c r="Z40" i="89"/>
  <c r="J67" i="89"/>
  <c r="X15" i="83"/>
  <c r="L14" i="84"/>
  <c r="F34" i="84"/>
  <c r="F38" i="84"/>
  <c r="D86" i="84"/>
  <c r="F88" i="84"/>
  <c r="L16" i="85"/>
  <c r="N16" i="85" s="1"/>
  <c r="L20" i="85"/>
  <c r="N20" i="85" s="1"/>
  <c r="L24" i="85"/>
  <c r="L28" i="85"/>
  <c r="L32" i="85"/>
  <c r="N32" i="85" s="1"/>
  <c r="X37" i="88"/>
  <c r="Z37" i="88" s="1"/>
  <c r="N43" i="88"/>
  <c r="N57" i="88"/>
  <c r="L63" i="88"/>
  <c r="N32" i="89"/>
  <c r="J69" i="89"/>
  <c r="L36" i="92"/>
  <c r="N36" i="92" s="1"/>
  <c r="P89" i="92"/>
  <c r="X89" i="92" s="1"/>
  <c r="X90" i="92"/>
  <c r="F20" i="84"/>
  <c r="F22" i="84"/>
  <c r="F47" i="84"/>
  <c r="F58" i="84"/>
  <c r="F59" i="84"/>
  <c r="F70" i="84"/>
  <c r="F71" i="84"/>
  <c r="F75" i="84"/>
  <c r="F84" i="84"/>
  <c r="F86" i="84"/>
  <c r="X32" i="88"/>
  <c r="F63" i="89"/>
  <c r="F51" i="89"/>
  <c r="F50" i="89"/>
  <c r="F39" i="89"/>
  <c r="F38" i="89"/>
  <c r="F22" i="89"/>
  <c r="F20" i="89"/>
  <c r="F71" i="89"/>
  <c r="F58" i="89"/>
  <c r="F34" i="89"/>
  <c r="D20" i="89"/>
  <c r="F75" i="89"/>
  <c r="F53" i="89"/>
  <c r="F52" i="89"/>
  <c r="F41" i="89"/>
  <c r="F40" i="89"/>
  <c r="F29" i="89"/>
  <c r="F25" i="89"/>
  <c r="F64" i="89"/>
  <c r="F60" i="89"/>
  <c r="F59" i="89"/>
  <c r="F43" i="89"/>
  <c r="F42" i="89"/>
  <c r="F35" i="89"/>
  <c r="F54" i="89"/>
  <c r="F30" i="89"/>
  <c r="F26" i="89"/>
  <c r="F65" i="89"/>
  <c r="F61" i="89"/>
  <c r="F45" i="89"/>
  <c r="F44" i="89"/>
  <c r="F17" i="89"/>
  <c r="F16" i="89"/>
  <c r="F67" i="89"/>
  <c r="F66" i="89"/>
  <c r="F55" i="89"/>
  <c r="F47" i="89"/>
  <c r="F46" i="89"/>
  <c r="F31" i="89"/>
  <c r="F27" i="89"/>
  <c r="F69" i="89"/>
  <c r="F68" i="89"/>
  <c r="F57" i="89"/>
  <c r="F56" i="89"/>
  <c r="F49" i="89"/>
  <c r="F48" i="89"/>
  <c r="F37" i="89"/>
  <c r="F33" i="89"/>
  <c r="F32" i="89"/>
  <c r="F28" i="89"/>
  <c r="F24" i="89"/>
  <c r="F23" i="89"/>
  <c r="J37" i="89"/>
  <c r="Z52" i="92"/>
  <c r="X52" i="92"/>
  <c r="Z39" i="88"/>
  <c r="Z41" i="88"/>
  <c r="L12" i="89"/>
  <c r="N12" i="89" s="1"/>
  <c r="Z22" i="89"/>
  <c r="L14" i="92"/>
  <c r="L13" i="88"/>
  <c r="Z32" i="88"/>
  <c r="N56" i="89"/>
  <c r="H93" i="92"/>
  <c r="N16" i="92"/>
  <c r="F18" i="84"/>
  <c r="F45" i="84"/>
  <c r="F46" i="84"/>
  <c r="F74" i="84"/>
  <c r="F81" i="84"/>
  <c r="Z59" i="88"/>
  <c r="Z14" i="89"/>
  <c r="L56" i="89"/>
  <c r="N14" i="92"/>
  <c r="L39" i="88"/>
  <c r="N39" i="88" s="1"/>
  <c r="L59" i="88"/>
  <c r="N59" i="88" s="1"/>
  <c r="R60" i="89"/>
  <c r="R64" i="89"/>
  <c r="J21" i="92"/>
  <c r="F26" i="92"/>
  <c r="J29" i="92"/>
  <c r="R37" i="92"/>
  <c r="R40" i="92"/>
  <c r="L42" i="92"/>
  <c r="J47" i="92"/>
  <c r="Z50" i="92"/>
  <c r="F62" i="92"/>
  <c r="F72" i="92"/>
  <c r="R74" i="92"/>
  <c r="Z78" i="92"/>
  <c r="Z82" i="92"/>
  <c r="R93" i="92"/>
  <c r="Z14" i="93"/>
  <c r="Z39" i="93"/>
  <c r="Z41" i="93"/>
  <c r="R25" i="89"/>
  <c r="R29" i="89"/>
  <c r="R41" i="89"/>
  <c r="R42" i="89"/>
  <c r="R53" i="89"/>
  <c r="R75" i="89"/>
  <c r="F14" i="92"/>
  <c r="R24" i="92"/>
  <c r="J31" i="92"/>
  <c r="N60" i="92"/>
  <c r="R64" i="92"/>
  <c r="R68" i="92"/>
  <c r="Z80" i="92"/>
  <c r="X82" i="92"/>
  <c r="Z86" i="92"/>
  <c r="R39" i="89"/>
  <c r="R40" i="89"/>
  <c r="R51" i="89"/>
  <c r="R52" i="89"/>
  <c r="R63" i="89"/>
  <c r="T16" i="92"/>
  <c r="J23" i="92"/>
  <c r="R26" i="92"/>
  <c r="F28" i="92"/>
  <c r="Z42" i="92"/>
  <c r="N44" i="92"/>
  <c r="J51" i="92"/>
  <c r="R58" i="92"/>
  <c r="Z60" i="92"/>
  <c r="R70" i="92"/>
  <c r="J85" i="92"/>
  <c r="Z90" i="92"/>
  <c r="T89" i="92"/>
  <c r="D12" i="93"/>
  <c r="L13" i="93"/>
  <c r="N13" i="93" s="1"/>
  <c r="R20" i="89"/>
  <c r="R22" i="89"/>
  <c r="R33" i="89"/>
  <c r="R37" i="89"/>
  <c r="R38" i="89"/>
  <c r="R49" i="89"/>
  <c r="R50" i="89"/>
  <c r="R57" i="89"/>
  <c r="R69" i="89"/>
  <c r="F85" i="92"/>
  <c r="F77" i="92"/>
  <c r="F73" i="92"/>
  <c r="F57" i="92"/>
  <c r="F56" i="92"/>
  <c r="F45" i="92"/>
  <c r="F44" i="92"/>
  <c r="F37" i="92"/>
  <c r="F36" i="92"/>
  <c r="F87" i="92"/>
  <c r="F86" i="92"/>
  <c r="F79" i="92"/>
  <c r="F78" i="92"/>
  <c r="F63" i="92"/>
  <c r="F47" i="92"/>
  <c r="F46" i="92"/>
  <c r="F39" i="92"/>
  <c r="F38" i="92"/>
  <c r="F93" i="92"/>
  <c r="F91" i="92"/>
  <c r="F74" i="92"/>
  <c r="F70" i="92"/>
  <c r="F69" i="92"/>
  <c r="F58" i="92"/>
  <c r="F95" i="92"/>
  <c r="F90" i="92"/>
  <c r="F81" i="92"/>
  <c r="F80" i="92"/>
  <c r="F49" i="92"/>
  <c r="F48" i="92"/>
  <c r="F33" i="92"/>
  <c r="F89" i="92"/>
  <c r="F64" i="92"/>
  <c r="F83" i="92"/>
  <c r="F82" i="92"/>
  <c r="F75" i="92"/>
  <c r="F71" i="92"/>
  <c r="F59" i="92"/>
  <c r="F51" i="92"/>
  <c r="F50" i="92"/>
  <c r="F100" i="92"/>
  <c r="F97" i="92"/>
  <c r="F65" i="92"/>
  <c r="F61" i="92"/>
  <c r="F60" i="92"/>
  <c r="F53" i="92"/>
  <c r="F52" i="92"/>
  <c r="F67" i="92"/>
  <c r="F66" i="92"/>
  <c r="F55" i="92"/>
  <c r="F54" i="92"/>
  <c r="F43" i="92"/>
  <c r="F42" i="92"/>
  <c r="F35" i="92"/>
  <c r="F31" i="92"/>
  <c r="F19" i="92"/>
  <c r="F20" i="92"/>
  <c r="J25" i="92"/>
  <c r="J35" i="92"/>
  <c r="N46" i="92"/>
  <c r="J53" i="92"/>
  <c r="Z56" i="92"/>
  <c r="J63" i="92"/>
  <c r="R72" i="93"/>
  <c r="R71" i="93"/>
  <c r="R66" i="93"/>
  <c r="R54" i="93"/>
  <c r="R73" i="93"/>
  <c r="R62" i="93"/>
  <c r="R61" i="93"/>
  <c r="R79" i="93"/>
  <c r="R58" i="93"/>
  <c r="R57" i="93"/>
  <c r="R68" i="93"/>
  <c r="R64" i="93"/>
  <c r="R49" i="93"/>
  <c r="R48" i="93"/>
  <c r="R51" i="93"/>
  <c r="R50" i="93"/>
  <c r="R36" i="93"/>
  <c r="R17" i="93"/>
  <c r="X12" i="93"/>
  <c r="Z12" i="93" s="1"/>
  <c r="R70" i="93"/>
  <c r="R32" i="93"/>
  <c r="R31" i="93"/>
  <c r="R27" i="93"/>
  <c r="R23" i="93"/>
  <c r="R18" i="93"/>
  <c r="R59" i="93"/>
  <c r="R44" i="93"/>
  <c r="R37" i="93"/>
  <c r="R33" i="93"/>
  <c r="R22" i="93"/>
  <c r="R28" i="93"/>
  <c r="R24" i="93"/>
  <c r="P20" i="93"/>
  <c r="R20" i="93" s="1"/>
  <c r="R45" i="93"/>
  <c r="R39" i="93"/>
  <c r="R38" i="93"/>
  <c r="R34" i="93"/>
  <c r="R29" i="93"/>
  <c r="R25" i="93"/>
  <c r="R69" i="93"/>
  <c r="R65" i="93"/>
  <c r="R60" i="93"/>
  <c r="R55" i="93"/>
  <c r="R52" i="93"/>
  <c r="R41" i="93"/>
  <c r="R40" i="93"/>
  <c r="R75" i="93"/>
  <c r="R53" i="93"/>
  <c r="R42" i="93"/>
  <c r="R30" i="93"/>
  <c r="R26" i="93"/>
  <c r="R18" i="89"/>
  <c r="R23" i="89"/>
  <c r="R62" i="89"/>
  <c r="J86" i="92"/>
  <c r="J78" i="92"/>
  <c r="J68" i="92"/>
  <c r="J46" i="92"/>
  <c r="J38" i="92"/>
  <c r="J32" i="92"/>
  <c r="N12" i="92"/>
  <c r="J93" i="92"/>
  <c r="J91" i="92"/>
  <c r="J87" i="92"/>
  <c r="J90" i="92"/>
  <c r="J80" i="92"/>
  <c r="J74" i="92"/>
  <c r="J70" i="92"/>
  <c r="J58" i="92"/>
  <c r="J48" i="92"/>
  <c r="J95" i="92"/>
  <c r="J89" i="92"/>
  <c r="J81" i="92"/>
  <c r="J49" i="92"/>
  <c r="J33" i="92"/>
  <c r="J82" i="92"/>
  <c r="J64" i="92"/>
  <c r="J50" i="92"/>
  <c r="J40" i="92"/>
  <c r="J28" i="92"/>
  <c r="J24" i="92"/>
  <c r="J20" i="92"/>
  <c r="J18" i="92"/>
  <c r="J16" i="92"/>
  <c r="J14" i="92"/>
  <c r="J100" i="92"/>
  <c r="J97" i="92"/>
  <c r="J83" i="92"/>
  <c r="J75" i="92"/>
  <c r="J71" i="92"/>
  <c r="J59" i="92"/>
  <c r="J60" i="92"/>
  <c r="J52" i="92"/>
  <c r="J84" i="92"/>
  <c r="J76" i="92"/>
  <c r="J72" i="92"/>
  <c r="J66" i="92"/>
  <c r="J54" i="92"/>
  <c r="J42" i="92"/>
  <c r="J62" i="92"/>
  <c r="J56" i="92"/>
  <c r="J44" i="92"/>
  <c r="J36" i="92"/>
  <c r="J26" i="92"/>
  <c r="J22" i="92"/>
  <c r="R36" i="92"/>
  <c r="J43" i="92"/>
  <c r="J55" i="92"/>
  <c r="J61" i="92"/>
  <c r="J69" i="92"/>
  <c r="R27" i="89"/>
  <c r="R31" i="89"/>
  <c r="R32" i="89"/>
  <c r="R47" i="89"/>
  <c r="R48" i="89"/>
  <c r="R55" i="89"/>
  <c r="R56" i="89"/>
  <c r="R67" i="89"/>
  <c r="R68" i="89"/>
  <c r="L12" i="92"/>
  <c r="F18" i="92"/>
  <c r="J19" i="92"/>
  <c r="F22" i="92"/>
  <c r="F27" i="92"/>
  <c r="F30" i="92"/>
  <c r="Z36" i="92"/>
  <c r="L38" i="92"/>
  <c r="N38" i="92" s="1"/>
  <c r="Z44" i="92"/>
  <c r="J57" i="92"/>
  <c r="R36" i="89"/>
  <c r="R95" i="92"/>
  <c r="R82" i="92"/>
  <c r="R81" i="92"/>
  <c r="R50" i="92"/>
  <c r="R49" i="92"/>
  <c r="R33" i="92"/>
  <c r="R18" i="92"/>
  <c r="R16" i="92"/>
  <c r="R14" i="92"/>
  <c r="R100" i="92"/>
  <c r="R97" i="92"/>
  <c r="R83" i="92"/>
  <c r="R75" i="92"/>
  <c r="R71" i="92"/>
  <c r="R60" i="92"/>
  <c r="R59" i="92"/>
  <c r="R52" i="92"/>
  <c r="R51" i="92"/>
  <c r="R34" i="92"/>
  <c r="R30" i="92"/>
  <c r="R66" i="92"/>
  <c r="R65" i="92"/>
  <c r="R61" i="92"/>
  <c r="R54" i="92"/>
  <c r="R53" i="92"/>
  <c r="R42" i="92"/>
  <c r="R41" i="92"/>
  <c r="R25" i="92"/>
  <c r="R21" i="92"/>
  <c r="R84" i="92"/>
  <c r="R76" i="92"/>
  <c r="R72" i="92"/>
  <c r="R67" i="92"/>
  <c r="R56" i="92"/>
  <c r="R55" i="92"/>
  <c r="R86" i="92"/>
  <c r="R85" i="92"/>
  <c r="R78" i="92"/>
  <c r="R77" i="92"/>
  <c r="R73" i="92"/>
  <c r="R57" i="92"/>
  <c r="R46" i="92"/>
  <c r="R45" i="92"/>
  <c r="R90" i="92"/>
  <c r="R87" i="92"/>
  <c r="R80" i="92"/>
  <c r="R79" i="92"/>
  <c r="R63" i="92"/>
  <c r="R48" i="92"/>
  <c r="R47" i="92"/>
  <c r="R39" i="92"/>
  <c r="R27" i="92"/>
  <c r="R23" i="92"/>
  <c r="R20" i="92"/>
  <c r="J27" i="92"/>
  <c r="J30" i="92"/>
  <c r="R35" i="92"/>
  <c r="Z46" i="92"/>
  <c r="R89" i="92"/>
  <c r="R17" i="89"/>
  <c r="R45" i="89"/>
  <c r="R46" i="89"/>
  <c r="R61" i="89"/>
  <c r="R65" i="89"/>
  <c r="R66" i="89"/>
  <c r="D16" i="92"/>
  <c r="L29" i="92"/>
  <c r="F32" i="92"/>
  <c r="J37" i="92"/>
  <c r="R38" i="92"/>
  <c r="F40" i="92"/>
  <c r="R43" i="92"/>
  <c r="J45" i="92"/>
  <c r="L50" i="92"/>
  <c r="R69" i="92"/>
  <c r="F76" i="92"/>
  <c r="N78" i="92"/>
  <c r="F84" i="92"/>
  <c r="R91" i="92"/>
  <c r="H12" i="93"/>
  <c r="L14" i="93"/>
  <c r="N14" i="93" s="1"/>
  <c r="N17" i="93"/>
  <c r="N39" i="93"/>
  <c r="N41" i="93"/>
  <c r="L45" i="93"/>
  <c r="N45" i="93" s="1"/>
  <c r="R67" i="93"/>
  <c r="R26" i="89"/>
  <c r="R30" i="89"/>
  <c r="R54" i="89"/>
  <c r="X12" i="92"/>
  <c r="F16" i="92"/>
  <c r="R22" i="92"/>
  <c r="F24" i="92"/>
  <c r="F29" i="92"/>
  <c r="F34" i="92"/>
  <c r="Z38" i="92"/>
  <c r="N86" i="92"/>
  <c r="R47" i="93"/>
  <c r="R35" i="89"/>
  <c r="R43" i="89"/>
  <c r="N29" i="92"/>
  <c r="Z48" i="92"/>
  <c r="N52" i="92"/>
  <c r="N66" i="92"/>
  <c r="L89" i="92"/>
  <c r="Z17" i="93"/>
  <c r="Z53" i="93"/>
  <c r="X53" i="93"/>
  <c r="V14" i="92"/>
  <c r="V16" i="92"/>
  <c r="V18" i="92"/>
  <c r="V50" i="92"/>
  <c r="V58" i="92"/>
  <c r="V70" i="92"/>
  <c r="V74" i="92"/>
  <c r="V82" i="92"/>
  <c r="V17" i="93"/>
  <c r="Z43" i="93"/>
  <c r="Z47" i="93"/>
  <c r="X72" i="93"/>
  <c r="Z72" i="93" s="1"/>
  <c r="N40" i="94"/>
  <c r="Z42" i="94"/>
  <c r="L23" i="96"/>
  <c r="N23" i="96" s="1"/>
  <c r="V68" i="92"/>
  <c r="V80" i="92"/>
  <c r="V90" i="92"/>
  <c r="V35" i="93"/>
  <c r="V46" i="93"/>
  <c r="V58" i="93"/>
  <c r="V63" i="93"/>
  <c r="V67" i="93"/>
  <c r="V72" i="93"/>
  <c r="R40" i="94"/>
  <c r="R39" i="94"/>
  <c r="R50" i="94"/>
  <c r="R34" i="94"/>
  <c r="R62" i="94"/>
  <c r="R61" i="94"/>
  <c r="R57" i="94"/>
  <c r="R42" i="94"/>
  <c r="R41" i="94"/>
  <c r="R29" i="94"/>
  <c r="R25" i="94"/>
  <c r="R63" i="94"/>
  <c r="R52" i="94"/>
  <c r="R51" i="94"/>
  <c r="R44" i="94"/>
  <c r="R43" i="94"/>
  <c r="R35" i="94"/>
  <c r="R58" i="94"/>
  <c r="R30" i="94"/>
  <c r="R26" i="94"/>
  <c r="R66" i="94"/>
  <c r="R65" i="94"/>
  <c r="R53" i="94"/>
  <c r="R46" i="94"/>
  <c r="R45" i="94"/>
  <c r="R17" i="94"/>
  <c r="R36" i="94"/>
  <c r="X12" i="94"/>
  <c r="Z12" i="94" s="1"/>
  <c r="R59" i="94"/>
  <c r="R48" i="94"/>
  <c r="R47" i="94"/>
  <c r="R32" i="94"/>
  <c r="R31" i="94"/>
  <c r="R27" i="94"/>
  <c r="R70" i="94"/>
  <c r="R49" i="94"/>
  <c r="R38" i="94"/>
  <c r="R37" i="94"/>
  <c r="R33" i="94"/>
  <c r="R22" i="94"/>
  <c r="R20" i="94"/>
  <c r="X22" i="94"/>
  <c r="Z22" i="94" s="1"/>
  <c r="X38" i="94"/>
  <c r="Z40" i="94"/>
  <c r="R54" i="94"/>
  <c r="Z22" i="95"/>
  <c r="X22" i="95"/>
  <c r="X32" i="95"/>
  <c r="Z32" i="95" s="1"/>
  <c r="V77" i="92"/>
  <c r="V85" i="92"/>
  <c r="V91" i="92"/>
  <c r="V93" i="92"/>
  <c r="V40" i="93"/>
  <c r="V52" i="93"/>
  <c r="V55" i="93"/>
  <c r="V60" i="93"/>
  <c r="Z38" i="94"/>
  <c r="V62" i="92"/>
  <c r="V78" i="92"/>
  <c r="V86" i="92"/>
  <c r="V25" i="93"/>
  <c r="V29" i="93"/>
  <c r="V41" i="93"/>
  <c r="V71" i="93"/>
  <c r="D12" i="94"/>
  <c r="L13" i="94"/>
  <c r="N13" i="94" s="1"/>
  <c r="L16" i="94"/>
  <c r="N16" i="94" s="1"/>
  <c r="R24" i="94"/>
  <c r="N52" i="94"/>
  <c r="V67" i="92"/>
  <c r="V34" i="93"/>
  <c r="V38" i="93"/>
  <c r="V49" i="93"/>
  <c r="V36" i="92"/>
  <c r="V44" i="92"/>
  <c r="V56" i="92"/>
  <c r="V72" i="92"/>
  <c r="V76" i="92"/>
  <c r="V84" i="92"/>
  <c r="H89" i="92"/>
  <c r="V39" i="93"/>
  <c r="X13" i="94"/>
  <c r="F71" i="95"/>
  <c r="F70" i="95"/>
  <c r="F73" i="95"/>
  <c r="F72" i="95"/>
  <c r="F61" i="95"/>
  <c r="F60" i="95"/>
  <c r="F29" i="95"/>
  <c r="F25" i="95"/>
  <c r="F52" i="95"/>
  <c r="F51" i="95"/>
  <c r="F67" i="95"/>
  <c r="F63" i="95"/>
  <c r="F62" i="95"/>
  <c r="F35" i="95"/>
  <c r="F75" i="95"/>
  <c r="F54" i="95"/>
  <c r="F53" i="95"/>
  <c r="F42" i="95"/>
  <c r="F41" i="95"/>
  <c r="F68" i="95"/>
  <c r="F64" i="95"/>
  <c r="F44" i="95"/>
  <c r="F43" i="95"/>
  <c r="F36" i="95"/>
  <c r="F69" i="95"/>
  <c r="F65" i="95"/>
  <c r="F57" i="95"/>
  <c r="F56" i="95"/>
  <c r="F37" i="95"/>
  <c r="F33" i="95"/>
  <c r="F32" i="95"/>
  <c r="F48" i="95"/>
  <c r="F47" i="95"/>
  <c r="F28" i="95"/>
  <c r="F24" i="95"/>
  <c r="F23" i="95"/>
  <c r="F46" i="95"/>
  <c r="F27" i="95"/>
  <c r="F59" i="95"/>
  <c r="F49" i="95"/>
  <c r="D20" i="95"/>
  <c r="F79" i="95"/>
  <c r="F66" i="95"/>
  <c r="F38" i="95"/>
  <c r="F22" i="95"/>
  <c r="F30" i="95"/>
  <c r="F16" i="95"/>
  <c r="L12" i="95"/>
  <c r="N12" i="95" s="1"/>
  <c r="F39" i="95"/>
  <c r="F17" i="95"/>
  <c r="F55" i="95"/>
  <c r="F26" i="95"/>
  <c r="F34" i="95"/>
  <c r="F18" i="95"/>
  <c r="X14" i="95"/>
  <c r="Z14" i="95" s="1"/>
  <c r="V41" i="92"/>
  <c r="V53" i="92"/>
  <c r="V61" i="92"/>
  <c r="V65" i="92"/>
  <c r="X13" i="93"/>
  <c r="Z13" i="93" s="1"/>
  <c r="V24" i="93"/>
  <c r="V28" i="93"/>
  <c r="N70" i="93"/>
  <c r="V70" i="94"/>
  <c r="V62" i="94"/>
  <c r="V50" i="94"/>
  <c r="V42" i="94"/>
  <c r="V34" i="94"/>
  <c r="V61" i="94"/>
  <c r="V57" i="94"/>
  <c r="V41" i="94"/>
  <c r="V29" i="94"/>
  <c r="V25" i="94"/>
  <c r="V52" i="94"/>
  <c r="V44" i="94"/>
  <c r="V16" i="94"/>
  <c r="V63" i="94"/>
  <c r="V51" i="94"/>
  <c r="V43" i="94"/>
  <c r="V35" i="94"/>
  <c r="V66" i="94"/>
  <c r="V65" i="94"/>
  <c r="V58" i="94"/>
  <c r="V46" i="94"/>
  <c r="V30" i="94"/>
  <c r="V26" i="94"/>
  <c r="V53" i="94"/>
  <c r="V45" i="94"/>
  <c r="V48" i="94"/>
  <c r="V36" i="94"/>
  <c r="V32" i="94"/>
  <c r="V59" i="94"/>
  <c r="V55" i="94"/>
  <c r="V47" i="94"/>
  <c r="V31" i="94"/>
  <c r="V27" i="94"/>
  <c r="V23" i="94"/>
  <c r="V54" i="94"/>
  <c r="V38" i="94"/>
  <c r="V22" i="94"/>
  <c r="V20" i="94"/>
  <c r="V18" i="94"/>
  <c r="V60" i="94"/>
  <c r="V56" i="94"/>
  <c r="V40" i="94"/>
  <c r="V28" i="94"/>
  <c r="V24" i="94"/>
  <c r="R16" i="94"/>
  <c r="V39" i="94"/>
  <c r="V42" i="92"/>
  <c r="V54" i="92"/>
  <c r="V66" i="92"/>
  <c r="T20" i="93"/>
  <c r="V33" i="93"/>
  <c r="V37" i="93"/>
  <c r="N47" i="93"/>
  <c r="Z13" i="94"/>
  <c r="V37" i="94"/>
  <c r="L44" i="94"/>
  <c r="N44" i="94" s="1"/>
  <c r="L46" i="94"/>
  <c r="V66" i="93"/>
  <c r="V62" i="93"/>
  <c r="V54" i="93"/>
  <c r="V75" i="93"/>
  <c r="V73" i="93"/>
  <c r="V61" i="93"/>
  <c r="V45" i="93"/>
  <c r="V56" i="93"/>
  <c r="V79" i="93"/>
  <c r="V57" i="93"/>
  <c r="V68" i="93"/>
  <c r="V64" i="93"/>
  <c r="V48" i="93"/>
  <c r="V59" i="93"/>
  <c r="V51" i="93"/>
  <c r="V69" i="93"/>
  <c r="V65" i="93"/>
  <c r="V53" i="93"/>
  <c r="V18" i="93"/>
  <c r="V20" i="93"/>
  <c r="V22" i="93"/>
  <c r="L53" i="93"/>
  <c r="N53" i="93" s="1"/>
  <c r="P68" i="94"/>
  <c r="R67" i="95"/>
  <c r="R79" i="95"/>
  <c r="R17" i="95"/>
  <c r="R68" i="95"/>
  <c r="R64" i="95"/>
  <c r="R56" i="95"/>
  <c r="R55" i="95"/>
  <c r="R32" i="95"/>
  <c r="R31" i="95"/>
  <c r="R47" i="95"/>
  <c r="R46" i="95"/>
  <c r="R49" i="95"/>
  <c r="R48" i="95"/>
  <c r="R28" i="95"/>
  <c r="R24" i="95"/>
  <c r="R73" i="95"/>
  <c r="R62" i="95"/>
  <c r="R61" i="95"/>
  <c r="R29" i="95"/>
  <c r="R25" i="95"/>
  <c r="R75" i="95"/>
  <c r="R53" i="95"/>
  <c r="R52" i="95"/>
  <c r="R41" i="95"/>
  <c r="R40" i="95"/>
  <c r="R38" i="95"/>
  <c r="R23" i="95"/>
  <c r="R16" i="95"/>
  <c r="R66" i="95"/>
  <c r="R54" i="95"/>
  <c r="R39" i="95"/>
  <c r="X12" i="95"/>
  <c r="R44" i="95"/>
  <c r="R30" i="95"/>
  <c r="R36" i="95"/>
  <c r="R33" i="95"/>
  <c r="R71" i="95"/>
  <c r="R60" i="95"/>
  <c r="R57" i="95"/>
  <c r="R50" i="95"/>
  <c r="R45" i="95"/>
  <c r="R42" i="95"/>
  <c r="R26" i="95"/>
  <c r="R58" i="95"/>
  <c r="R34" i="95"/>
  <c r="R18" i="95"/>
  <c r="R69" i="95"/>
  <c r="R63" i="95"/>
  <c r="R51" i="95"/>
  <c r="R65" i="95"/>
  <c r="R43" i="95"/>
  <c r="R72" i="95"/>
  <c r="R70" i="95"/>
  <c r="R35" i="95"/>
  <c r="R22" i="95"/>
  <c r="P20" i="95"/>
  <c r="V20" i="92"/>
  <c r="V24" i="92"/>
  <c r="V28" i="92"/>
  <c r="V40" i="92"/>
  <c r="V52" i="92"/>
  <c r="V60" i="92"/>
  <c r="V23" i="93"/>
  <c r="V27" i="93"/>
  <c r="V31" i="93"/>
  <c r="X56" i="93"/>
  <c r="Z56" i="93" s="1"/>
  <c r="T20" i="94"/>
  <c r="Z46" i="94"/>
  <c r="R55" i="94"/>
  <c r="Z65" i="94"/>
  <c r="T12" i="95"/>
  <c r="Z16" i="95"/>
  <c r="R59" i="95"/>
  <c r="J36" i="94"/>
  <c r="J46" i="94"/>
  <c r="N66" i="94"/>
  <c r="J29" i="95"/>
  <c r="Z41" i="95"/>
  <c r="J51" i="95"/>
  <c r="J69" i="95"/>
  <c r="Z48" i="96"/>
  <c r="F74" i="96"/>
  <c r="F92" i="96"/>
  <c r="J16" i="94"/>
  <c r="J26" i="94"/>
  <c r="J30" i="94"/>
  <c r="J44" i="94"/>
  <c r="J52" i="94"/>
  <c r="J58" i="94"/>
  <c r="N45" i="95"/>
  <c r="J50" i="95"/>
  <c r="X50" i="96"/>
  <c r="Z50" i="96" s="1"/>
  <c r="J35" i="94"/>
  <c r="J43" i="94"/>
  <c r="J51" i="94"/>
  <c r="J63" i="94"/>
  <c r="L45" i="95"/>
  <c r="T12" i="96"/>
  <c r="X13" i="96"/>
  <c r="Z13" i="96" s="1"/>
  <c r="F57" i="96"/>
  <c r="F41" i="99"/>
  <c r="F40" i="99"/>
  <c r="F44" i="99"/>
  <c r="F35" i="99"/>
  <c r="F27" i="99"/>
  <c r="F23" i="99"/>
  <c r="F22" i="99"/>
  <c r="F43" i="99"/>
  <c r="F31" i="99"/>
  <c r="F21" i="99"/>
  <c r="F19" i="99"/>
  <c r="D19" i="99"/>
  <c r="F48" i="99"/>
  <c r="F32" i="99"/>
  <c r="F24" i="99"/>
  <c r="F28" i="99"/>
  <c r="F36" i="99"/>
  <c r="F25" i="99"/>
  <c r="F37" i="99"/>
  <c r="F33" i="99"/>
  <c r="F29" i="99"/>
  <c r="F42" i="99"/>
  <c r="F34" i="99"/>
  <c r="F30" i="99"/>
  <c r="F17" i="99"/>
  <c r="F16" i="99"/>
  <c r="L12" i="99"/>
  <c r="F38" i="99"/>
  <c r="F26" i="99"/>
  <c r="F45" i="99"/>
  <c r="F39" i="99"/>
  <c r="F52" i="99"/>
  <c r="F46" i="99"/>
  <c r="J42" i="94"/>
  <c r="J62" i="94"/>
  <c r="J72" i="95"/>
  <c r="J66" i="95"/>
  <c r="J73" i="95"/>
  <c r="J62" i="95"/>
  <c r="J52" i="95"/>
  <c r="J40" i="95"/>
  <c r="J75" i="95"/>
  <c r="J67" i="95"/>
  <c r="J63" i="95"/>
  <c r="J53" i="95"/>
  <c r="J54" i="95"/>
  <c r="J42" i="95"/>
  <c r="J79" i="95"/>
  <c r="J43" i="95"/>
  <c r="J55" i="95"/>
  <c r="J45" i="95"/>
  <c r="J31" i="95"/>
  <c r="J27" i="95"/>
  <c r="J70" i="95"/>
  <c r="J58" i="95"/>
  <c r="J48" i="95"/>
  <c r="J28" i="95"/>
  <c r="J24" i="95"/>
  <c r="J71" i="95"/>
  <c r="J59" i="95"/>
  <c r="J49" i="95"/>
  <c r="H20" i="95"/>
  <c r="J36" i="95"/>
  <c r="Z51" i="95"/>
  <c r="J57" i="95"/>
  <c r="J60" i="95"/>
  <c r="J25" i="94"/>
  <c r="J29" i="94"/>
  <c r="J41" i="94"/>
  <c r="J57" i="94"/>
  <c r="J61" i="94"/>
  <c r="X14" i="98"/>
  <c r="P12" i="98"/>
  <c r="J34" i="94"/>
  <c r="J40" i="94"/>
  <c r="J50" i="94"/>
  <c r="N16" i="95"/>
  <c r="N23" i="95"/>
  <c r="F81" i="96"/>
  <c r="F80" i="96"/>
  <c r="F88" i="96"/>
  <c r="F79" i="96"/>
  <c r="F70" i="96"/>
  <c r="F69" i="96"/>
  <c r="F38" i="96"/>
  <c r="F34" i="96"/>
  <c r="D20" i="96"/>
  <c r="F83" i="96"/>
  <c r="F65" i="96"/>
  <c r="F49" i="96"/>
  <c r="F48" i="96"/>
  <c r="F29" i="96"/>
  <c r="F25" i="96"/>
  <c r="F76" i="96"/>
  <c r="F60" i="96"/>
  <c r="F40" i="96"/>
  <c r="F39" i="96"/>
  <c r="F71" i="96"/>
  <c r="F51" i="96"/>
  <c r="F50" i="96"/>
  <c r="F35" i="96"/>
  <c r="F84" i="96"/>
  <c r="F66" i="96"/>
  <c r="F42" i="96"/>
  <c r="F41" i="96"/>
  <c r="F30" i="96"/>
  <c r="F26" i="96"/>
  <c r="F77" i="96"/>
  <c r="F73" i="96"/>
  <c r="F72" i="96"/>
  <c r="F61" i="96"/>
  <c r="F53" i="96"/>
  <c r="F52" i="96"/>
  <c r="F17" i="96"/>
  <c r="F16" i="96"/>
  <c r="F85" i="96"/>
  <c r="F44" i="96"/>
  <c r="F43" i="96"/>
  <c r="F36" i="96"/>
  <c r="F67" i="96"/>
  <c r="F55" i="96"/>
  <c r="F54" i="96"/>
  <c r="F31" i="96"/>
  <c r="F27" i="96"/>
  <c r="F68" i="96"/>
  <c r="F64" i="96"/>
  <c r="F63" i="96"/>
  <c r="F28" i="96"/>
  <c r="F24" i="96"/>
  <c r="F23" i="96"/>
  <c r="F87" i="96"/>
  <c r="F82" i="96"/>
  <c r="F75" i="96"/>
  <c r="F59" i="96"/>
  <c r="F58" i="96"/>
  <c r="F47" i="96"/>
  <c r="F22" i="96"/>
  <c r="F20" i="96"/>
  <c r="F32" i="96"/>
  <c r="F45" i="96"/>
  <c r="F78" i="96"/>
  <c r="Z14" i="98"/>
  <c r="H20" i="94"/>
  <c r="J39" i="94"/>
  <c r="X66" i="94"/>
  <c r="Z66" i="94" s="1"/>
  <c r="J16" i="95"/>
  <c r="J23" i="95"/>
  <c r="J38" i="95"/>
  <c r="J64" i="95"/>
  <c r="J68" i="95"/>
  <c r="L32" i="96"/>
  <c r="N32" i="96" s="1"/>
  <c r="N45" i="96"/>
  <c r="J20" i="94"/>
  <c r="J22" i="94"/>
  <c r="J24" i="94"/>
  <c r="J28" i="94"/>
  <c r="J38" i="94"/>
  <c r="J56" i="94"/>
  <c r="J60" i="94"/>
  <c r="J22" i="95"/>
  <c r="F37" i="96"/>
  <c r="N16" i="98"/>
  <c r="J23" i="94"/>
  <c r="J33" i="94"/>
  <c r="J37" i="94"/>
  <c r="J49" i="94"/>
  <c r="J55" i="94"/>
  <c r="J70" i="94"/>
  <c r="J20" i="95"/>
  <c r="X23" i="95"/>
  <c r="Z23" i="95" s="1"/>
  <c r="J25" i="95"/>
  <c r="J35" i="95"/>
  <c r="J41" i="95"/>
  <c r="N49" i="95"/>
  <c r="J56" i="95"/>
  <c r="X14" i="96"/>
  <c r="Z14" i="96" s="1"/>
  <c r="Z41" i="96"/>
  <c r="X41" i="96"/>
  <c r="Z45" i="96"/>
  <c r="F56" i="96"/>
  <c r="X88" i="96"/>
  <c r="P87" i="96"/>
  <c r="P90" i="96" s="1"/>
  <c r="J18" i="94"/>
  <c r="J32" i="94"/>
  <c r="J48" i="94"/>
  <c r="Z39" i="95"/>
  <c r="L43" i="95"/>
  <c r="N43" i="95" s="1"/>
  <c r="X49" i="95"/>
  <c r="Z49" i="95" s="1"/>
  <c r="J61" i="95"/>
  <c r="L56" i="96"/>
  <c r="N56" i="96" s="1"/>
  <c r="L63" i="96"/>
  <c r="N63" i="96" s="1"/>
  <c r="T87" i="96"/>
  <c r="Z87" i="96" s="1"/>
  <c r="Z88" i="96"/>
  <c r="N14" i="96"/>
  <c r="R16" i="96"/>
  <c r="R35" i="96"/>
  <c r="R51" i="96"/>
  <c r="R52" i="96"/>
  <c r="R71" i="96"/>
  <c r="R72" i="96"/>
  <c r="R84" i="96"/>
  <c r="N14" i="98"/>
  <c r="N23" i="98"/>
  <c r="L23" i="98"/>
  <c r="R32" i="99"/>
  <c r="R40" i="99"/>
  <c r="R39" i="99"/>
  <c r="R27" i="99"/>
  <c r="R28" i="99"/>
  <c r="R36" i="99"/>
  <c r="R44" i="99"/>
  <c r="R25" i="99"/>
  <c r="R37" i="99"/>
  <c r="R33" i="99"/>
  <c r="R29" i="99"/>
  <c r="R45" i="99"/>
  <c r="R41" i="99"/>
  <c r="R38" i="99"/>
  <c r="R16" i="99"/>
  <c r="R52" i="99"/>
  <c r="R42" i="99"/>
  <c r="R26" i="99"/>
  <c r="R34" i="99"/>
  <c r="R22" i="99"/>
  <c r="R17" i="99"/>
  <c r="R30" i="99"/>
  <c r="R21" i="99"/>
  <c r="R19" i="99"/>
  <c r="X12" i="99"/>
  <c r="R46" i="99"/>
  <c r="R23" i="99"/>
  <c r="P19" i="99"/>
  <c r="L22" i="99"/>
  <c r="V28" i="99"/>
  <c r="V50" i="99"/>
  <c r="R40" i="96"/>
  <c r="R41" i="96"/>
  <c r="R60" i="96"/>
  <c r="R76" i="96"/>
  <c r="Z84" i="96"/>
  <c r="N88" i="96"/>
  <c r="N56" i="98"/>
  <c r="L70" i="98"/>
  <c r="N70" i="98" s="1"/>
  <c r="L16" i="99"/>
  <c r="R24" i="99"/>
  <c r="T40" i="100"/>
  <c r="H12" i="96"/>
  <c r="L12" i="96" s="1"/>
  <c r="R47" i="96"/>
  <c r="R48" i="96"/>
  <c r="R59" i="96"/>
  <c r="R75" i="96"/>
  <c r="L16" i="98"/>
  <c r="N22" i="98"/>
  <c r="Z52" i="98"/>
  <c r="X13" i="99"/>
  <c r="R35" i="99"/>
  <c r="R64" i="96"/>
  <c r="R68" i="96"/>
  <c r="R69" i="96"/>
  <c r="R82" i="96"/>
  <c r="R87" i="96"/>
  <c r="H12" i="98"/>
  <c r="N13" i="98"/>
  <c r="X83" i="98"/>
  <c r="V44" i="99"/>
  <c r="V39" i="99"/>
  <c r="V57" i="99"/>
  <c r="V54" i="99"/>
  <c r="V52" i="99"/>
  <c r="V42" i="99"/>
  <c r="V43" i="99"/>
  <c r="V25" i="99"/>
  <c r="V45" i="99"/>
  <c r="V38" i="99"/>
  <c r="V37" i="99"/>
  <c r="V33" i="99"/>
  <c r="V29" i="99"/>
  <c r="V16" i="99"/>
  <c r="V41" i="99"/>
  <c r="V26" i="99"/>
  <c r="V22" i="99"/>
  <c r="V34" i="99"/>
  <c r="V21" i="99"/>
  <c r="V19" i="99"/>
  <c r="V17" i="99"/>
  <c r="V30" i="99"/>
  <c r="T19" i="99"/>
  <c r="Z12" i="99"/>
  <c r="V48" i="99"/>
  <c r="V46" i="99"/>
  <c r="V31" i="99"/>
  <c r="V23" i="99"/>
  <c r="V27" i="99"/>
  <c r="V35" i="99"/>
  <c r="V24" i="99"/>
  <c r="R20" i="96"/>
  <c r="R22" i="96"/>
  <c r="R33" i="96"/>
  <c r="R37" i="96"/>
  <c r="R57" i="96"/>
  <c r="R58" i="96"/>
  <c r="R81" i="96"/>
  <c r="L13" i="98"/>
  <c r="X22" i="98"/>
  <c r="Z22" i="98" s="1"/>
  <c r="Z50" i="98"/>
  <c r="Z13" i="99"/>
  <c r="R31" i="99"/>
  <c r="R88" i="96"/>
  <c r="R85" i="96"/>
  <c r="R80" i="96"/>
  <c r="R79" i="96"/>
  <c r="R18" i="96"/>
  <c r="R23" i="96"/>
  <c r="R46" i="96"/>
  <c r="R62" i="96"/>
  <c r="R63" i="96"/>
  <c r="R74" i="96"/>
  <c r="R78" i="96"/>
  <c r="X16" i="98"/>
  <c r="D83" i="98"/>
  <c r="L84" i="98"/>
  <c r="R43" i="99"/>
  <c r="L14" i="100"/>
  <c r="R55" i="96"/>
  <c r="R56" i="96"/>
  <c r="R67" i="96"/>
  <c r="N84" i="96"/>
  <c r="T12" i="98"/>
  <c r="Z16" i="98"/>
  <c r="N84" i="98"/>
  <c r="H83" i="98"/>
  <c r="N83" i="98" s="1"/>
  <c r="R36" i="96"/>
  <c r="R44" i="96"/>
  <c r="R45" i="96"/>
  <c r="Z20" i="100"/>
  <c r="R61" i="96"/>
  <c r="R73" i="96"/>
  <c r="R77" i="96"/>
  <c r="Z78" i="98"/>
  <c r="Z83" i="98"/>
  <c r="Z14" i="101"/>
  <c r="R42" i="96"/>
  <c r="R43" i="96"/>
  <c r="R66" i="96"/>
  <c r="N67" i="98"/>
  <c r="X78" i="98"/>
  <c r="D86" i="98"/>
  <c r="V32" i="99"/>
  <c r="N40" i="100"/>
  <c r="F20" i="98"/>
  <c r="F22" i="98"/>
  <c r="F47" i="98"/>
  <c r="F70" i="98"/>
  <c r="F71" i="98"/>
  <c r="F75" i="98"/>
  <c r="F84" i="98"/>
  <c r="F86" i="98"/>
  <c r="N12" i="99"/>
  <c r="J22" i="99"/>
  <c r="X20" i="100"/>
  <c r="Z31" i="100"/>
  <c r="X41" i="100"/>
  <c r="Z41" i="100" s="1"/>
  <c r="P12" i="101"/>
  <c r="X14" i="101"/>
  <c r="F56" i="98"/>
  <c r="F57" i="98"/>
  <c r="F69" i="98"/>
  <c r="F80" i="98"/>
  <c r="F81" i="98"/>
  <c r="J16" i="99"/>
  <c r="J26" i="99"/>
  <c r="J52" i="99"/>
  <c r="F36" i="100"/>
  <c r="F35" i="100"/>
  <c r="F27" i="100"/>
  <c r="F23" i="100"/>
  <c r="F38" i="100"/>
  <c r="F37" i="100"/>
  <c r="F43" i="100"/>
  <c r="F41" i="100"/>
  <c r="F28" i="100"/>
  <c r="F24" i="100"/>
  <c r="F45" i="100"/>
  <c r="F40" i="100"/>
  <c r="F30" i="100"/>
  <c r="F29" i="100"/>
  <c r="F25" i="100"/>
  <c r="F21" i="100"/>
  <c r="F20" i="100"/>
  <c r="F50" i="100"/>
  <c r="F47" i="100"/>
  <c r="F32" i="100"/>
  <c r="F31" i="100"/>
  <c r="F34" i="100"/>
  <c r="F33" i="100"/>
  <c r="F26" i="100"/>
  <c r="F22" i="100"/>
  <c r="V15" i="100"/>
  <c r="F18" i="98"/>
  <c r="F45" i="98"/>
  <c r="F46" i="98"/>
  <c r="F62" i="98"/>
  <c r="F74" i="98"/>
  <c r="J38" i="99"/>
  <c r="J41" i="99"/>
  <c r="V20" i="100"/>
  <c r="F63" i="101"/>
  <c r="F61" i="101"/>
  <c r="F49" i="101"/>
  <c r="F48" i="101"/>
  <c r="F25" i="101"/>
  <c r="F70" i="101"/>
  <c r="F40" i="101"/>
  <c r="F39" i="101"/>
  <c r="F60" i="101"/>
  <c r="F55" i="101"/>
  <c r="F51" i="101"/>
  <c r="F50" i="101"/>
  <c r="F31" i="101"/>
  <c r="F42" i="101"/>
  <c r="F41" i="101"/>
  <c r="F26" i="101"/>
  <c r="F17" i="101"/>
  <c r="F16" i="101"/>
  <c r="F56" i="101"/>
  <c r="F52" i="101"/>
  <c r="F44" i="101"/>
  <c r="F43" i="101"/>
  <c r="F32" i="101"/>
  <c r="F28" i="101"/>
  <c r="F27" i="101"/>
  <c r="F65" i="101"/>
  <c r="F34" i="101"/>
  <c r="F33" i="101"/>
  <c r="F18" i="101"/>
  <c r="F57" i="101"/>
  <c r="F53" i="101"/>
  <c r="F45" i="101"/>
  <c r="F29" i="101"/>
  <c r="F58" i="101"/>
  <c r="F47" i="101"/>
  <c r="F46" i="101"/>
  <c r="F22" i="101"/>
  <c r="F20" i="101"/>
  <c r="F67" i="101"/>
  <c r="F54" i="101"/>
  <c r="F38" i="101"/>
  <c r="F37" i="101"/>
  <c r="F30" i="101"/>
  <c r="D20" i="101"/>
  <c r="F35" i="101"/>
  <c r="F27" i="98"/>
  <c r="F31" i="98"/>
  <c r="X41" i="98"/>
  <c r="Z41" i="98" s="1"/>
  <c r="F54" i="98"/>
  <c r="F55" i="98"/>
  <c r="L63" i="98"/>
  <c r="N63" i="98" s="1"/>
  <c r="F78" i="98"/>
  <c r="F79" i="98"/>
  <c r="J29" i="99"/>
  <c r="X31" i="99"/>
  <c r="J33" i="99"/>
  <c r="J37" i="99"/>
  <c r="X48" i="99"/>
  <c r="L12" i="100"/>
  <c r="Z19" i="100"/>
  <c r="V38" i="100"/>
  <c r="H12" i="101"/>
  <c r="N13" i="101"/>
  <c r="L13" i="101"/>
  <c r="X16" i="101"/>
  <c r="L22" i="101"/>
  <c r="N22" i="101" s="1"/>
  <c r="F24" i="101"/>
  <c r="N50" i="101"/>
  <c r="F36" i="98"/>
  <c r="F43" i="98"/>
  <c r="F44" i="98"/>
  <c r="F67" i="98"/>
  <c r="F68" i="98"/>
  <c r="J25" i="99"/>
  <c r="J44" i="99"/>
  <c r="V14" i="100"/>
  <c r="D17" i="100"/>
  <c r="Z16" i="101"/>
  <c r="Z61" i="101"/>
  <c r="X61" i="101"/>
  <c r="F16" i="98"/>
  <c r="F17" i="98"/>
  <c r="F52" i="98"/>
  <c r="F53" i="98"/>
  <c r="F61" i="98"/>
  <c r="F73" i="98"/>
  <c r="F77" i="98"/>
  <c r="F17" i="100"/>
  <c r="X40" i="100"/>
  <c r="L46" i="101"/>
  <c r="H12" i="102"/>
  <c r="F41" i="98"/>
  <c r="F42" i="98"/>
  <c r="F66" i="98"/>
  <c r="J28" i="99"/>
  <c r="J40" i="99"/>
  <c r="J50" i="99"/>
  <c r="V50" i="100"/>
  <c r="V47" i="100"/>
  <c r="V45" i="100"/>
  <c r="V31" i="100"/>
  <c r="V30" i="100"/>
  <c r="T17" i="100"/>
  <c r="V33" i="100"/>
  <c r="V32" i="100"/>
  <c r="V35" i="100"/>
  <c r="V34" i="100"/>
  <c r="V26" i="100"/>
  <c r="V22" i="100"/>
  <c r="V37" i="100"/>
  <c r="V36" i="100"/>
  <c r="Z12" i="100"/>
  <c r="V43" i="100"/>
  <c r="V41" i="100"/>
  <c r="V27" i="100"/>
  <c r="V29" i="100"/>
  <c r="V28" i="100"/>
  <c r="V24" i="100"/>
  <c r="P47" i="100"/>
  <c r="Z76" i="102"/>
  <c r="F35" i="98"/>
  <c r="F50" i="98"/>
  <c r="F51" i="98"/>
  <c r="L13" i="99"/>
  <c r="J24" i="99"/>
  <c r="L31" i="99"/>
  <c r="J32" i="99"/>
  <c r="X12" i="100"/>
  <c r="V21" i="100"/>
  <c r="V23" i="100"/>
  <c r="V25" i="100"/>
  <c r="N33" i="100"/>
  <c r="V40" i="100"/>
  <c r="D12" i="102"/>
  <c r="L17" i="102"/>
  <c r="F39" i="98"/>
  <c r="F40" i="98"/>
  <c r="F59" i="98"/>
  <c r="F60" i="98"/>
  <c r="F72" i="98"/>
  <c r="F76" i="98"/>
  <c r="X38" i="99"/>
  <c r="F15" i="100"/>
  <c r="V17" i="100"/>
  <c r="F36" i="101"/>
  <c r="V78" i="102"/>
  <c r="V70" i="102"/>
  <c r="V66" i="102"/>
  <c r="V58" i="102"/>
  <c r="V46" i="102"/>
  <c r="V77" i="102"/>
  <c r="V65" i="102"/>
  <c r="V49" i="102"/>
  <c r="V25" i="102"/>
  <c r="V21" i="102"/>
  <c r="V82" i="102"/>
  <c r="V48" i="102"/>
  <c r="V40" i="102"/>
  <c r="V36" i="102"/>
  <c r="V79" i="102"/>
  <c r="V61" i="102"/>
  <c r="V53" i="102"/>
  <c r="V86" i="102"/>
  <c r="V72" i="102"/>
  <c r="V68" i="102"/>
  <c r="V60" i="102"/>
  <c r="V52" i="102"/>
  <c r="V32" i="102"/>
  <c r="V28" i="102"/>
  <c r="V63" i="102"/>
  <c r="V55" i="102"/>
  <c r="V76" i="102"/>
  <c r="V64" i="102"/>
  <c r="V71" i="102"/>
  <c r="V59" i="102"/>
  <c r="V54" i="102"/>
  <c r="V45" i="102"/>
  <c r="V73" i="102"/>
  <c r="V39" i="102"/>
  <c r="V30" i="102"/>
  <c r="V33" i="102"/>
  <c r="V75" i="102"/>
  <c r="V42" i="102"/>
  <c r="V62" i="102"/>
  <c r="V31" i="102"/>
  <c r="T23" i="102"/>
  <c r="V43" i="102"/>
  <c r="V37" i="102"/>
  <c r="V19" i="102"/>
  <c r="V74" i="102"/>
  <c r="V67" i="102"/>
  <c r="V47" i="102"/>
  <c r="V34" i="102"/>
  <c r="V26" i="102"/>
  <c r="V51" i="102"/>
  <c r="V38" i="102"/>
  <c r="V20" i="102"/>
  <c r="V57" i="102"/>
  <c r="V44" i="102"/>
  <c r="V41" i="102"/>
  <c r="V35" i="102"/>
  <c r="V27" i="102"/>
  <c r="F48" i="98"/>
  <c r="F49" i="98"/>
  <c r="J57" i="99"/>
  <c r="J54" i="99"/>
  <c r="J42" i="99"/>
  <c r="J45" i="99"/>
  <c r="J35" i="99"/>
  <c r="J46" i="99"/>
  <c r="J36" i="99"/>
  <c r="J30" i="99"/>
  <c r="J39" i="99"/>
  <c r="H19" i="99"/>
  <c r="J43" i="99"/>
  <c r="F14" i="100"/>
  <c r="X60" i="101"/>
  <c r="J36" i="100"/>
  <c r="L14" i="101"/>
  <c r="V17" i="101"/>
  <c r="V33" i="101"/>
  <c r="P12" i="102"/>
  <c r="X51" i="102"/>
  <c r="Z51" i="102" s="1"/>
  <c r="R52" i="103"/>
  <c r="R41" i="103"/>
  <c r="R40" i="103"/>
  <c r="R34" i="103"/>
  <c r="R33" i="103"/>
  <c r="R45" i="103"/>
  <c r="R44" i="103"/>
  <c r="R46" i="103"/>
  <c r="R30" i="103"/>
  <c r="R54" i="103"/>
  <c r="R31" i="103"/>
  <c r="R25" i="103"/>
  <c r="R21" i="103"/>
  <c r="R37" i="103"/>
  <c r="R32" i="103"/>
  <c r="R42" i="103"/>
  <c r="R38" i="103"/>
  <c r="R26" i="103"/>
  <c r="R22" i="103"/>
  <c r="R48" i="103"/>
  <c r="X12" i="103"/>
  <c r="R39" i="103"/>
  <c r="R35" i="103"/>
  <c r="R18" i="103"/>
  <c r="R16" i="103"/>
  <c r="R14" i="103"/>
  <c r="R50" i="103"/>
  <c r="R36" i="103"/>
  <c r="R29" i="103"/>
  <c r="R24" i="103"/>
  <c r="R20" i="103"/>
  <c r="P16" i="103"/>
  <c r="J35" i="100"/>
  <c r="R38" i="100"/>
  <c r="R41" i="100"/>
  <c r="R43" i="100"/>
  <c r="V26" i="101"/>
  <c r="V42" i="101"/>
  <c r="L14" i="102"/>
  <c r="N14" i="102" s="1"/>
  <c r="L49" i="102"/>
  <c r="X63" i="102"/>
  <c r="Z63" i="102" s="1"/>
  <c r="N74" i="102"/>
  <c r="V41" i="103"/>
  <c r="V43" i="103"/>
  <c r="V42" i="103"/>
  <c r="V44" i="103"/>
  <c r="V36" i="103"/>
  <c r="V39" i="103"/>
  <c r="V54" i="103"/>
  <c r="V46" i="103"/>
  <c r="V32" i="103"/>
  <c r="V31" i="103"/>
  <c r="V25" i="103"/>
  <c r="V21" i="103"/>
  <c r="V38" i="103"/>
  <c r="V37" i="103"/>
  <c r="V48" i="103"/>
  <c r="V26" i="103"/>
  <c r="V22" i="103"/>
  <c r="V40" i="103"/>
  <c r="V34" i="103"/>
  <c r="V33" i="103"/>
  <c r="V52" i="103"/>
  <c r="V45" i="103"/>
  <c r="V28" i="103"/>
  <c r="Z12" i="103"/>
  <c r="V57" i="103"/>
  <c r="V27" i="103"/>
  <c r="V23" i="103"/>
  <c r="V19" i="103"/>
  <c r="V50" i="103"/>
  <c r="V30" i="103"/>
  <c r="V29" i="103"/>
  <c r="V24" i="103"/>
  <c r="V20" i="103"/>
  <c r="N18" i="103"/>
  <c r="X82" i="104"/>
  <c r="V16" i="101"/>
  <c r="V40" i="101"/>
  <c r="V60" i="101"/>
  <c r="V61" i="101"/>
  <c r="Z74" i="102"/>
  <c r="Z18" i="103"/>
  <c r="H17" i="100"/>
  <c r="J32" i="100"/>
  <c r="V25" i="101"/>
  <c r="V41" i="101"/>
  <c r="V49" i="101"/>
  <c r="X76" i="102"/>
  <c r="V18" i="103"/>
  <c r="R28" i="103"/>
  <c r="R57" i="103"/>
  <c r="D12" i="108"/>
  <c r="L13" i="108"/>
  <c r="J17" i="100"/>
  <c r="J19" i="100"/>
  <c r="J21" i="100"/>
  <c r="R22" i="100"/>
  <c r="J25" i="100"/>
  <c r="R26" i="100"/>
  <c r="J31" i="100"/>
  <c r="R34" i="100"/>
  <c r="R35" i="100"/>
  <c r="D40" i="100"/>
  <c r="L40" i="100" s="1"/>
  <c r="J47" i="100"/>
  <c r="J50" i="100"/>
  <c r="V30" i="101"/>
  <c r="V38" i="101"/>
  <c r="X41" i="101"/>
  <c r="Z41" i="101" s="1"/>
  <c r="V50" i="101"/>
  <c r="V54" i="101"/>
  <c r="V58" i="101"/>
  <c r="N36" i="102"/>
  <c r="N82" i="102"/>
  <c r="H81" i="102"/>
  <c r="X14" i="103"/>
  <c r="Z28" i="103"/>
  <c r="N25" i="104"/>
  <c r="J30" i="100"/>
  <c r="V39" i="101"/>
  <c r="V47" i="101"/>
  <c r="X17" i="102"/>
  <c r="Z17" i="102" s="1"/>
  <c r="N45" i="102"/>
  <c r="L45" i="102"/>
  <c r="J45" i="100"/>
  <c r="V24" i="101"/>
  <c r="V36" i="101"/>
  <c r="V48" i="101"/>
  <c r="R27" i="103"/>
  <c r="J40" i="100"/>
  <c r="T20" i="101"/>
  <c r="V20" i="101" s="1"/>
  <c r="V29" i="101"/>
  <c r="V37" i="101"/>
  <c r="V45" i="101"/>
  <c r="V53" i="101"/>
  <c r="D60" i="101"/>
  <c r="L60" i="101" s="1"/>
  <c r="V65" i="101"/>
  <c r="N13" i="102"/>
  <c r="X36" i="102"/>
  <c r="Z36" i="102" s="1"/>
  <c r="N51" i="102"/>
  <c r="Z55" i="102"/>
  <c r="Z82" i="102"/>
  <c r="R23" i="103"/>
  <c r="R43" i="103"/>
  <c r="J41" i="100"/>
  <c r="J43" i="100"/>
  <c r="V18" i="101"/>
  <c r="V22" i="101"/>
  <c r="V34" i="101"/>
  <c r="V46" i="101"/>
  <c r="Z57" i="101"/>
  <c r="L25" i="102"/>
  <c r="N25" i="102" s="1"/>
  <c r="T16" i="103"/>
  <c r="X19" i="103"/>
  <c r="Z19" i="103" s="1"/>
  <c r="V23" i="101"/>
  <c r="V35" i="101"/>
  <c r="V56" i="101"/>
  <c r="V57" i="101"/>
  <c r="Z45" i="102"/>
  <c r="V16" i="103"/>
  <c r="R19" i="103"/>
  <c r="Z41" i="103"/>
  <c r="V28" i="101"/>
  <c r="V32" i="101"/>
  <c r="V44" i="101"/>
  <c r="V35" i="103"/>
  <c r="X41" i="103"/>
  <c r="F86" i="104"/>
  <c r="F64" i="104"/>
  <c r="F20" i="104"/>
  <c r="F70" i="104"/>
  <c r="F34" i="104"/>
  <c r="F30" i="104"/>
  <c r="F26" i="104"/>
  <c r="F25" i="104"/>
  <c r="F77" i="104"/>
  <c r="F76" i="104"/>
  <c r="F65" i="104"/>
  <c r="F49" i="104"/>
  <c r="F48" i="104"/>
  <c r="F24" i="104"/>
  <c r="F79" i="104"/>
  <c r="F78" i="104"/>
  <c r="F71" i="104"/>
  <c r="F67" i="104"/>
  <c r="F66" i="104"/>
  <c r="F51" i="104"/>
  <c r="F50" i="104"/>
  <c r="F31" i="104"/>
  <c r="F27" i="104"/>
  <c r="F61" i="104"/>
  <c r="F53" i="104"/>
  <c r="F52" i="104"/>
  <c r="F80" i="104"/>
  <c r="F72" i="104"/>
  <c r="F68" i="104"/>
  <c r="F32" i="104"/>
  <c r="F28" i="104"/>
  <c r="F38" i="104"/>
  <c r="F19" i="104"/>
  <c r="F42" i="104"/>
  <c r="J64" i="104"/>
  <c r="J74" i="104"/>
  <c r="J34" i="103"/>
  <c r="L43" i="103"/>
  <c r="N45" i="103"/>
  <c r="J75" i="104"/>
  <c r="J59" i="104"/>
  <c r="J47" i="104"/>
  <c r="J39" i="104"/>
  <c r="J25" i="104"/>
  <c r="J77" i="104"/>
  <c r="J65" i="104"/>
  <c r="J49" i="104"/>
  <c r="J35" i="104"/>
  <c r="H22" i="104"/>
  <c r="J78" i="104"/>
  <c r="J66" i="104"/>
  <c r="J60" i="104"/>
  <c r="J50" i="104"/>
  <c r="J40" i="104"/>
  <c r="J36" i="104"/>
  <c r="J52" i="104"/>
  <c r="J61" i="104"/>
  <c r="J53" i="104"/>
  <c r="J41" i="104"/>
  <c r="J37" i="104"/>
  <c r="J80" i="104"/>
  <c r="J72" i="104"/>
  <c r="J68" i="104"/>
  <c r="J62" i="104"/>
  <c r="J54" i="104"/>
  <c r="J63" i="104"/>
  <c r="J55" i="104"/>
  <c r="J43" i="104"/>
  <c r="J19" i="104"/>
  <c r="J73" i="104"/>
  <c r="J69" i="104"/>
  <c r="J57" i="104"/>
  <c r="J45" i="104"/>
  <c r="J33" i="104"/>
  <c r="J29" i="104"/>
  <c r="Z16" i="104"/>
  <c r="Z46" i="104"/>
  <c r="F57" i="104"/>
  <c r="J76" i="104"/>
  <c r="L78" i="104"/>
  <c r="V42" i="105"/>
  <c r="V49" i="105"/>
  <c r="V41" i="105"/>
  <c r="V43" i="105"/>
  <c r="V45" i="105"/>
  <c r="V36" i="105"/>
  <c r="V35" i="105"/>
  <c r="V50" i="105"/>
  <c r="V37" i="105"/>
  <c r="V23" i="105"/>
  <c r="V19" i="105"/>
  <c r="V44" i="105"/>
  <c r="V34" i="105"/>
  <c r="V33" i="105"/>
  <c r="V25" i="105"/>
  <c r="V52" i="105"/>
  <c r="V48" i="105"/>
  <c r="V46" i="105"/>
  <c r="V30" i="105"/>
  <c r="V26" i="105"/>
  <c r="V56" i="105"/>
  <c r="V17" i="105"/>
  <c r="V31" i="105"/>
  <c r="V28" i="105"/>
  <c r="Z12" i="105"/>
  <c r="V39" i="105"/>
  <c r="V27" i="105"/>
  <c r="V40" i="105"/>
  <c r="V29" i="105"/>
  <c r="T21" i="105"/>
  <c r="V21" i="105" s="1"/>
  <c r="V38" i="105"/>
  <c r="Z40" i="105"/>
  <c r="L82" i="102"/>
  <c r="X13" i="104"/>
  <c r="Z13" i="104" s="1"/>
  <c r="F35" i="104"/>
  <c r="F39" i="104"/>
  <c r="F47" i="104"/>
  <c r="N13" i="105"/>
  <c r="P81" i="102"/>
  <c r="F21" i="103"/>
  <c r="F25" i="103"/>
  <c r="J32" i="103"/>
  <c r="J37" i="103"/>
  <c r="J42" i="103"/>
  <c r="J18" i="104"/>
  <c r="J20" i="104"/>
  <c r="J24" i="104"/>
  <c r="J44" i="104"/>
  <c r="J67" i="104"/>
  <c r="R47" i="105"/>
  <c r="R40" i="105"/>
  <c r="R39" i="105"/>
  <c r="R30" i="105"/>
  <c r="R49" i="105"/>
  <c r="R48" i="105"/>
  <c r="R50" i="105"/>
  <c r="R52" i="105"/>
  <c r="R45" i="105"/>
  <c r="R34" i="105"/>
  <c r="R33" i="105"/>
  <c r="R43" i="105"/>
  <c r="R23" i="105"/>
  <c r="R38" i="105"/>
  <c r="R25" i="105"/>
  <c r="P21" i="105"/>
  <c r="R21" i="105" s="1"/>
  <c r="R46" i="105"/>
  <c r="R44" i="105"/>
  <c r="R41" i="105"/>
  <c r="R26" i="105"/>
  <c r="R56" i="105"/>
  <c r="R35" i="105"/>
  <c r="R42" i="105"/>
  <c r="R36" i="105"/>
  <c r="R31" i="105"/>
  <c r="R17" i="105"/>
  <c r="X12" i="105"/>
  <c r="R18" i="105"/>
  <c r="V18" i="105"/>
  <c r="R27" i="105"/>
  <c r="R37" i="105"/>
  <c r="J78" i="106"/>
  <c r="J72" i="106"/>
  <c r="J68" i="106"/>
  <c r="J52" i="106"/>
  <c r="J40" i="106"/>
  <c r="J36" i="106"/>
  <c r="J79" i="106"/>
  <c r="J53" i="106"/>
  <c r="J41" i="106"/>
  <c r="J31" i="106"/>
  <c r="J27" i="106"/>
  <c r="J17" i="106"/>
  <c r="J80" i="106"/>
  <c r="J62" i="106"/>
  <c r="J54" i="106"/>
  <c r="J81" i="106"/>
  <c r="J73" i="106"/>
  <c r="J69" i="106"/>
  <c r="J63" i="106"/>
  <c r="J55" i="106"/>
  <c r="J43" i="106"/>
  <c r="J37" i="106"/>
  <c r="J64" i="106"/>
  <c r="J56" i="106"/>
  <c r="J44" i="106"/>
  <c r="J32" i="106"/>
  <c r="J83" i="106"/>
  <c r="J57" i="106"/>
  <c r="J45" i="106"/>
  <c r="J19" i="106"/>
  <c r="J74" i="106"/>
  <c r="J70" i="106"/>
  <c r="J58" i="106"/>
  <c r="J46" i="106"/>
  <c r="J38" i="106"/>
  <c r="J24" i="106"/>
  <c r="J87" i="106"/>
  <c r="J65" i="106"/>
  <c r="J59" i="106"/>
  <c r="J47" i="106"/>
  <c r="J33" i="106"/>
  <c r="J29" i="106"/>
  <c r="J25" i="106"/>
  <c r="J23" i="106"/>
  <c r="J21" i="106"/>
  <c r="J76" i="106"/>
  <c r="J66" i="106"/>
  <c r="J50" i="106"/>
  <c r="J30" i="106"/>
  <c r="J26" i="106"/>
  <c r="J77" i="106"/>
  <c r="J67" i="106"/>
  <c r="J61" i="106"/>
  <c r="J51" i="106"/>
  <c r="J34" i="106"/>
  <c r="J60" i="106"/>
  <c r="J48" i="106"/>
  <c r="J71" i="106"/>
  <c r="J49" i="106"/>
  <c r="J42" i="106"/>
  <c r="J75" i="106"/>
  <c r="J35" i="106"/>
  <c r="J28" i="106"/>
  <c r="J39" i="106"/>
  <c r="H21" i="106"/>
  <c r="D16" i="103"/>
  <c r="J21" i="103"/>
  <c r="J25" i="103"/>
  <c r="J31" i="103"/>
  <c r="L36" i="103"/>
  <c r="L14" i="104"/>
  <c r="N14" i="104" s="1"/>
  <c r="F37" i="104"/>
  <c r="F41" i="104"/>
  <c r="F56" i="104"/>
  <c r="F63" i="104"/>
  <c r="F75" i="104"/>
  <c r="Z13" i="105"/>
  <c r="Z23" i="105"/>
  <c r="Z17" i="106"/>
  <c r="T81" i="102"/>
  <c r="J44" i="103"/>
  <c r="J46" i="103"/>
  <c r="X44" i="104"/>
  <c r="Z44" i="104" s="1"/>
  <c r="F46" i="104"/>
  <c r="F58" i="104"/>
  <c r="H16" i="103"/>
  <c r="L30" i="103"/>
  <c r="L12" i="104"/>
  <c r="N12" i="104" s="1"/>
  <c r="J26" i="104"/>
  <c r="J28" i="104"/>
  <c r="J30" i="104"/>
  <c r="J32" i="104"/>
  <c r="J34" i="104"/>
  <c r="Z35" i="104"/>
  <c r="J51" i="104"/>
  <c r="J56" i="104"/>
  <c r="J70" i="104"/>
  <c r="X14" i="107"/>
  <c r="P16" i="107"/>
  <c r="L57" i="102"/>
  <c r="N57" i="102" s="1"/>
  <c r="J14" i="103"/>
  <c r="J16" i="103"/>
  <c r="J18" i="103"/>
  <c r="J20" i="103"/>
  <c r="J24" i="103"/>
  <c r="J29" i="103"/>
  <c r="J36" i="103"/>
  <c r="T12" i="104"/>
  <c r="P12" i="104"/>
  <c r="F43" i="104"/>
  <c r="J46" i="104"/>
  <c r="J58" i="104"/>
  <c r="J79" i="104"/>
  <c r="J86" i="104"/>
  <c r="D12" i="105"/>
  <c r="N49" i="105"/>
  <c r="F46" i="103"/>
  <c r="F45" i="103"/>
  <c r="F50" i="103"/>
  <c r="F48" i="103"/>
  <c r="F39" i="103"/>
  <c r="F38" i="103"/>
  <c r="F29" i="103"/>
  <c r="F40" i="103"/>
  <c r="F42" i="103"/>
  <c r="F41" i="103"/>
  <c r="F44" i="103"/>
  <c r="F43" i="103"/>
  <c r="J19" i="103"/>
  <c r="F35" i="103"/>
  <c r="L41" i="103"/>
  <c r="N41" i="103" s="1"/>
  <c r="X14" i="104"/>
  <c r="Z14" i="104" s="1"/>
  <c r="D22" i="104"/>
  <c r="F60" i="104"/>
  <c r="F62" i="104"/>
  <c r="F74" i="104"/>
  <c r="F82" i="104"/>
  <c r="L17" i="105"/>
  <c r="N17" i="105" s="1"/>
  <c r="R19" i="105"/>
  <c r="J26" i="105"/>
  <c r="J39" i="103"/>
  <c r="J52" i="103"/>
  <c r="J57" i="103"/>
  <c r="J54" i="103"/>
  <c r="J40" i="103"/>
  <c r="J30" i="103"/>
  <c r="J41" i="103"/>
  <c r="J43" i="103"/>
  <c r="J45" i="103"/>
  <c r="J35" i="103"/>
  <c r="J28" i="103"/>
  <c r="J22" i="104"/>
  <c r="F36" i="104"/>
  <c r="J38" i="104"/>
  <c r="F40" i="104"/>
  <c r="F45" i="104"/>
  <c r="J48" i="104"/>
  <c r="L50" i="104"/>
  <c r="N50" i="104" s="1"/>
  <c r="F55" i="104"/>
  <c r="J56" i="105"/>
  <c r="J46" i="105"/>
  <c r="J37" i="105"/>
  <c r="J47" i="105"/>
  <c r="J39" i="105"/>
  <c r="J41" i="105"/>
  <c r="J48" i="105"/>
  <c r="J42" i="105"/>
  <c r="J49" i="105"/>
  <c r="J43" i="105"/>
  <c r="J31" i="105"/>
  <c r="J52" i="105"/>
  <c r="J36" i="105"/>
  <c r="J27" i="105"/>
  <c r="J17" i="105"/>
  <c r="J40" i="105"/>
  <c r="J29" i="105"/>
  <c r="J50" i="105"/>
  <c r="J19" i="105"/>
  <c r="J33" i="105"/>
  <c r="J24" i="105"/>
  <c r="J44" i="105"/>
  <c r="J38" i="105"/>
  <c r="J30" i="105"/>
  <c r="J25" i="105"/>
  <c r="J23" i="105"/>
  <c r="J34" i="105"/>
  <c r="H21" i="105"/>
  <c r="J35" i="105"/>
  <c r="J28" i="105"/>
  <c r="J45" i="105"/>
  <c r="V47" i="105"/>
  <c r="D12" i="106"/>
  <c r="H12" i="108"/>
  <c r="N13" i="108"/>
  <c r="Z75" i="108"/>
  <c r="X75" i="108"/>
  <c r="X49" i="105"/>
  <c r="Z49" i="105" s="1"/>
  <c r="N45" i="106"/>
  <c r="Z67" i="106"/>
  <c r="H16" i="107"/>
  <c r="J24" i="107"/>
  <c r="J22" i="107"/>
  <c r="J26" i="107"/>
  <c r="J31" i="107"/>
  <c r="J28" i="107"/>
  <c r="N12" i="107"/>
  <c r="J19" i="107"/>
  <c r="J20" i="107"/>
  <c r="J18" i="107"/>
  <c r="J16" i="107"/>
  <c r="J14" i="107"/>
  <c r="V87" i="108"/>
  <c r="V77" i="108"/>
  <c r="V65" i="108"/>
  <c r="V49" i="108"/>
  <c r="V33" i="108"/>
  <c r="V29" i="108"/>
  <c r="V25" i="108"/>
  <c r="V76" i="108"/>
  <c r="V60" i="108"/>
  <c r="V48" i="108"/>
  <c r="V79" i="108"/>
  <c r="V71" i="108"/>
  <c r="V67" i="108"/>
  <c r="V78" i="108"/>
  <c r="V66" i="108"/>
  <c r="V50" i="108"/>
  <c r="V61" i="108"/>
  <c r="V53" i="108"/>
  <c r="V41" i="108"/>
  <c r="V17" i="108"/>
  <c r="V80" i="108"/>
  <c r="V72" i="108"/>
  <c r="V68" i="108"/>
  <c r="V52" i="108"/>
  <c r="V40" i="108"/>
  <c r="V36" i="108"/>
  <c r="V63" i="108"/>
  <c r="V62" i="108"/>
  <c r="V54" i="108"/>
  <c r="V42" i="108"/>
  <c r="V83" i="108"/>
  <c r="V81" i="108"/>
  <c r="V73" i="108"/>
  <c r="V69" i="108"/>
  <c r="V57" i="108"/>
  <c r="V45" i="108"/>
  <c r="V37" i="108"/>
  <c r="V75" i="108"/>
  <c r="V59" i="108"/>
  <c r="V47" i="108"/>
  <c r="V38" i="108"/>
  <c r="V31" i="108"/>
  <c r="V27" i="108"/>
  <c r="T21" i="108"/>
  <c r="V21" i="108" s="1"/>
  <c r="V70" i="108"/>
  <c r="V51" i="108"/>
  <c r="V46" i="108"/>
  <c r="V44" i="108"/>
  <c r="V34" i="108"/>
  <c r="V23" i="108"/>
  <c r="V24" i="108"/>
  <c r="V74" i="108"/>
  <c r="V39" i="108"/>
  <c r="V32" i="108"/>
  <c r="V28" i="108"/>
  <c r="V18" i="108"/>
  <c r="V64" i="108"/>
  <c r="V30" i="108"/>
  <c r="V26" i="108"/>
  <c r="V56" i="108"/>
  <c r="V55" i="108"/>
  <c r="H37" i="109"/>
  <c r="N16" i="109"/>
  <c r="N44" i="105"/>
  <c r="Z41" i="106"/>
  <c r="X41" i="106"/>
  <c r="L14" i="105"/>
  <c r="L47" i="106"/>
  <c r="N47" i="106" s="1"/>
  <c r="N59" i="106"/>
  <c r="L59" i="106"/>
  <c r="Z22" i="107"/>
  <c r="X22" i="107"/>
  <c r="Z15" i="106"/>
  <c r="L23" i="106"/>
  <c r="N23" i="106" s="1"/>
  <c r="X47" i="106"/>
  <c r="Z47" i="106" s="1"/>
  <c r="N53" i="106"/>
  <c r="V19" i="108"/>
  <c r="P12" i="108"/>
  <c r="X14" i="108"/>
  <c r="Z14" i="108" s="1"/>
  <c r="V35" i="108"/>
  <c r="L13" i="105"/>
  <c r="L14" i="106"/>
  <c r="N14" i="106" s="1"/>
  <c r="Z18" i="107"/>
  <c r="P12" i="106"/>
  <c r="X23" i="106"/>
  <c r="Z23" i="106" s="1"/>
  <c r="L34" i="106"/>
  <c r="Z49" i="106"/>
  <c r="Z53" i="106"/>
  <c r="X53" i="106"/>
  <c r="D24" i="107"/>
  <c r="L16" i="107"/>
  <c r="X83" i="108"/>
  <c r="X17" i="106"/>
  <c r="N34" i="106"/>
  <c r="N23" i="108"/>
  <c r="L23" i="108"/>
  <c r="X14" i="106"/>
  <c r="Z14" i="106" s="1"/>
  <c r="T12" i="106"/>
  <c r="L41" i="106"/>
  <c r="N41" i="106" s="1"/>
  <c r="L16" i="109"/>
  <c r="D37" i="109"/>
  <c r="L14" i="107"/>
  <c r="N45" i="108"/>
  <c r="Z59" i="108"/>
  <c r="Z63" i="108"/>
  <c r="R14" i="107"/>
  <c r="R16" i="107"/>
  <c r="R18" i="107"/>
  <c r="V20" i="107"/>
  <c r="V22" i="107"/>
  <c r="V24" i="107"/>
  <c r="F28" i="107"/>
  <c r="F31" i="107"/>
  <c r="L67" i="108"/>
  <c r="T16" i="107"/>
  <c r="R19" i="107"/>
  <c r="N17" i="108"/>
  <c r="N67" i="108"/>
  <c r="N18" i="109"/>
  <c r="T72" i="110"/>
  <c r="V17" i="110"/>
  <c r="V14" i="107"/>
  <c r="V16" i="107"/>
  <c r="Z24" i="108"/>
  <c r="N41" i="108"/>
  <c r="Z47" i="108"/>
  <c r="Z16" i="109"/>
  <c r="T37" i="109"/>
  <c r="Z23" i="108"/>
  <c r="L14" i="109"/>
  <c r="F22" i="107"/>
  <c r="F24" i="107"/>
  <c r="X13" i="108"/>
  <c r="Z13" i="108" s="1"/>
  <c r="L79" i="108"/>
  <c r="X53" i="110"/>
  <c r="Z53" i="110" s="1"/>
  <c r="R53" i="110"/>
  <c r="X38" i="110"/>
  <c r="R38" i="110"/>
  <c r="F14" i="107"/>
  <c r="F16" i="107"/>
  <c r="R28" i="107"/>
  <c r="X57" i="108"/>
  <c r="Z57" i="108" s="1"/>
  <c r="L14" i="108"/>
  <c r="N14" i="108" s="1"/>
  <c r="V22" i="109"/>
  <c r="R31" i="109"/>
  <c r="J39" i="109"/>
  <c r="F59" i="110"/>
  <c r="F65" i="110"/>
  <c r="Z38" i="110"/>
  <c r="N65" i="110"/>
  <c r="J14" i="109"/>
  <c r="J16" i="109"/>
  <c r="J18" i="109"/>
  <c r="J20" i="109"/>
  <c r="R21" i="109"/>
  <c r="J24" i="109"/>
  <c r="V25" i="109"/>
  <c r="J28" i="109"/>
  <c r="R29" i="109"/>
  <c r="R30" i="109"/>
  <c r="L19" i="110"/>
  <c r="N20" i="110"/>
  <c r="Z40" i="110"/>
  <c r="X40" i="110"/>
  <c r="F44" i="110"/>
  <c r="N63" i="110"/>
  <c r="J65" i="110"/>
  <c r="R74" i="110"/>
  <c r="F28" i="109"/>
  <c r="F27" i="109"/>
  <c r="J19" i="109"/>
  <c r="V21" i="109"/>
  <c r="V29" i="109"/>
  <c r="F34" i="109"/>
  <c r="F35" i="109"/>
  <c r="J37" i="109"/>
  <c r="R39" i="109"/>
  <c r="V41" i="109"/>
  <c r="V15" i="110"/>
  <c r="F19" i="110"/>
  <c r="X20" i="110"/>
  <c r="F39" i="110"/>
  <c r="V40" i="110"/>
  <c r="J44" i="110"/>
  <c r="V45" i="110"/>
  <c r="V61" i="110"/>
  <c r="H68" i="110"/>
  <c r="J68" i="110" s="1"/>
  <c r="N70" i="110"/>
  <c r="J27" i="109"/>
  <c r="V30" i="109"/>
  <c r="V39" i="109"/>
  <c r="N19" i="110"/>
  <c r="J39" i="110"/>
  <c r="N49" i="110"/>
  <c r="L49" i="110"/>
  <c r="V59" i="110"/>
  <c r="Z68" i="110"/>
  <c r="J70" i="110"/>
  <c r="L12" i="109"/>
  <c r="P16" i="109"/>
  <c r="R20" i="109"/>
  <c r="J23" i="109"/>
  <c r="V24" i="109"/>
  <c r="F26" i="109"/>
  <c r="R28" i="109"/>
  <c r="H33" i="109"/>
  <c r="L33" i="109" s="1"/>
  <c r="L34" i="109"/>
  <c r="N34" i="109" s="1"/>
  <c r="J35" i="109"/>
  <c r="F70" i="110"/>
  <c r="F41" i="110"/>
  <c r="F40" i="110"/>
  <c r="F33" i="110"/>
  <c r="F74" i="110"/>
  <c r="F69" i="110"/>
  <c r="F60" i="110"/>
  <c r="F52" i="110"/>
  <c r="F51" i="110"/>
  <c r="F28" i="110"/>
  <c r="F24" i="110"/>
  <c r="F68" i="110"/>
  <c r="F43" i="110"/>
  <c r="F42" i="110"/>
  <c r="F54" i="110"/>
  <c r="F53" i="110"/>
  <c r="F34" i="110"/>
  <c r="F30" i="110"/>
  <c r="F29" i="110"/>
  <c r="F61" i="110"/>
  <c r="F55" i="110"/>
  <c r="F35" i="110"/>
  <c r="F31" i="110"/>
  <c r="F62" i="110"/>
  <c r="F46" i="110"/>
  <c r="F45" i="110"/>
  <c r="F26" i="110"/>
  <c r="F22" i="110"/>
  <c r="F57" i="110"/>
  <c r="F56" i="110"/>
  <c r="F37" i="110"/>
  <c r="F36" i="110"/>
  <c r="R61" i="110"/>
  <c r="R25" i="110"/>
  <c r="R21" i="110"/>
  <c r="R45" i="110"/>
  <c r="R44" i="110"/>
  <c r="R56" i="110"/>
  <c r="R55" i="110"/>
  <c r="R36" i="110"/>
  <c r="R35" i="110"/>
  <c r="R31" i="110"/>
  <c r="R63" i="110"/>
  <c r="R62" i="110"/>
  <c r="R47" i="110"/>
  <c r="R46" i="110"/>
  <c r="R26" i="110"/>
  <c r="R58" i="110"/>
  <c r="R57" i="110"/>
  <c r="R65" i="110"/>
  <c r="R64" i="110"/>
  <c r="R70" i="110"/>
  <c r="R59" i="110"/>
  <c r="R40" i="110"/>
  <c r="R39" i="110"/>
  <c r="R27" i="110"/>
  <c r="R23" i="110"/>
  <c r="R69" i="110"/>
  <c r="R66" i="110"/>
  <c r="R51" i="110"/>
  <c r="R50" i="110"/>
  <c r="R68" i="110"/>
  <c r="R42" i="110"/>
  <c r="R41" i="110"/>
  <c r="R33" i="110"/>
  <c r="D17" i="110"/>
  <c r="J19" i="110"/>
  <c r="Z20" i="110"/>
  <c r="R24" i="110"/>
  <c r="R28" i="110"/>
  <c r="F32" i="110"/>
  <c r="J41" i="110"/>
  <c r="R52" i="110"/>
  <c r="L70" i="110"/>
  <c r="N12" i="109"/>
  <c r="R14" i="109"/>
  <c r="R16" i="109"/>
  <c r="V20" i="109"/>
  <c r="J26" i="109"/>
  <c r="V28" i="109"/>
  <c r="J33" i="109"/>
  <c r="F44" i="109"/>
  <c r="J74" i="110"/>
  <c r="J60" i="110"/>
  <c r="J52" i="110"/>
  <c r="J42" i="110"/>
  <c r="J28" i="110"/>
  <c r="J24" i="110"/>
  <c r="J53" i="110"/>
  <c r="J43" i="110"/>
  <c r="J29" i="110"/>
  <c r="J54" i="110"/>
  <c r="J34" i="110"/>
  <c r="J30" i="110"/>
  <c r="J20" i="110"/>
  <c r="J61" i="110"/>
  <c r="J25" i="110"/>
  <c r="J62" i="110"/>
  <c r="J56" i="110"/>
  <c r="J46" i="110"/>
  <c r="J36" i="110"/>
  <c r="J26" i="110"/>
  <c r="J22" i="110"/>
  <c r="J63" i="110"/>
  <c r="J57" i="110"/>
  <c r="J47" i="110"/>
  <c r="J37" i="110"/>
  <c r="J64" i="110"/>
  <c r="J58" i="110"/>
  <c r="J48" i="110"/>
  <c r="J38" i="110"/>
  <c r="J32" i="110"/>
  <c r="Z13" i="110"/>
  <c r="F17" i="110"/>
  <c r="V20" i="110"/>
  <c r="R22" i="110"/>
  <c r="V39" i="110"/>
  <c r="R54" i="110"/>
  <c r="R37" i="109"/>
  <c r="R35" i="109"/>
  <c r="R24" i="109"/>
  <c r="R19" i="109"/>
  <c r="R30" i="110"/>
  <c r="R49" i="110"/>
  <c r="J51" i="110"/>
  <c r="V54" i="110"/>
  <c r="F58" i="110"/>
  <c r="F64" i="110"/>
  <c r="F66" i="110"/>
  <c r="V33" i="109"/>
  <c r="V31" i="109"/>
  <c r="V14" i="109"/>
  <c r="V16" i="109"/>
  <c r="V18" i="109"/>
  <c r="J22" i="109"/>
  <c r="R34" i="109"/>
  <c r="V37" i="109"/>
  <c r="J44" i="109"/>
  <c r="R32" i="110"/>
  <c r="R34" i="110"/>
  <c r="F48" i="110"/>
  <c r="Z49" i="110"/>
  <c r="X49" i="110"/>
  <c r="N58" i="110"/>
  <c r="J66" i="110"/>
  <c r="J69" i="110"/>
  <c r="X12" i="109"/>
  <c r="V19" i="109"/>
  <c r="V23" i="109"/>
  <c r="F25" i="109"/>
  <c r="R26" i="109"/>
  <c r="J31" i="109"/>
  <c r="R33" i="109"/>
  <c r="V56" i="110"/>
  <c r="V44" i="110"/>
  <c r="V36" i="110"/>
  <c r="V63" i="110"/>
  <c r="V55" i="110"/>
  <c r="V47" i="110"/>
  <c r="V35" i="110"/>
  <c r="V31" i="110"/>
  <c r="V62" i="110"/>
  <c r="V58" i="110"/>
  <c r="V46" i="110"/>
  <c r="V38" i="110"/>
  <c r="V26" i="110"/>
  <c r="V22" i="110"/>
  <c r="V65" i="110"/>
  <c r="V57" i="110"/>
  <c r="V49" i="110"/>
  <c r="V37" i="110"/>
  <c r="V72" i="110"/>
  <c r="V70" i="110"/>
  <c r="V64" i="110"/>
  <c r="V69" i="110"/>
  <c r="V68" i="110"/>
  <c r="V66" i="110"/>
  <c r="V50" i="110"/>
  <c r="V42" i="110"/>
  <c r="V53" i="110"/>
  <c r="V41" i="110"/>
  <c r="V33" i="110"/>
  <c r="V29" i="110"/>
  <c r="V74" i="110"/>
  <c r="V60" i="110"/>
  <c r="V52" i="110"/>
  <c r="V28" i="110"/>
  <c r="V24" i="110"/>
  <c r="F15" i="110"/>
  <c r="P17" i="110"/>
  <c r="V19" i="110"/>
  <c r="J21" i="110"/>
  <c r="F23" i="110"/>
  <c r="F25" i="110"/>
  <c r="F27" i="110"/>
  <c r="V32" i="110"/>
  <c r="V34" i="110"/>
  <c r="F38" i="110"/>
  <c r="H72" i="110"/>
  <c r="Z12" i="109"/>
  <c r="F21" i="109"/>
  <c r="J25" i="109"/>
  <c r="V26" i="109"/>
  <c r="V27" i="109"/>
  <c r="F29" i="109"/>
  <c r="J30" i="109"/>
  <c r="V34" i="109"/>
  <c r="V35" i="109"/>
  <c r="J41" i="109"/>
  <c r="X12" i="110"/>
  <c r="Z12" i="110" s="1"/>
  <c r="R17" i="110"/>
  <c r="X19" i="110"/>
  <c r="Z19" i="110" s="1"/>
  <c r="J23" i="110"/>
  <c r="J27" i="110"/>
  <c r="N38" i="110"/>
  <c r="R43" i="110"/>
  <c r="J45" i="110"/>
  <c r="R48" i="110"/>
  <c r="F50" i="110"/>
  <c r="Z58" i="110"/>
  <c r="R60" i="110"/>
  <c r="J72" i="110"/>
  <c r="X69" i="110"/>
  <c r="Z69" i="110" s="1"/>
  <c r="P94" i="96" l="1"/>
  <c r="R90" i="96"/>
  <c r="F59" i="93"/>
  <c r="F58" i="93"/>
  <c r="F50" i="93"/>
  <c r="F49" i="93"/>
  <c r="F69" i="93"/>
  <c r="F65" i="93"/>
  <c r="F66" i="93"/>
  <c r="F73" i="93"/>
  <c r="F72" i="93"/>
  <c r="F61" i="93"/>
  <c r="F44" i="93"/>
  <c r="F43" i="93"/>
  <c r="F75" i="93"/>
  <c r="F46" i="93"/>
  <c r="F45" i="93"/>
  <c r="F67" i="93"/>
  <c r="F63" i="93"/>
  <c r="F40" i="93"/>
  <c r="F39" i="93"/>
  <c r="F35" i="93"/>
  <c r="F79" i="93"/>
  <c r="F53" i="93"/>
  <c r="F42" i="93"/>
  <c r="F41" i="93"/>
  <c r="F30" i="93"/>
  <c r="F26" i="93"/>
  <c r="F56" i="93"/>
  <c r="F47" i="93"/>
  <c r="F70" i="93"/>
  <c r="F36" i="93"/>
  <c r="L12" i="93"/>
  <c r="F68" i="93"/>
  <c r="F64" i="93"/>
  <c r="F31" i="93"/>
  <c r="F27" i="93"/>
  <c r="F54" i="93"/>
  <c r="F51" i="93"/>
  <c r="F48" i="93"/>
  <c r="F18" i="93"/>
  <c r="F17" i="93"/>
  <c r="F37" i="93"/>
  <c r="F33" i="93"/>
  <c r="F32" i="93"/>
  <c r="F57" i="93"/>
  <c r="F28" i="93"/>
  <c r="F24" i="93"/>
  <c r="F23" i="93"/>
  <c r="F38" i="93"/>
  <c r="F34" i="93"/>
  <c r="D20" i="93"/>
  <c r="F22" i="93"/>
  <c r="F60" i="93"/>
  <c r="F29" i="93"/>
  <c r="F62" i="93"/>
  <c r="F55" i="93"/>
  <c r="F20" i="93"/>
  <c r="F71" i="93"/>
  <c r="F25" i="93"/>
  <c r="F52" i="93"/>
  <c r="N16" i="68"/>
  <c r="H61" i="68"/>
  <c r="H71" i="57"/>
  <c r="N16" i="57"/>
  <c r="P75" i="57"/>
  <c r="Z18" i="44"/>
  <c r="T27" i="44"/>
  <c r="X18" i="31"/>
  <c r="P27" i="31"/>
  <c r="L18" i="14"/>
  <c r="D27" i="14"/>
  <c r="X16" i="109"/>
  <c r="P37" i="109"/>
  <c r="T76" i="110"/>
  <c r="V79" i="104"/>
  <c r="V71" i="104"/>
  <c r="V67" i="104"/>
  <c r="V51" i="104"/>
  <c r="V31" i="104"/>
  <c r="V27" i="104"/>
  <c r="V61" i="104"/>
  <c r="V53" i="104"/>
  <c r="V41" i="104"/>
  <c r="V37" i="104"/>
  <c r="V82" i="104"/>
  <c r="V80" i="104"/>
  <c r="V72" i="104"/>
  <c r="V68" i="104"/>
  <c r="V56" i="104"/>
  <c r="V44" i="104"/>
  <c r="V32" i="104"/>
  <c r="V28" i="104"/>
  <c r="V74" i="104"/>
  <c r="V58" i="104"/>
  <c r="V46" i="104"/>
  <c r="V38" i="104"/>
  <c r="V73" i="104"/>
  <c r="V69" i="104"/>
  <c r="V57" i="104"/>
  <c r="V45" i="104"/>
  <c r="V33" i="104"/>
  <c r="V29" i="104"/>
  <c r="V25" i="104"/>
  <c r="V86" i="104"/>
  <c r="V76" i="104"/>
  <c r="V64" i="104"/>
  <c r="V75" i="104"/>
  <c r="V59" i="104"/>
  <c r="V47" i="104"/>
  <c r="V39" i="104"/>
  <c r="V35" i="104"/>
  <c r="T22" i="104"/>
  <c r="V77" i="104"/>
  <c r="V65" i="104"/>
  <c r="V49" i="104"/>
  <c r="V70" i="104"/>
  <c r="V43" i="104"/>
  <c r="V34" i="104"/>
  <c r="V30" i="104"/>
  <c r="V26" i="104"/>
  <c r="V24" i="104"/>
  <c r="Z12" i="104"/>
  <c r="V63" i="104"/>
  <c r="V18" i="104"/>
  <c r="V54" i="104"/>
  <c r="V20" i="104"/>
  <c r="V78" i="104"/>
  <c r="V52" i="104"/>
  <c r="V42" i="104"/>
  <c r="V50" i="104"/>
  <c r="V48" i="104"/>
  <c r="V60" i="104"/>
  <c r="V66" i="104"/>
  <c r="V36" i="104"/>
  <c r="V40" i="104"/>
  <c r="V62" i="104"/>
  <c r="V19" i="104"/>
  <c r="V55" i="104"/>
  <c r="N81" i="102"/>
  <c r="L81" i="102"/>
  <c r="L83" i="98"/>
  <c r="F83" i="98"/>
  <c r="J76" i="98"/>
  <c r="J72" i="98"/>
  <c r="J60" i="98"/>
  <c r="J50" i="98"/>
  <c r="J40" i="98"/>
  <c r="J51" i="98"/>
  <c r="J41" i="98"/>
  <c r="J35" i="98"/>
  <c r="J66" i="98"/>
  <c r="J52" i="98"/>
  <c r="J42" i="98"/>
  <c r="J30" i="98"/>
  <c r="J26" i="98"/>
  <c r="J16" i="98"/>
  <c r="J77" i="98"/>
  <c r="J73" i="98"/>
  <c r="J67" i="98"/>
  <c r="J61" i="98"/>
  <c r="J53" i="98"/>
  <c r="J43" i="98"/>
  <c r="J78" i="98"/>
  <c r="J68" i="98"/>
  <c r="J54" i="98"/>
  <c r="J44" i="98"/>
  <c r="J36" i="98"/>
  <c r="N12" i="98"/>
  <c r="J79" i="98"/>
  <c r="J55" i="98"/>
  <c r="J45" i="98"/>
  <c r="J31" i="98"/>
  <c r="J27" i="98"/>
  <c r="L12" i="98"/>
  <c r="J80" i="98"/>
  <c r="J74" i="98"/>
  <c r="J62" i="98"/>
  <c r="J56" i="98"/>
  <c r="J46" i="98"/>
  <c r="J32" i="98"/>
  <c r="J18" i="98"/>
  <c r="J81" i="98"/>
  <c r="J69" i="98"/>
  <c r="J63" i="98"/>
  <c r="J57" i="98"/>
  <c r="J37" i="98"/>
  <c r="J33" i="98"/>
  <c r="J23" i="98"/>
  <c r="J84" i="98"/>
  <c r="J70" i="98"/>
  <c r="J64" i="98"/>
  <c r="J88" i="98"/>
  <c r="J58" i="98"/>
  <c r="J48" i="98"/>
  <c r="J38" i="98"/>
  <c r="J34" i="98"/>
  <c r="H20" i="98"/>
  <c r="J17" i="98"/>
  <c r="J39" i="98"/>
  <c r="J28" i="98"/>
  <c r="J24" i="98"/>
  <c r="J49" i="98"/>
  <c r="J47" i="98"/>
  <c r="J71" i="98"/>
  <c r="J22" i="98"/>
  <c r="J83" i="98"/>
  <c r="J75" i="98"/>
  <c r="J65" i="98"/>
  <c r="J20" i="98"/>
  <c r="J25" i="98"/>
  <c r="J29" i="98"/>
  <c r="J59" i="98"/>
  <c r="V79" i="95"/>
  <c r="V68" i="95"/>
  <c r="V64" i="95"/>
  <c r="V56" i="95"/>
  <c r="V44" i="95"/>
  <c r="V36" i="95"/>
  <c r="V32" i="95"/>
  <c r="Z12" i="95"/>
  <c r="V55" i="95"/>
  <c r="V47" i="95"/>
  <c r="V70" i="95"/>
  <c r="V58" i="95"/>
  <c r="V46" i="95"/>
  <c r="V69" i="95"/>
  <c r="V65" i="95"/>
  <c r="V57" i="95"/>
  <c r="V49" i="95"/>
  <c r="V71" i="95"/>
  <c r="V59" i="95"/>
  <c r="V51" i="95"/>
  <c r="V39" i="95"/>
  <c r="V52" i="95"/>
  <c r="V40" i="95"/>
  <c r="V67" i="95"/>
  <c r="V63" i="95"/>
  <c r="V43" i="95"/>
  <c r="V35" i="95"/>
  <c r="V66" i="95"/>
  <c r="V62" i="95"/>
  <c r="V54" i="95"/>
  <c r="V30" i="95"/>
  <c r="V60" i="95"/>
  <c r="V33" i="95"/>
  <c r="V28" i="95"/>
  <c r="V17" i="95"/>
  <c r="V45" i="95"/>
  <c r="V73" i="95"/>
  <c r="V50" i="95"/>
  <c r="V42" i="95"/>
  <c r="V26" i="95"/>
  <c r="V53" i="95"/>
  <c r="V34" i="95"/>
  <c r="V24" i="95"/>
  <c r="V18" i="95"/>
  <c r="V31" i="95"/>
  <c r="V48" i="95"/>
  <c r="V20" i="95"/>
  <c r="V72" i="95"/>
  <c r="V37" i="95"/>
  <c r="V29" i="95"/>
  <c r="V27" i="95"/>
  <c r="V22" i="95"/>
  <c r="T20" i="95"/>
  <c r="V23" i="95"/>
  <c r="V16" i="95"/>
  <c r="V38" i="95"/>
  <c r="V61" i="95"/>
  <c r="V41" i="95"/>
  <c r="V25" i="95"/>
  <c r="V75" i="95"/>
  <c r="F59" i="94"/>
  <c r="F47" i="94"/>
  <c r="F46" i="94"/>
  <c r="F31" i="94"/>
  <c r="F27" i="94"/>
  <c r="F54" i="94"/>
  <c r="F18" i="94"/>
  <c r="F70" i="94"/>
  <c r="F49" i="94"/>
  <c r="F48" i="94"/>
  <c r="F37" i="94"/>
  <c r="F33" i="94"/>
  <c r="F32" i="94"/>
  <c r="F60" i="94"/>
  <c r="F56" i="94"/>
  <c r="F55" i="94"/>
  <c r="F28" i="94"/>
  <c r="F24" i="94"/>
  <c r="F23" i="94"/>
  <c r="F39" i="94"/>
  <c r="F38" i="94"/>
  <c r="F50" i="94"/>
  <c r="F34" i="94"/>
  <c r="F61" i="94"/>
  <c r="F57" i="94"/>
  <c r="F41" i="94"/>
  <c r="F40" i="94"/>
  <c r="F29" i="94"/>
  <c r="F25" i="94"/>
  <c r="F63" i="94"/>
  <c r="F62" i="94"/>
  <c r="F51" i="94"/>
  <c r="F43" i="94"/>
  <c r="F42" i="94"/>
  <c r="F35" i="94"/>
  <c r="F53" i="94"/>
  <c r="F52" i="94"/>
  <c r="F45" i="94"/>
  <c r="F44" i="94"/>
  <c r="F17" i="94"/>
  <c r="F16" i="94"/>
  <c r="F65" i="94"/>
  <c r="F30" i="94"/>
  <c r="D20" i="94"/>
  <c r="F20" i="94" s="1"/>
  <c r="F36" i="94"/>
  <c r="F58" i="94"/>
  <c r="F22" i="94"/>
  <c r="F66" i="94"/>
  <c r="F26" i="94"/>
  <c r="L12" i="94"/>
  <c r="N12" i="94" s="1"/>
  <c r="Z89" i="92"/>
  <c r="T93" i="92"/>
  <c r="Z16" i="92"/>
  <c r="D73" i="89"/>
  <c r="L20" i="89"/>
  <c r="X16" i="92"/>
  <c r="T21" i="83"/>
  <c r="V31" i="83"/>
  <c r="V17" i="83"/>
  <c r="Z12" i="83"/>
  <c r="V18" i="83"/>
  <c r="V24" i="83"/>
  <c r="V21" i="83"/>
  <c r="V25" i="83"/>
  <c r="V23" i="83"/>
  <c r="V27" i="83"/>
  <c r="V19" i="83"/>
  <c r="F112" i="85"/>
  <c r="F111" i="85"/>
  <c r="F100" i="85"/>
  <c r="F99" i="85"/>
  <c r="F59" i="85"/>
  <c r="F52" i="85"/>
  <c r="F48" i="85"/>
  <c r="F44" i="85"/>
  <c r="F40" i="85"/>
  <c r="F107" i="85"/>
  <c r="F91" i="85"/>
  <c r="F90" i="85"/>
  <c r="F79" i="85"/>
  <c r="F78" i="85"/>
  <c r="F71" i="85"/>
  <c r="D57" i="85"/>
  <c r="F57" i="85" s="1"/>
  <c r="F114" i="85"/>
  <c r="F113" i="85"/>
  <c r="F66" i="85"/>
  <c r="F62" i="85"/>
  <c r="F101" i="85"/>
  <c r="F93" i="85"/>
  <c r="F92" i="85"/>
  <c r="F81" i="85"/>
  <c r="F80" i="85"/>
  <c r="F53" i="85"/>
  <c r="F49" i="85"/>
  <c r="F45" i="85"/>
  <c r="F41" i="85"/>
  <c r="F116" i="85"/>
  <c r="F115" i="85"/>
  <c r="F108" i="85"/>
  <c r="F72" i="85"/>
  <c r="L12" i="85"/>
  <c r="F95" i="85"/>
  <c r="F94" i="85"/>
  <c r="F83" i="85"/>
  <c r="F82" i="85"/>
  <c r="F67" i="85"/>
  <c r="F63" i="85"/>
  <c r="F102" i="85"/>
  <c r="F54" i="85"/>
  <c r="F50" i="85"/>
  <c r="F46" i="85"/>
  <c r="F42" i="85"/>
  <c r="F38" i="85"/>
  <c r="F37" i="85"/>
  <c r="F122" i="85"/>
  <c r="F104" i="85"/>
  <c r="F103" i="85"/>
  <c r="F68" i="85"/>
  <c r="F64" i="85"/>
  <c r="F110" i="85"/>
  <c r="F106" i="85"/>
  <c r="F105" i="85"/>
  <c r="F98" i="85"/>
  <c r="F70" i="85"/>
  <c r="F69" i="85"/>
  <c r="F77" i="85"/>
  <c r="F60" i="85"/>
  <c r="F51" i="85"/>
  <c r="F86" i="85"/>
  <c r="F75" i="85"/>
  <c r="F73" i="85"/>
  <c r="F89" i="85"/>
  <c r="F118" i="85"/>
  <c r="F109" i="85"/>
  <c r="F84" i="85"/>
  <c r="F55" i="85"/>
  <c r="F61" i="85"/>
  <c r="F39" i="85"/>
  <c r="F96" i="85"/>
  <c r="F87" i="85"/>
  <c r="F85" i="85"/>
  <c r="F76" i="85"/>
  <c r="F43" i="85"/>
  <c r="F65" i="85"/>
  <c r="F47" i="85"/>
  <c r="F97" i="85"/>
  <c r="F74" i="85"/>
  <c r="F88" i="85"/>
  <c r="H30" i="86"/>
  <c r="N18" i="86"/>
  <c r="V50" i="79"/>
  <c r="V34" i="79"/>
  <c r="V30" i="79"/>
  <c r="V49" i="79"/>
  <c r="V41" i="79"/>
  <c r="V21" i="79"/>
  <c r="V52" i="79"/>
  <c r="V40" i="79"/>
  <c r="Z12" i="79"/>
  <c r="V51" i="79"/>
  <c r="V43" i="79"/>
  <c r="V35" i="79"/>
  <c r="V31" i="79"/>
  <c r="V42" i="79"/>
  <c r="V22" i="79"/>
  <c r="V18" i="79"/>
  <c r="V63" i="79"/>
  <c r="V53" i="79"/>
  <c r="V45" i="79"/>
  <c r="V37" i="79"/>
  <c r="V62" i="79"/>
  <c r="V44" i="79"/>
  <c r="V36" i="79"/>
  <c r="V32" i="79"/>
  <c r="V28" i="79"/>
  <c r="V61" i="79"/>
  <c r="V55" i="79"/>
  <c r="V27" i="79"/>
  <c r="V23" i="79"/>
  <c r="V19" i="79"/>
  <c r="V60" i="79"/>
  <c r="V54" i="79"/>
  <c r="V46" i="79"/>
  <c r="V38" i="79"/>
  <c r="T25" i="79"/>
  <c r="V25" i="79" s="1"/>
  <c r="V47" i="79"/>
  <c r="V58" i="79"/>
  <c r="V39" i="79"/>
  <c r="V67" i="79"/>
  <c r="V59" i="79"/>
  <c r="V48" i="79"/>
  <c r="V56" i="79"/>
  <c r="V29" i="79"/>
  <c r="V20" i="79"/>
  <c r="V33" i="79"/>
  <c r="F19" i="83"/>
  <c r="F25" i="83"/>
  <c r="F24" i="83"/>
  <c r="D21" i="83"/>
  <c r="F31" i="83"/>
  <c r="F18" i="83"/>
  <c r="F21" i="83"/>
  <c r="F17" i="83"/>
  <c r="F27" i="83"/>
  <c r="L12" i="83"/>
  <c r="N12" i="83" s="1"/>
  <c r="F23" i="83"/>
  <c r="J80" i="73"/>
  <c r="J72" i="73"/>
  <c r="J60" i="73"/>
  <c r="J50" i="73"/>
  <c r="J36" i="73"/>
  <c r="J32" i="73"/>
  <c r="J22" i="73"/>
  <c r="J67" i="73"/>
  <c r="J51" i="73"/>
  <c r="J23" i="73"/>
  <c r="J84" i="73"/>
  <c r="J68" i="73"/>
  <c r="J52" i="73"/>
  <c r="J42" i="73"/>
  <c r="J73" i="73"/>
  <c r="J69" i="73"/>
  <c r="J61" i="73"/>
  <c r="J53" i="73"/>
  <c r="J37" i="73"/>
  <c r="J33" i="73"/>
  <c r="J62" i="73"/>
  <c r="J54" i="73"/>
  <c r="J38" i="73"/>
  <c r="J24" i="73"/>
  <c r="J63" i="73"/>
  <c r="J55" i="73"/>
  <c r="J43" i="73"/>
  <c r="J39" i="73"/>
  <c r="J29" i="73"/>
  <c r="J74" i="73"/>
  <c r="J70" i="73"/>
  <c r="J56" i="73"/>
  <c r="J44" i="73"/>
  <c r="J34" i="73"/>
  <c r="J30" i="73"/>
  <c r="J28" i="73"/>
  <c r="J26" i="73"/>
  <c r="J76" i="73"/>
  <c r="J64" i="73"/>
  <c r="J58" i="73"/>
  <c r="J46" i="73"/>
  <c r="J40" i="73"/>
  <c r="J77" i="73"/>
  <c r="J71" i="73"/>
  <c r="J65" i="73"/>
  <c r="J59" i="73"/>
  <c r="J47" i="73"/>
  <c r="J35" i="73"/>
  <c r="J31" i="73"/>
  <c r="J78" i="73"/>
  <c r="J66" i="73"/>
  <c r="J48" i="73"/>
  <c r="J45" i="73"/>
  <c r="H26" i="73"/>
  <c r="J49" i="73"/>
  <c r="J75" i="73"/>
  <c r="J57" i="73"/>
  <c r="J41" i="73"/>
  <c r="Z16" i="68"/>
  <c r="T61" i="68"/>
  <c r="X16" i="68"/>
  <c r="F106" i="69"/>
  <c r="F105" i="69"/>
  <c r="F86" i="69"/>
  <c r="F113" i="69"/>
  <c r="F112" i="69"/>
  <c r="F97" i="69"/>
  <c r="F96" i="69"/>
  <c r="F81" i="69"/>
  <c r="F77" i="69"/>
  <c r="F88" i="69"/>
  <c r="F87" i="69"/>
  <c r="F68" i="69"/>
  <c r="F64" i="69"/>
  <c r="F60" i="69"/>
  <c r="F56" i="69"/>
  <c r="F52" i="69"/>
  <c r="F115" i="69"/>
  <c r="F114" i="69"/>
  <c r="F107" i="69"/>
  <c r="F99" i="69"/>
  <c r="F98" i="69"/>
  <c r="F83" i="69"/>
  <c r="F82" i="69"/>
  <c r="F90" i="69"/>
  <c r="F89" i="69"/>
  <c r="F78" i="69"/>
  <c r="F74" i="69"/>
  <c r="F73" i="69"/>
  <c r="F118" i="69"/>
  <c r="F109" i="69"/>
  <c r="F108" i="69"/>
  <c r="F101" i="69"/>
  <c r="F100" i="69"/>
  <c r="F72" i="69"/>
  <c r="F65" i="69"/>
  <c r="F61" i="69"/>
  <c r="F57" i="69"/>
  <c r="F53" i="69"/>
  <c r="F49" i="69"/>
  <c r="F48" i="69"/>
  <c r="F122" i="69"/>
  <c r="F117" i="69"/>
  <c r="F92" i="69"/>
  <c r="F91" i="69"/>
  <c r="F84" i="69"/>
  <c r="D70" i="69"/>
  <c r="L12" i="69"/>
  <c r="N12" i="69" s="1"/>
  <c r="F110" i="69"/>
  <c r="F66" i="69"/>
  <c r="F62" i="69"/>
  <c r="F58" i="69"/>
  <c r="F54" i="69"/>
  <c r="F50" i="69"/>
  <c r="F93" i="69"/>
  <c r="F85" i="69"/>
  <c r="F103" i="69"/>
  <c r="F79" i="69"/>
  <c r="F94" i="69"/>
  <c r="F111" i="69"/>
  <c r="F76" i="69"/>
  <c r="F51" i="69"/>
  <c r="F55" i="69"/>
  <c r="F102" i="69"/>
  <c r="F63" i="69"/>
  <c r="F104" i="69"/>
  <c r="F95" i="69"/>
  <c r="F75" i="69"/>
  <c r="F59" i="69"/>
  <c r="F80" i="69"/>
  <c r="F67" i="69"/>
  <c r="X16" i="60"/>
  <c r="P49" i="60"/>
  <c r="D98" i="64"/>
  <c r="L16" i="64"/>
  <c r="P73" i="58"/>
  <c r="X16" i="58"/>
  <c r="D33" i="55"/>
  <c r="L16" i="55"/>
  <c r="R87" i="45"/>
  <c r="R79" i="45"/>
  <c r="R75" i="45"/>
  <c r="R94" i="45"/>
  <c r="R73" i="45"/>
  <c r="R72" i="45"/>
  <c r="R61" i="45"/>
  <c r="R60" i="45"/>
  <c r="R49" i="45"/>
  <c r="R48" i="45"/>
  <c r="R37" i="45"/>
  <c r="R36" i="45"/>
  <c r="R32" i="45"/>
  <c r="R28" i="45"/>
  <c r="P24" i="45"/>
  <c r="R24" i="45" s="1"/>
  <c r="R76" i="45"/>
  <c r="R69" i="45"/>
  <c r="R68" i="45"/>
  <c r="R33" i="45"/>
  <c r="R88" i="45"/>
  <c r="R84" i="45"/>
  <c r="R70" i="45"/>
  <c r="R65" i="45"/>
  <c r="R64" i="45"/>
  <c r="R53" i="45"/>
  <c r="R52" i="45"/>
  <c r="R74" i="45"/>
  <c r="R43" i="45"/>
  <c r="R39" i="45"/>
  <c r="R85" i="45"/>
  <c r="R80" i="45"/>
  <c r="R77" i="45"/>
  <c r="R66" i="45"/>
  <c r="R55" i="45"/>
  <c r="R54" i="45"/>
  <c r="R34" i="45"/>
  <c r="R90" i="45"/>
  <c r="R21" i="45"/>
  <c r="R86" i="45"/>
  <c r="R57" i="45"/>
  <c r="R56" i="45"/>
  <c r="R45" i="45"/>
  <c r="R44" i="45"/>
  <c r="R40" i="45"/>
  <c r="X12" i="45"/>
  <c r="R81" i="45"/>
  <c r="R78" i="45"/>
  <c r="R59" i="45"/>
  <c r="R58" i="45"/>
  <c r="R47" i="45"/>
  <c r="R46" i="45"/>
  <c r="R27" i="45"/>
  <c r="R22" i="45"/>
  <c r="R63" i="45"/>
  <c r="R42" i="45"/>
  <c r="R67" i="45"/>
  <c r="R31" i="45"/>
  <c r="R51" i="45"/>
  <c r="R29" i="45"/>
  <c r="R20" i="45"/>
  <c r="R41" i="45"/>
  <c r="R35" i="45"/>
  <c r="R82" i="45"/>
  <c r="R71" i="45"/>
  <c r="R62" i="45"/>
  <c r="R30" i="45"/>
  <c r="R26" i="45"/>
  <c r="R83" i="45"/>
  <c r="R50" i="45"/>
  <c r="R38" i="45"/>
  <c r="N86" i="33"/>
  <c r="L86" i="33"/>
  <c r="F94" i="24"/>
  <c r="F90" i="24"/>
  <c r="F89" i="24"/>
  <c r="F134" i="24"/>
  <c r="F105" i="24"/>
  <c r="F104" i="24"/>
  <c r="F85" i="24"/>
  <c r="F81" i="24"/>
  <c r="F80" i="24"/>
  <c r="F138" i="24"/>
  <c r="F133" i="24"/>
  <c r="F124" i="24"/>
  <c r="F116" i="24"/>
  <c r="F96" i="24"/>
  <c r="F95" i="24"/>
  <c r="F79" i="24"/>
  <c r="F72" i="24"/>
  <c r="F68" i="24"/>
  <c r="F64" i="24"/>
  <c r="F60" i="24"/>
  <c r="F56" i="24"/>
  <c r="F107" i="24"/>
  <c r="F106" i="24"/>
  <c r="F91" i="24"/>
  <c r="D77" i="24"/>
  <c r="F118" i="24"/>
  <c r="F117" i="24"/>
  <c r="F98" i="24"/>
  <c r="F97" i="24"/>
  <c r="F86" i="24"/>
  <c r="F82" i="24"/>
  <c r="F125" i="24"/>
  <c r="F109" i="24"/>
  <c r="F108" i="24"/>
  <c r="F73" i="24"/>
  <c r="F69" i="24"/>
  <c r="F65" i="24"/>
  <c r="F61" i="24"/>
  <c r="F57" i="24"/>
  <c r="F53" i="24"/>
  <c r="F52" i="24"/>
  <c r="F100" i="24"/>
  <c r="F99" i="24"/>
  <c r="F92" i="24"/>
  <c r="F127" i="24"/>
  <c r="F126" i="24"/>
  <c r="F119" i="24"/>
  <c r="F111" i="24"/>
  <c r="F110" i="24"/>
  <c r="F87" i="24"/>
  <c r="F83" i="24"/>
  <c r="F74" i="24"/>
  <c r="F70" i="24"/>
  <c r="F66" i="24"/>
  <c r="F62" i="24"/>
  <c r="F58" i="24"/>
  <c r="F54" i="24"/>
  <c r="F129" i="24"/>
  <c r="F128" i="24"/>
  <c r="F121" i="24"/>
  <c r="F120" i="24"/>
  <c r="F113" i="24"/>
  <c r="F112" i="24"/>
  <c r="F101" i="24"/>
  <c r="F93" i="24"/>
  <c r="F88" i="24"/>
  <c r="F84" i="24"/>
  <c r="F130" i="24"/>
  <c r="F123" i="24"/>
  <c r="F114" i="24"/>
  <c r="F63" i="24"/>
  <c r="F75" i="24"/>
  <c r="F55" i="24"/>
  <c r="F102" i="24"/>
  <c r="F131" i="24"/>
  <c r="F122" i="24"/>
  <c r="F67" i="24"/>
  <c r="F115" i="24"/>
  <c r="F59" i="24"/>
  <c r="L12" i="24"/>
  <c r="F71" i="24"/>
  <c r="F103" i="24"/>
  <c r="P106" i="21"/>
  <c r="R285" i="18"/>
  <c r="R267" i="18"/>
  <c r="R266" i="18"/>
  <c r="R238" i="18"/>
  <c r="R227" i="18"/>
  <c r="R226" i="18"/>
  <c r="R202" i="18"/>
  <c r="R198" i="18"/>
  <c r="R284" i="18"/>
  <c r="R249" i="18"/>
  <c r="R218" i="18"/>
  <c r="R217" i="18"/>
  <c r="R210" i="18"/>
  <c r="R209" i="18"/>
  <c r="R193" i="18"/>
  <c r="R189" i="18"/>
  <c r="R290" i="18"/>
  <c r="R283" i="18"/>
  <c r="R268" i="18"/>
  <c r="R260" i="18"/>
  <c r="R256" i="18"/>
  <c r="R244" i="18"/>
  <c r="R229" i="18"/>
  <c r="R228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82" i="18"/>
  <c r="R239" i="18"/>
  <c r="R220" i="18"/>
  <c r="R219" i="18"/>
  <c r="R212" i="18"/>
  <c r="R211" i="18"/>
  <c r="R203" i="18"/>
  <c r="R199" i="18"/>
  <c r="R281" i="18"/>
  <c r="R251" i="18"/>
  <c r="R250" i="18"/>
  <c r="R231" i="18"/>
  <c r="R230" i="18"/>
  <c r="R194" i="18"/>
  <c r="R190" i="18"/>
  <c r="R280" i="18"/>
  <c r="R269" i="18"/>
  <c r="R262" i="18"/>
  <c r="R261" i="18"/>
  <c r="R257" i="18"/>
  <c r="R246" i="18"/>
  <c r="R245" i="18"/>
  <c r="R222" i="18"/>
  <c r="R221" i="18"/>
  <c r="R213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279" i="18"/>
  <c r="R252" i="18"/>
  <c r="R240" i="18"/>
  <c r="R233" i="18"/>
  <c r="R232" i="18"/>
  <c r="R205" i="18"/>
  <c r="R204" i="18"/>
  <c r="R200" i="18"/>
  <c r="R125" i="18"/>
  <c r="X12" i="18"/>
  <c r="Z12" i="18" s="1"/>
  <c r="R278" i="18"/>
  <c r="R263" i="18"/>
  <c r="R247" i="18"/>
  <c r="R224" i="18"/>
  <c r="R223" i="18"/>
  <c r="R195" i="18"/>
  <c r="R191" i="18"/>
  <c r="R277" i="18"/>
  <c r="R271" i="18"/>
  <c r="R270" i="18"/>
  <c r="R258" i="18"/>
  <c r="R235" i="18"/>
  <c r="R234" i="18"/>
  <c r="R215" i="18"/>
  <c r="R214" i="18"/>
  <c r="R207" i="18"/>
  <c r="R206" i="18"/>
  <c r="R187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76" i="18"/>
  <c r="R254" i="18"/>
  <c r="R253" i="18"/>
  <c r="R242" i="18"/>
  <c r="R241" i="18"/>
  <c r="R225" i="18"/>
  <c r="R201" i="18"/>
  <c r="R186" i="18"/>
  <c r="R275" i="18"/>
  <c r="R272" i="18"/>
  <c r="R265" i="18"/>
  <c r="R264" i="18"/>
  <c r="R248" i="18"/>
  <c r="R237" i="18"/>
  <c r="R236" i="18"/>
  <c r="R216" i="18"/>
  <c r="R208" i="18"/>
  <c r="R197" i="18"/>
  <c r="R196" i="18"/>
  <c r="R192" i="18"/>
  <c r="R188" i="18"/>
  <c r="P184" i="18"/>
  <c r="R184" i="18" s="1"/>
  <c r="R286" i="18"/>
  <c r="R167" i="18"/>
  <c r="R155" i="18"/>
  <c r="R143" i="18"/>
  <c r="R131" i="18"/>
  <c r="R171" i="18"/>
  <c r="R255" i="18"/>
  <c r="R243" i="18"/>
  <c r="R159" i="18"/>
  <c r="R274" i="18"/>
  <c r="R147" i="18"/>
  <c r="R135" i="18"/>
  <c r="R175" i="18"/>
  <c r="R259" i="18"/>
  <c r="R163" i="18"/>
  <c r="R179" i="18"/>
  <c r="R151" i="18"/>
  <c r="R127" i="18"/>
  <c r="R139" i="18"/>
  <c r="H92" i="9"/>
  <c r="N16" i="9"/>
  <c r="Z22" i="6"/>
  <c r="T26" i="6"/>
  <c r="D26" i="6"/>
  <c r="L22" i="6"/>
  <c r="T27" i="113"/>
  <c r="Z18" i="113"/>
  <c r="H27" i="113"/>
  <c r="N18" i="113"/>
  <c r="L18" i="47"/>
  <c r="D27" i="47"/>
  <c r="X18" i="53"/>
  <c r="P27" i="53"/>
  <c r="T27" i="43"/>
  <c r="Z18" i="43"/>
  <c r="N18" i="38"/>
  <c r="H27" i="38"/>
  <c r="X18" i="37"/>
  <c r="P27" i="37"/>
  <c r="P27" i="22"/>
  <c r="X18" i="22"/>
  <c r="Z18" i="25"/>
  <c r="T27" i="25"/>
  <c r="X18" i="17"/>
  <c r="P27" i="17"/>
  <c r="H27" i="5"/>
  <c r="N18" i="5"/>
  <c r="H27" i="10"/>
  <c r="N18" i="10"/>
  <c r="H54" i="105"/>
  <c r="T50" i="99"/>
  <c r="Z19" i="99"/>
  <c r="V66" i="89"/>
  <c r="V54" i="89"/>
  <c r="V46" i="89"/>
  <c r="V30" i="89"/>
  <c r="V26" i="89"/>
  <c r="V65" i="89"/>
  <c r="V61" i="89"/>
  <c r="V45" i="89"/>
  <c r="V17" i="89"/>
  <c r="V68" i="89"/>
  <c r="V56" i="89"/>
  <c r="V48" i="89"/>
  <c r="V36" i="89"/>
  <c r="V32" i="89"/>
  <c r="V67" i="89"/>
  <c r="V55" i="89"/>
  <c r="V47" i="89"/>
  <c r="V31" i="89"/>
  <c r="V27" i="89"/>
  <c r="V23" i="89"/>
  <c r="V62" i="89"/>
  <c r="V50" i="89"/>
  <c r="V38" i="89"/>
  <c r="V22" i="89"/>
  <c r="V18" i="89"/>
  <c r="V71" i="89"/>
  <c r="V69" i="89"/>
  <c r="V57" i="89"/>
  <c r="V49" i="89"/>
  <c r="V37" i="89"/>
  <c r="V33" i="89"/>
  <c r="T20" i="89"/>
  <c r="V20" i="89" s="1"/>
  <c r="V52" i="89"/>
  <c r="V40" i="89"/>
  <c r="V28" i="89"/>
  <c r="V24" i="89"/>
  <c r="V58" i="89"/>
  <c r="V42" i="89"/>
  <c r="V34" i="89"/>
  <c r="V64" i="89"/>
  <c r="V60" i="89"/>
  <c r="V44" i="89"/>
  <c r="V16" i="89"/>
  <c r="V43" i="89"/>
  <c r="V35" i="89"/>
  <c r="V25" i="89"/>
  <c r="V39" i="89"/>
  <c r="V75" i="89"/>
  <c r="V41" i="89"/>
  <c r="V53" i="89"/>
  <c r="V51" i="89"/>
  <c r="V59" i="89"/>
  <c r="V29" i="89"/>
  <c r="V63" i="89"/>
  <c r="H123" i="42"/>
  <c r="J302" i="3"/>
  <c r="J284" i="3"/>
  <c r="J274" i="3"/>
  <c r="J258" i="3"/>
  <c r="J246" i="3"/>
  <c r="J238" i="3"/>
  <c r="J222" i="3"/>
  <c r="J210" i="3"/>
  <c r="J206" i="3"/>
  <c r="J202" i="3"/>
  <c r="J200" i="3"/>
  <c r="J301" i="3"/>
  <c r="J285" i="3"/>
  <c r="J275" i="3"/>
  <c r="J269" i="3"/>
  <c r="J247" i="3"/>
  <c r="J239" i="3"/>
  <c r="J300" i="3"/>
  <c r="J292" i="3"/>
  <c r="J280" i="3"/>
  <c r="J276" i="3"/>
  <c r="J264" i="3"/>
  <c r="J248" i="3"/>
  <c r="J240" i="3"/>
  <c r="J230" i="3"/>
  <c r="J216" i="3"/>
  <c r="J212" i="3"/>
  <c r="J299" i="3"/>
  <c r="J293" i="3"/>
  <c r="J259" i="3"/>
  <c r="J249" i="3"/>
  <c r="J231" i="3"/>
  <c r="J223" i="3"/>
  <c r="J207" i="3"/>
  <c r="J203" i="3"/>
  <c r="J137" i="3"/>
  <c r="J298" i="3"/>
  <c r="J294" i="3"/>
  <c r="J286" i="3"/>
  <c r="J270" i="3"/>
  <c r="J250" i="3"/>
  <c r="J224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309" i="3"/>
  <c r="J297" i="3"/>
  <c r="J287" i="3"/>
  <c r="J281" i="3"/>
  <c r="J277" i="3"/>
  <c r="J265" i="3"/>
  <c r="J251" i="3"/>
  <c r="J241" i="3"/>
  <c r="J225" i="3"/>
  <c r="J217" i="3"/>
  <c r="J213" i="3"/>
  <c r="J308" i="3"/>
  <c r="J296" i="3"/>
  <c r="J288" i="3"/>
  <c r="J266" i="3"/>
  <c r="J260" i="3"/>
  <c r="J252" i="3"/>
  <c r="J242" i="3"/>
  <c r="J232" i="3"/>
  <c r="J226" i="3"/>
  <c r="J208" i="3"/>
  <c r="J204" i="3"/>
  <c r="J313" i="3"/>
  <c r="J307" i="3"/>
  <c r="J289" i="3"/>
  <c r="J271" i="3"/>
  <c r="J267" i="3"/>
  <c r="J253" i="3"/>
  <c r="J243" i="3"/>
  <c r="J233" i="3"/>
  <c r="J306" i="3"/>
  <c r="J290" i="3"/>
  <c r="J282" i="3"/>
  <c r="J278" i="3"/>
  <c r="J272" i="3"/>
  <c r="J254" i="3"/>
  <c r="J234" i="3"/>
  <c r="J218" i="3"/>
  <c r="J214" i="3"/>
  <c r="J318" i="3"/>
  <c r="J317" i="3"/>
  <c r="J305" i="3"/>
  <c r="J273" i="3"/>
  <c r="J261" i="3"/>
  <c r="J255" i="3"/>
  <c r="J235" i="3"/>
  <c r="J219" i="3"/>
  <c r="J209" i="3"/>
  <c r="J205" i="3"/>
  <c r="J304" i="3"/>
  <c r="J268" i="3"/>
  <c r="J262" i="3"/>
  <c r="J256" i="3"/>
  <c r="J244" i="3"/>
  <c r="J236" i="3"/>
  <c r="J228" i="3"/>
  <c r="J220" i="3"/>
  <c r="J196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279" i="3"/>
  <c r="J245" i="3"/>
  <c r="J227" i="3"/>
  <c r="J185" i="3"/>
  <c r="J165" i="3"/>
  <c r="J147" i="3"/>
  <c r="J187" i="3"/>
  <c r="J167" i="3"/>
  <c r="J149" i="3"/>
  <c r="J291" i="3"/>
  <c r="J229" i="3"/>
  <c r="J169" i="3"/>
  <c r="J151" i="3"/>
  <c r="J263" i="3"/>
  <c r="J237" i="3"/>
  <c r="J189" i="3"/>
  <c r="J171" i="3"/>
  <c r="J153" i="3"/>
  <c r="J193" i="3"/>
  <c r="J191" i="3"/>
  <c r="J173" i="3"/>
  <c r="J155" i="3"/>
  <c r="J257" i="3"/>
  <c r="J195" i="3"/>
  <c r="J175" i="3"/>
  <c r="J303" i="3"/>
  <c r="J283" i="3"/>
  <c r="J211" i="3"/>
  <c r="J157" i="3"/>
  <c r="J201" i="3"/>
  <c r="H198" i="3"/>
  <c r="J198" i="3" s="1"/>
  <c r="J177" i="3"/>
  <c r="J159" i="3"/>
  <c r="J145" i="3"/>
  <c r="J221" i="3"/>
  <c r="J179" i="3"/>
  <c r="J139" i="3"/>
  <c r="J215" i="3"/>
  <c r="J181" i="3"/>
  <c r="J161" i="3"/>
  <c r="J141" i="3"/>
  <c r="J183" i="3"/>
  <c r="J163" i="3"/>
  <c r="J143" i="3"/>
  <c r="Z18" i="8"/>
  <c r="T27" i="8"/>
  <c r="L68" i="110"/>
  <c r="N68" i="110" s="1"/>
  <c r="R81" i="106"/>
  <c r="R73" i="106"/>
  <c r="R69" i="106"/>
  <c r="R37" i="106"/>
  <c r="R83" i="106"/>
  <c r="R64" i="106"/>
  <c r="R57" i="106"/>
  <c r="R56" i="106"/>
  <c r="R45" i="106"/>
  <c r="R44" i="106"/>
  <c r="R32" i="106"/>
  <c r="R28" i="106"/>
  <c r="R74" i="106"/>
  <c r="R70" i="106"/>
  <c r="R59" i="106"/>
  <c r="R58" i="106"/>
  <c r="R47" i="106"/>
  <c r="R46" i="106"/>
  <c r="R38" i="106"/>
  <c r="R23" i="106"/>
  <c r="R87" i="106"/>
  <c r="R65" i="106"/>
  <c r="R34" i="106"/>
  <c r="R33" i="106"/>
  <c r="R60" i="106"/>
  <c r="R49" i="106"/>
  <c r="R48" i="106"/>
  <c r="R76" i="106"/>
  <c r="R75" i="106"/>
  <c r="R71" i="106"/>
  <c r="R39" i="106"/>
  <c r="R35" i="106"/>
  <c r="R67" i="106"/>
  <c r="R66" i="106"/>
  <c r="R51" i="106"/>
  <c r="R50" i="106"/>
  <c r="R30" i="106"/>
  <c r="R26" i="106"/>
  <c r="R80" i="106"/>
  <c r="R79" i="106"/>
  <c r="R31" i="106"/>
  <c r="R27" i="106"/>
  <c r="R63" i="106"/>
  <c r="R62" i="106"/>
  <c r="R55" i="106"/>
  <c r="R54" i="106"/>
  <c r="R17" i="106"/>
  <c r="R29" i="106"/>
  <c r="R19" i="106"/>
  <c r="X12" i="106"/>
  <c r="R42" i="106"/>
  <c r="R36" i="106"/>
  <c r="R53" i="106"/>
  <c r="R77" i="106"/>
  <c r="R68" i="106"/>
  <c r="R61" i="106"/>
  <c r="R40" i="106"/>
  <c r="R24" i="106"/>
  <c r="R43" i="106"/>
  <c r="R18" i="106"/>
  <c r="R78" i="106"/>
  <c r="R41" i="106"/>
  <c r="P21" i="106"/>
  <c r="R21" i="106" s="1"/>
  <c r="R52" i="106"/>
  <c r="R25" i="106"/>
  <c r="R72" i="106"/>
  <c r="J21" i="105"/>
  <c r="R76" i="102"/>
  <c r="R75" i="102"/>
  <c r="R70" i="102"/>
  <c r="R58" i="102"/>
  <c r="R47" i="102"/>
  <c r="R46" i="102"/>
  <c r="R34" i="102"/>
  <c r="R30" i="102"/>
  <c r="R78" i="102"/>
  <c r="R77" i="102"/>
  <c r="R66" i="102"/>
  <c r="R65" i="102"/>
  <c r="R26" i="102"/>
  <c r="R82" i="102"/>
  <c r="R79" i="102"/>
  <c r="R71" i="102"/>
  <c r="R67" i="102"/>
  <c r="R59" i="102"/>
  <c r="R81" i="102"/>
  <c r="R51" i="102"/>
  <c r="R50" i="102"/>
  <c r="R41" i="102"/>
  <c r="R37" i="102"/>
  <c r="R86" i="102"/>
  <c r="R72" i="102"/>
  <c r="R68" i="102"/>
  <c r="R61" i="102"/>
  <c r="R60" i="102"/>
  <c r="R53" i="102"/>
  <c r="R52" i="102"/>
  <c r="R74" i="102"/>
  <c r="R73" i="102"/>
  <c r="R69" i="102"/>
  <c r="R44" i="102"/>
  <c r="R35" i="102"/>
  <c r="R27" i="102"/>
  <c r="R57" i="102"/>
  <c r="R54" i="102"/>
  <c r="R48" i="102"/>
  <c r="R45" i="102"/>
  <c r="R36" i="102"/>
  <c r="R64" i="102"/>
  <c r="R39" i="102"/>
  <c r="R21" i="102"/>
  <c r="R55" i="102"/>
  <c r="R33" i="102"/>
  <c r="R28" i="102"/>
  <c r="R49" i="102"/>
  <c r="R42" i="102"/>
  <c r="R62" i="102"/>
  <c r="R31" i="102"/>
  <c r="R40" i="102"/>
  <c r="P23" i="102"/>
  <c r="R43" i="102"/>
  <c r="R25" i="102"/>
  <c r="R19" i="102"/>
  <c r="R56" i="102"/>
  <c r="R32" i="102"/>
  <c r="R29" i="102"/>
  <c r="R38" i="102"/>
  <c r="R20" i="102"/>
  <c r="R63" i="102"/>
  <c r="X12" i="102"/>
  <c r="Z12" i="102" s="1"/>
  <c r="F62" i="102"/>
  <c r="F61" i="102"/>
  <c r="F54" i="102"/>
  <c r="F53" i="102"/>
  <c r="F42" i="102"/>
  <c r="F38" i="102"/>
  <c r="F73" i="102"/>
  <c r="F69" i="102"/>
  <c r="F33" i="102"/>
  <c r="F29" i="102"/>
  <c r="F75" i="102"/>
  <c r="F74" i="102"/>
  <c r="F70" i="102"/>
  <c r="F58" i="102"/>
  <c r="F57" i="102"/>
  <c r="F77" i="102"/>
  <c r="F76" i="102"/>
  <c r="F65" i="102"/>
  <c r="F21" i="102"/>
  <c r="F48" i="102"/>
  <c r="F47" i="102"/>
  <c r="F82" i="102"/>
  <c r="F86" i="102"/>
  <c r="F43" i="102"/>
  <c r="D23" i="102"/>
  <c r="L12" i="102"/>
  <c r="F63" i="102"/>
  <c r="F56" i="102"/>
  <c r="F50" i="102"/>
  <c r="F25" i="102"/>
  <c r="F19" i="102"/>
  <c r="F32" i="102"/>
  <c r="F26" i="102"/>
  <c r="F79" i="102"/>
  <c r="F71" i="102"/>
  <c r="F59" i="102"/>
  <c r="F44" i="102"/>
  <c r="F41" i="102"/>
  <c r="F20" i="102"/>
  <c r="F68" i="102"/>
  <c r="F51" i="102"/>
  <c r="F35" i="102"/>
  <c r="F27" i="102"/>
  <c r="F66" i="102"/>
  <c r="F30" i="102"/>
  <c r="F64" i="102"/>
  <c r="F45" i="102"/>
  <c r="F39" i="102"/>
  <c r="F36" i="102"/>
  <c r="F55" i="102"/>
  <c r="F52" i="102"/>
  <c r="F28" i="102"/>
  <c r="F78" i="102"/>
  <c r="F40" i="102"/>
  <c r="F37" i="102"/>
  <c r="F31" i="102"/>
  <c r="F81" i="102"/>
  <c r="F67" i="102"/>
  <c r="F34" i="102"/>
  <c r="F23" i="102"/>
  <c r="F60" i="102"/>
  <c r="F72" i="102"/>
  <c r="F46" i="102"/>
  <c r="F49" i="102"/>
  <c r="D90" i="98"/>
  <c r="R78" i="98"/>
  <c r="R77" i="98"/>
  <c r="R73" i="98"/>
  <c r="R61" i="98"/>
  <c r="R54" i="98"/>
  <c r="R53" i="98"/>
  <c r="R68" i="98"/>
  <c r="R45" i="98"/>
  <c r="R44" i="98"/>
  <c r="R36" i="98"/>
  <c r="X12" i="98"/>
  <c r="R80" i="98"/>
  <c r="R79" i="98"/>
  <c r="R56" i="98"/>
  <c r="R55" i="98"/>
  <c r="R32" i="98"/>
  <c r="R31" i="98"/>
  <c r="R27" i="98"/>
  <c r="R74" i="98"/>
  <c r="R63" i="98"/>
  <c r="R62" i="98"/>
  <c r="R46" i="98"/>
  <c r="R84" i="98"/>
  <c r="R81" i="98"/>
  <c r="R70" i="98"/>
  <c r="R69" i="98"/>
  <c r="R57" i="98"/>
  <c r="R37" i="98"/>
  <c r="R33" i="98"/>
  <c r="R22" i="98"/>
  <c r="R83" i="98"/>
  <c r="R64" i="98"/>
  <c r="R28" i="98"/>
  <c r="R24" i="98"/>
  <c r="P20" i="98"/>
  <c r="R20" i="98" s="1"/>
  <c r="R75" i="98"/>
  <c r="R71" i="98"/>
  <c r="R48" i="98"/>
  <c r="R47" i="98"/>
  <c r="R88" i="98"/>
  <c r="R59" i="98"/>
  <c r="R58" i="98"/>
  <c r="R39" i="98"/>
  <c r="R38" i="98"/>
  <c r="R34" i="98"/>
  <c r="R65" i="98"/>
  <c r="R50" i="98"/>
  <c r="R49" i="98"/>
  <c r="R52" i="98"/>
  <c r="R51" i="98"/>
  <c r="R35" i="98"/>
  <c r="R16" i="98"/>
  <c r="R26" i="98"/>
  <c r="R60" i="98"/>
  <c r="R76" i="98"/>
  <c r="R66" i="98"/>
  <c r="R18" i="98"/>
  <c r="R42" i="98"/>
  <c r="R29" i="98"/>
  <c r="R25" i="98"/>
  <c r="R40" i="98"/>
  <c r="R67" i="98"/>
  <c r="R41" i="98"/>
  <c r="R17" i="98"/>
  <c r="R72" i="98"/>
  <c r="R43" i="98"/>
  <c r="R30" i="98"/>
  <c r="R23" i="98"/>
  <c r="D50" i="99"/>
  <c r="L19" i="99"/>
  <c r="D93" i="92"/>
  <c r="L16" i="92"/>
  <c r="X12" i="89"/>
  <c r="Z12" i="89" s="1"/>
  <c r="P93" i="92"/>
  <c r="H29" i="83"/>
  <c r="H83" i="88"/>
  <c r="X20" i="84"/>
  <c r="P86" i="84"/>
  <c r="R20" i="84"/>
  <c r="F23" i="79"/>
  <c r="F19" i="79"/>
  <c r="F18" i="79"/>
  <c r="F63" i="79"/>
  <c r="F54" i="79"/>
  <c r="F46" i="79"/>
  <c r="F45" i="79"/>
  <c r="F38" i="79"/>
  <c r="F37" i="79"/>
  <c r="F67" i="79"/>
  <c r="F62" i="79"/>
  <c r="F33" i="79"/>
  <c r="F29" i="79"/>
  <c r="F28" i="79"/>
  <c r="F61" i="79"/>
  <c r="F56" i="79"/>
  <c r="F55" i="79"/>
  <c r="F27" i="79"/>
  <c r="F20" i="79"/>
  <c r="F60" i="79"/>
  <c r="F47" i="79"/>
  <c r="F39" i="79"/>
  <c r="D25" i="79"/>
  <c r="F25" i="79" s="1"/>
  <c r="F59" i="79"/>
  <c r="F34" i="79"/>
  <c r="F30" i="79"/>
  <c r="F58" i="79"/>
  <c r="F49" i="79"/>
  <c r="F48" i="79"/>
  <c r="F21" i="79"/>
  <c r="F40" i="79"/>
  <c r="L12" i="79"/>
  <c r="N12" i="79" s="1"/>
  <c r="F51" i="79"/>
  <c r="F50" i="79"/>
  <c r="F35" i="79"/>
  <c r="F31" i="79"/>
  <c r="F36" i="79"/>
  <c r="F22" i="79"/>
  <c r="F53" i="79"/>
  <c r="F43" i="79"/>
  <c r="F41" i="79"/>
  <c r="F32" i="79"/>
  <c r="F44" i="79"/>
  <c r="F42" i="79"/>
  <c r="F52" i="79"/>
  <c r="J69" i="84"/>
  <c r="J57" i="84"/>
  <c r="J37" i="84"/>
  <c r="J33" i="84"/>
  <c r="J23" i="84"/>
  <c r="J84" i="84"/>
  <c r="J70" i="84"/>
  <c r="J75" i="84"/>
  <c r="J71" i="84"/>
  <c r="J59" i="84"/>
  <c r="J47" i="84"/>
  <c r="J88" i="84"/>
  <c r="J48" i="84"/>
  <c r="J38" i="84"/>
  <c r="J34" i="84"/>
  <c r="J65" i="84"/>
  <c r="J49" i="84"/>
  <c r="J39" i="84"/>
  <c r="J29" i="84"/>
  <c r="J25" i="84"/>
  <c r="J76" i="84"/>
  <c r="J72" i="84"/>
  <c r="J60" i="84"/>
  <c r="J50" i="84"/>
  <c r="J40" i="84"/>
  <c r="J77" i="84"/>
  <c r="J51" i="84"/>
  <c r="J41" i="84"/>
  <c r="J35" i="84"/>
  <c r="J79" i="84"/>
  <c r="J73" i="84"/>
  <c r="J67" i="84"/>
  <c r="J61" i="84"/>
  <c r="J53" i="84"/>
  <c r="J43" i="84"/>
  <c r="J17" i="84"/>
  <c r="J81" i="84"/>
  <c r="J63" i="84"/>
  <c r="J55" i="84"/>
  <c r="J45" i="84"/>
  <c r="J31" i="84"/>
  <c r="J27" i="84"/>
  <c r="L12" i="84"/>
  <c r="N12" i="84" s="1"/>
  <c r="J62" i="84"/>
  <c r="J32" i="84"/>
  <c r="J74" i="84"/>
  <c r="J20" i="84"/>
  <c r="J80" i="84"/>
  <c r="J36" i="84"/>
  <c r="J30" i="84"/>
  <c r="H20" i="84"/>
  <c r="J82" i="84"/>
  <c r="J78" i="84"/>
  <c r="J58" i="84"/>
  <c r="J28" i="84"/>
  <c r="J26" i="84"/>
  <c r="J44" i="84"/>
  <c r="J24" i="84"/>
  <c r="J56" i="84"/>
  <c r="J46" i="84"/>
  <c r="J42" i="84"/>
  <c r="J22" i="84"/>
  <c r="J54" i="84"/>
  <c r="J16" i="84"/>
  <c r="J64" i="84"/>
  <c r="J68" i="84"/>
  <c r="J66" i="84"/>
  <c r="J18" i="84"/>
  <c r="J52" i="84"/>
  <c r="J113" i="85"/>
  <c r="J107" i="85"/>
  <c r="J91" i="85"/>
  <c r="J79" i="85"/>
  <c r="J71" i="85"/>
  <c r="J114" i="85"/>
  <c r="J92" i="85"/>
  <c r="J80" i="85"/>
  <c r="J66" i="85"/>
  <c r="J62" i="85"/>
  <c r="J115" i="85"/>
  <c r="J101" i="85"/>
  <c r="J93" i="85"/>
  <c r="J81" i="85"/>
  <c r="J53" i="85"/>
  <c r="J49" i="85"/>
  <c r="J45" i="85"/>
  <c r="J41" i="85"/>
  <c r="J116" i="85"/>
  <c r="J108" i="85"/>
  <c r="J94" i="85"/>
  <c r="J82" i="85"/>
  <c r="J72" i="85"/>
  <c r="N12" i="85"/>
  <c r="J95" i="85"/>
  <c r="J83" i="85"/>
  <c r="J67" i="85"/>
  <c r="J63" i="85"/>
  <c r="J37" i="85"/>
  <c r="J118" i="85"/>
  <c r="J102" i="85"/>
  <c r="J96" i="85"/>
  <c r="J84" i="85"/>
  <c r="J54" i="85"/>
  <c r="J50" i="85"/>
  <c r="J46" i="85"/>
  <c r="J42" i="85"/>
  <c r="J38" i="85"/>
  <c r="J109" i="85"/>
  <c r="J103" i="85"/>
  <c r="J97" i="85"/>
  <c r="J85" i="85"/>
  <c r="J73" i="85"/>
  <c r="J105" i="85"/>
  <c r="J87" i="85"/>
  <c r="J75" i="85"/>
  <c r="J69" i="85"/>
  <c r="J55" i="85"/>
  <c r="J51" i="85"/>
  <c r="J47" i="85"/>
  <c r="J43" i="85"/>
  <c r="J39" i="85"/>
  <c r="J111" i="85"/>
  <c r="J99" i="85"/>
  <c r="J89" i="85"/>
  <c r="J77" i="85"/>
  <c r="J65" i="85"/>
  <c r="J61" i="85"/>
  <c r="J59" i="85"/>
  <c r="J86" i="85"/>
  <c r="J40" i="85"/>
  <c r="J64" i="85"/>
  <c r="J44" i="85"/>
  <c r="J78" i="85"/>
  <c r="J100" i="85"/>
  <c r="J98" i="85"/>
  <c r="J76" i="85"/>
  <c r="J70" i="85"/>
  <c r="J68" i="85"/>
  <c r="J48" i="85"/>
  <c r="J122" i="85"/>
  <c r="J74" i="85"/>
  <c r="J106" i="85"/>
  <c r="J104" i="85"/>
  <c r="J90" i="85"/>
  <c r="J52" i="85"/>
  <c r="H57" i="85"/>
  <c r="J60" i="85"/>
  <c r="J88" i="85"/>
  <c r="J110" i="85"/>
  <c r="J112" i="85"/>
  <c r="T24" i="87"/>
  <c r="Z16" i="87"/>
  <c r="F68" i="76"/>
  <c r="F64" i="76"/>
  <c r="F63" i="76"/>
  <c r="F44" i="76"/>
  <c r="L12" i="76"/>
  <c r="N12" i="76" s="1"/>
  <c r="F55" i="76"/>
  <c r="F54" i="76"/>
  <c r="F39" i="76"/>
  <c r="F35" i="76"/>
  <c r="F70" i="76"/>
  <c r="F69" i="76"/>
  <c r="F65" i="76"/>
  <c r="F57" i="76"/>
  <c r="F56" i="76"/>
  <c r="F45" i="76"/>
  <c r="F72" i="76"/>
  <c r="F71" i="76"/>
  <c r="F40" i="76"/>
  <c r="F36" i="76"/>
  <c r="F59" i="76"/>
  <c r="F58" i="76"/>
  <c r="F47" i="76"/>
  <c r="F46" i="76"/>
  <c r="F75" i="76"/>
  <c r="F66" i="76"/>
  <c r="F42" i="76"/>
  <c r="F41" i="76"/>
  <c r="F79" i="76"/>
  <c r="F74" i="76"/>
  <c r="F49" i="76"/>
  <c r="F48" i="76"/>
  <c r="F37" i="76"/>
  <c r="F33" i="76"/>
  <c r="F32" i="76"/>
  <c r="F62" i="76"/>
  <c r="F61" i="76"/>
  <c r="F38" i="76"/>
  <c r="F34" i="76"/>
  <c r="F67" i="76"/>
  <c r="F53" i="76"/>
  <c r="D29" i="76"/>
  <c r="F60" i="76"/>
  <c r="F51" i="76"/>
  <c r="F27" i="76"/>
  <c r="F52" i="76"/>
  <c r="F50" i="76"/>
  <c r="F31" i="76"/>
  <c r="F43" i="76"/>
  <c r="J116" i="71"/>
  <c r="J110" i="71"/>
  <c r="J96" i="71"/>
  <c r="J88" i="71"/>
  <c r="J78" i="71"/>
  <c r="J68" i="71"/>
  <c r="J64" i="71"/>
  <c r="J115" i="71"/>
  <c r="J111" i="71"/>
  <c r="J103" i="71"/>
  <c r="J97" i="71"/>
  <c r="J79" i="71"/>
  <c r="J55" i="71"/>
  <c r="J51" i="71"/>
  <c r="J47" i="71"/>
  <c r="J43" i="71"/>
  <c r="J120" i="71"/>
  <c r="J114" i="71"/>
  <c r="J98" i="71"/>
  <c r="J80" i="71"/>
  <c r="J74" i="71"/>
  <c r="J113" i="71"/>
  <c r="J89" i="71"/>
  <c r="J81" i="71"/>
  <c r="J69" i="71"/>
  <c r="J65" i="71"/>
  <c r="J104" i="71"/>
  <c r="J90" i="71"/>
  <c r="J56" i="71"/>
  <c r="J52" i="71"/>
  <c r="J48" i="71"/>
  <c r="J44" i="71"/>
  <c r="J105" i="71"/>
  <c r="J99" i="71"/>
  <c r="J91" i="71"/>
  <c r="J75" i="71"/>
  <c r="J106" i="71"/>
  <c r="J100" i="71"/>
  <c r="J92" i="71"/>
  <c r="J82" i="71"/>
  <c r="J70" i="71"/>
  <c r="J66" i="71"/>
  <c r="J94" i="71"/>
  <c r="J84" i="71"/>
  <c r="J76" i="71"/>
  <c r="J62" i="71"/>
  <c r="J108" i="71"/>
  <c r="J102" i="71"/>
  <c r="J86" i="71"/>
  <c r="J72" i="71"/>
  <c r="H59" i="71"/>
  <c r="J54" i="71"/>
  <c r="J50" i="71"/>
  <c r="J46" i="71"/>
  <c r="J42" i="71"/>
  <c r="J53" i="71"/>
  <c r="J41" i="71"/>
  <c r="J87" i="71"/>
  <c r="J71" i="71"/>
  <c r="J85" i="71"/>
  <c r="J73" i="71"/>
  <c r="J57" i="71"/>
  <c r="J61" i="71"/>
  <c r="J45" i="71"/>
  <c r="J93" i="71"/>
  <c r="J83" i="71"/>
  <c r="J63" i="71"/>
  <c r="J95" i="71"/>
  <c r="J109" i="71"/>
  <c r="J107" i="71"/>
  <c r="J49" i="71"/>
  <c r="J101" i="71"/>
  <c r="J67" i="71"/>
  <c r="J77" i="71"/>
  <c r="P33" i="55"/>
  <c r="X16" i="55"/>
  <c r="H69" i="59"/>
  <c r="T80" i="56"/>
  <c r="R57" i="51"/>
  <c r="R52" i="51"/>
  <c r="R48" i="51"/>
  <c r="R44" i="51"/>
  <c r="R40" i="51"/>
  <c r="R95" i="51"/>
  <c r="R94" i="51"/>
  <c r="R86" i="51"/>
  <c r="R85" i="51"/>
  <c r="R74" i="51"/>
  <c r="R73" i="51"/>
  <c r="R97" i="51"/>
  <c r="R96" i="51"/>
  <c r="R68" i="51"/>
  <c r="R105" i="51"/>
  <c r="R99" i="51"/>
  <c r="R98" i="51"/>
  <c r="R50" i="51"/>
  <c r="R46" i="51"/>
  <c r="R42" i="51"/>
  <c r="R81" i="51"/>
  <c r="R62" i="51"/>
  <c r="R56" i="51"/>
  <c r="R45" i="51"/>
  <c r="R103" i="51"/>
  <c r="R93" i="51"/>
  <c r="R82" i="51"/>
  <c r="R71" i="51"/>
  <c r="R65" i="51"/>
  <c r="R51" i="51"/>
  <c r="R104" i="51"/>
  <c r="R60" i="51"/>
  <c r="R43" i="51"/>
  <c r="X12" i="51"/>
  <c r="R91" i="51"/>
  <c r="R83" i="51"/>
  <c r="R79" i="51"/>
  <c r="R72" i="51"/>
  <c r="R69" i="51"/>
  <c r="R63" i="51"/>
  <c r="R110" i="51"/>
  <c r="R75" i="51"/>
  <c r="R49" i="51"/>
  <c r="R106" i="51"/>
  <c r="R100" i="51"/>
  <c r="R87" i="51"/>
  <c r="R84" i="51"/>
  <c r="R76" i="51"/>
  <c r="R66" i="51"/>
  <c r="R58" i="51"/>
  <c r="R41" i="51"/>
  <c r="R38" i="51"/>
  <c r="R92" i="51"/>
  <c r="R88" i="51"/>
  <c r="R80" i="51"/>
  <c r="R61" i="51"/>
  <c r="R67" i="51"/>
  <c r="R64" i="51"/>
  <c r="R47" i="51"/>
  <c r="R89" i="51"/>
  <c r="R59" i="51"/>
  <c r="R54" i="51"/>
  <c r="R102" i="51"/>
  <c r="R70" i="51"/>
  <c r="R78" i="51"/>
  <c r="R90" i="51"/>
  <c r="R77" i="51"/>
  <c r="P54" i="51"/>
  <c r="R39" i="51"/>
  <c r="F79" i="33"/>
  <c r="F35" i="33"/>
  <c r="F74" i="33"/>
  <c r="F73" i="33"/>
  <c r="F54" i="33"/>
  <c r="F65" i="33"/>
  <c r="F49" i="33"/>
  <c r="F45" i="33"/>
  <c r="F80" i="33"/>
  <c r="F76" i="33"/>
  <c r="F75" i="33"/>
  <c r="F56" i="33"/>
  <c r="F55" i="33"/>
  <c r="F36" i="33"/>
  <c r="F32" i="33"/>
  <c r="F31" i="33"/>
  <c r="F92" i="33"/>
  <c r="F67" i="33"/>
  <c r="F66" i="33"/>
  <c r="F51" i="33"/>
  <c r="F50" i="33"/>
  <c r="F96" i="33"/>
  <c r="F91" i="33"/>
  <c r="F82" i="33"/>
  <c r="F81" i="33"/>
  <c r="F58" i="33"/>
  <c r="F57" i="33"/>
  <c r="F46" i="33"/>
  <c r="F42" i="33"/>
  <c r="F41" i="33"/>
  <c r="F90" i="33"/>
  <c r="F77" i="33"/>
  <c r="F69" i="33"/>
  <c r="F68" i="33"/>
  <c r="F40" i="33"/>
  <c r="F38" i="33"/>
  <c r="F33" i="33"/>
  <c r="F89" i="33"/>
  <c r="F84" i="33"/>
  <c r="F83" i="33"/>
  <c r="F60" i="33"/>
  <c r="F59" i="33"/>
  <c r="F52" i="33"/>
  <c r="F88" i="33"/>
  <c r="F71" i="33"/>
  <c r="F70" i="33"/>
  <c r="F47" i="33"/>
  <c r="F43" i="33"/>
  <c r="F87" i="33"/>
  <c r="F78" i="33"/>
  <c r="F62" i="33"/>
  <c r="F61" i="33"/>
  <c r="F34" i="33"/>
  <c r="F86" i="33"/>
  <c r="F53" i="33"/>
  <c r="F72" i="33"/>
  <c r="F63" i="33"/>
  <c r="F44" i="33"/>
  <c r="D38" i="33"/>
  <c r="F64" i="33"/>
  <c r="L12" i="33"/>
  <c r="N12" i="33" s="1"/>
  <c r="F48" i="33"/>
  <c r="J124" i="36"/>
  <c r="J118" i="36"/>
  <c r="J110" i="36"/>
  <c r="J100" i="36"/>
  <c r="J114" i="36"/>
  <c r="J116" i="36"/>
  <c r="J108" i="36"/>
  <c r="J104" i="36"/>
  <c r="J94" i="36"/>
  <c r="J106" i="36"/>
  <c r="J88" i="36"/>
  <c r="J83" i="36"/>
  <c r="J61" i="36"/>
  <c r="J53" i="36"/>
  <c r="J47" i="36"/>
  <c r="J33" i="36"/>
  <c r="J112" i="36"/>
  <c r="J84" i="36"/>
  <c r="J62" i="36"/>
  <c r="J54" i="36"/>
  <c r="J42" i="36"/>
  <c r="J38" i="36"/>
  <c r="J34" i="36"/>
  <c r="J32" i="36"/>
  <c r="J30" i="36"/>
  <c r="J115" i="36"/>
  <c r="J97" i="36"/>
  <c r="J89" i="36"/>
  <c r="J85" i="36"/>
  <c r="J73" i="36"/>
  <c r="J63" i="36"/>
  <c r="J55" i="36"/>
  <c r="J43" i="36"/>
  <c r="H30" i="36"/>
  <c r="J122" i="36"/>
  <c r="J109" i="36"/>
  <c r="J101" i="36"/>
  <c r="J90" i="36"/>
  <c r="J74" i="36"/>
  <c r="J64" i="36"/>
  <c r="J56" i="36"/>
  <c r="J48" i="36"/>
  <c r="J44" i="36"/>
  <c r="N12" i="36"/>
  <c r="J75" i="36"/>
  <c r="J65" i="36"/>
  <c r="J57" i="36"/>
  <c r="J39" i="36"/>
  <c r="J35" i="36"/>
  <c r="J102" i="36"/>
  <c r="J98" i="36"/>
  <c r="J95" i="36"/>
  <c r="J86" i="36"/>
  <c r="J76" i="36"/>
  <c r="J66" i="36"/>
  <c r="J58" i="36"/>
  <c r="J128" i="36"/>
  <c r="J123" i="36"/>
  <c r="J107" i="36"/>
  <c r="J77" i="36"/>
  <c r="J67" i="36"/>
  <c r="J49" i="36"/>
  <c r="J45" i="36"/>
  <c r="J119" i="36"/>
  <c r="J113" i="36"/>
  <c r="J91" i="36"/>
  <c r="J78" i="36"/>
  <c r="J68" i="36"/>
  <c r="J40" i="36"/>
  <c r="J36" i="36"/>
  <c r="J26" i="36"/>
  <c r="J105" i="36"/>
  <c r="J92" i="36"/>
  <c r="J79" i="36"/>
  <c r="J69" i="36"/>
  <c r="J59" i="36"/>
  <c r="J27" i="36"/>
  <c r="J99" i="36"/>
  <c r="J96" i="36"/>
  <c r="J87" i="36"/>
  <c r="J80" i="36"/>
  <c r="J70" i="36"/>
  <c r="J50" i="36"/>
  <c r="J46" i="36"/>
  <c r="J111" i="36"/>
  <c r="J93" i="36"/>
  <c r="J81" i="36"/>
  <c r="J71" i="36"/>
  <c r="J51" i="36"/>
  <c r="J41" i="36"/>
  <c r="J37" i="36"/>
  <c r="J72" i="36"/>
  <c r="J82" i="36"/>
  <c r="J60" i="36"/>
  <c r="J117" i="36"/>
  <c r="J28" i="36"/>
  <c r="J52" i="36"/>
  <c r="J121" i="36"/>
  <c r="J103" i="36"/>
  <c r="T149" i="30"/>
  <c r="V70" i="30"/>
  <c r="T119" i="27"/>
  <c r="R86" i="27"/>
  <c r="R85" i="27"/>
  <c r="R77" i="27"/>
  <c r="R62" i="27"/>
  <c r="R60" i="27"/>
  <c r="R42" i="27"/>
  <c r="R109" i="27"/>
  <c r="R108" i="27"/>
  <c r="R96" i="27"/>
  <c r="R73" i="27"/>
  <c r="R72" i="27"/>
  <c r="R68" i="27"/>
  <c r="R64" i="27"/>
  <c r="P60" i="27"/>
  <c r="R103" i="27"/>
  <c r="R88" i="27"/>
  <c r="R87" i="27"/>
  <c r="R55" i="27"/>
  <c r="R51" i="27"/>
  <c r="R47" i="27"/>
  <c r="R43" i="27"/>
  <c r="R117" i="27"/>
  <c r="R111" i="27"/>
  <c r="R110" i="27"/>
  <c r="R79" i="27"/>
  <c r="R78" i="27"/>
  <c r="R74" i="27"/>
  <c r="R116" i="27"/>
  <c r="R98" i="27"/>
  <c r="R97" i="27"/>
  <c r="R89" i="27"/>
  <c r="R69" i="27"/>
  <c r="R65" i="27"/>
  <c r="R115" i="27"/>
  <c r="R112" i="27"/>
  <c r="R104" i="27"/>
  <c r="R81" i="27"/>
  <c r="R80" i="27"/>
  <c r="R56" i="27"/>
  <c r="R52" i="27"/>
  <c r="R48" i="27"/>
  <c r="R44" i="27"/>
  <c r="R121" i="27"/>
  <c r="R114" i="27"/>
  <c r="R99" i="27"/>
  <c r="R75" i="27"/>
  <c r="R91" i="27"/>
  <c r="R90" i="27"/>
  <c r="R82" i="27"/>
  <c r="R70" i="27"/>
  <c r="R66" i="27"/>
  <c r="R106" i="27"/>
  <c r="R105" i="27"/>
  <c r="R57" i="27"/>
  <c r="R53" i="27"/>
  <c r="R49" i="27"/>
  <c r="R45" i="27"/>
  <c r="R101" i="27"/>
  <c r="R100" i="27"/>
  <c r="R93" i="27"/>
  <c r="R92" i="27"/>
  <c r="R76" i="27"/>
  <c r="X12" i="27"/>
  <c r="Z12" i="27" s="1"/>
  <c r="R107" i="27"/>
  <c r="R84" i="27"/>
  <c r="R83" i="27"/>
  <c r="R71" i="27"/>
  <c r="R67" i="27"/>
  <c r="R102" i="27"/>
  <c r="R94" i="27"/>
  <c r="R50" i="27"/>
  <c r="R63" i="27"/>
  <c r="R58" i="27"/>
  <c r="R46" i="27"/>
  <c r="R95" i="27"/>
  <c r="R54" i="27"/>
  <c r="V108" i="21"/>
  <c r="V86" i="21"/>
  <c r="V96" i="21"/>
  <c r="V92" i="21"/>
  <c r="V88" i="21"/>
  <c r="V64" i="21"/>
  <c r="V40" i="21"/>
  <c r="V100" i="21"/>
  <c r="V76" i="21"/>
  <c r="V68" i="21"/>
  <c r="V104" i="21"/>
  <c r="V102" i="21"/>
  <c r="V94" i="21"/>
  <c r="V90" i="21"/>
  <c r="V78" i="21"/>
  <c r="V70" i="21"/>
  <c r="V58" i="21"/>
  <c r="V50" i="21"/>
  <c r="V38" i="21"/>
  <c r="V101" i="21"/>
  <c r="V97" i="21"/>
  <c r="V89" i="21"/>
  <c r="V60" i="21"/>
  <c r="V49" i="21"/>
  <c r="V35" i="21"/>
  <c r="V61" i="21"/>
  <c r="V43" i="21"/>
  <c r="V39" i="21"/>
  <c r="V26" i="21"/>
  <c r="V83" i="21"/>
  <c r="V73" i="21"/>
  <c r="V69" i="21"/>
  <c r="V65" i="21"/>
  <c r="V55" i="21"/>
  <c r="V46" i="21"/>
  <c r="V66" i="21"/>
  <c r="V36" i="21"/>
  <c r="V32" i="21"/>
  <c r="V81" i="21"/>
  <c r="V77" i="21"/>
  <c r="V74" i="21"/>
  <c r="V52" i="21"/>
  <c r="V51" i="21"/>
  <c r="V41" i="21"/>
  <c r="V31" i="21"/>
  <c r="V27" i="21"/>
  <c r="V87" i="21"/>
  <c r="V63" i="21"/>
  <c r="V57" i="21"/>
  <c r="V44" i="21"/>
  <c r="T29" i="21"/>
  <c r="V29" i="21" s="1"/>
  <c r="V98" i="21"/>
  <c r="V95" i="21"/>
  <c r="V84" i="21"/>
  <c r="V62" i="21"/>
  <c r="V56" i="21"/>
  <c r="V37" i="21"/>
  <c r="V33" i="21"/>
  <c r="V99" i="21"/>
  <c r="V85" i="21"/>
  <c r="V71" i="21"/>
  <c r="V47" i="21"/>
  <c r="V93" i="21"/>
  <c r="V75" i="21"/>
  <c r="V72" i="21"/>
  <c r="V67" i="21"/>
  <c r="V59" i="21"/>
  <c r="V48" i="21"/>
  <c r="V42" i="21"/>
  <c r="V82" i="21"/>
  <c r="V79" i="21"/>
  <c r="V53" i="21"/>
  <c r="V34" i="21"/>
  <c r="V25" i="21"/>
  <c r="V91" i="21"/>
  <c r="V80" i="21"/>
  <c r="V54" i="21"/>
  <c r="V45" i="21"/>
  <c r="V308" i="3"/>
  <c r="V296" i="3"/>
  <c r="V294" i="3"/>
  <c r="V286" i="3"/>
  <c r="V270" i="3"/>
  <c r="V266" i="3"/>
  <c r="V250" i="3"/>
  <c r="V242" i="3"/>
  <c r="V226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307" i="3"/>
  <c r="V289" i="3"/>
  <c r="V281" i="3"/>
  <c r="V277" i="3"/>
  <c r="V265" i="3"/>
  <c r="V253" i="3"/>
  <c r="V241" i="3"/>
  <c r="V233" i="3"/>
  <c r="V306" i="3"/>
  <c r="V288" i="3"/>
  <c r="V272" i="3"/>
  <c r="V260" i="3"/>
  <c r="V252" i="3"/>
  <c r="V232" i="3"/>
  <c r="V208" i="3"/>
  <c r="V204" i="3"/>
  <c r="V318" i="3"/>
  <c r="V317" i="3"/>
  <c r="V313" i="3"/>
  <c r="V305" i="3"/>
  <c r="V271" i="3"/>
  <c r="V267" i="3"/>
  <c r="V255" i="3"/>
  <c r="V243" i="3"/>
  <c r="V235" i="3"/>
  <c r="V227" i="3"/>
  <c r="V219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304" i="3"/>
  <c r="V290" i="3"/>
  <c r="V282" i="3"/>
  <c r="V278" i="3"/>
  <c r="V262" i="3"/>
  <c r="V254" i="3"/>
  <c r="V234" i="3"/>
  <c r="V218" i="3"/>
  <c r="V214" i="3"/>
  <c r="V201" i="3"/>
  <c r="V180" i="3"/>
  <c r="V164" i="3"/>
  <c r="V156" i="3"/>
  <c r="V144" i="3"/>
  <c r="V140" i="3"/>
  <c r="V303" i="3"/>
  <c r="V273" i="3"/>
  <c r="V261" i="3"/>
  <c r="V257" i="3"/>
  <c r="V245" i="3"/>
  <c r="V237" i="3"/>
  <c r="V221" i="3"/>
  <c r="V209" i="3"/>
  <c r="V205" i="3"/>
  <c r="V176" i="3"/>
  <c r="V168" i="3"/>
  <c r="V160" i="3"/>
  <c r="V148" i="3"/>
  <c r="V302" i="3"/>
  <c r="V284" i="3"/>
  <c r="V268" i="3"/>
  <c r="V256" i="3"/>
  <c r="V244" i="3"/>
  <c r="V236" i="3"/>
  <c r="V228" i="3"/>
  <c r="V220" i="3"/>
  <c r="V200" i="3"/>
  <c r="V196" i="3"/>
  <c r="V192" i="3"/>
  <c r="V188" i="3"/>
  <c r="V184" i="3"/>
  <c r="V172" i="3"/>
  <c r="V152" i="3"/>
  <c r="V301" i="3"/>
  <c r="V291" i="3"/>
  <c r="V283" i="3"/>
  <c r="V279" i="3"/>
  <c r="V275" i="3"/>
  <c r="V263" i="3"/>
  <c r="V247" i="3"/>
  <c r="V239" i="3"/>
  <c r="V300" i="3"/>
  <c r="V274" i="3"/>
  <c r="V258" i="3"/>
  <c r="V246" i="3"/>
  <c r="V238" i="3"/>
  <c r="V230" i="3"/>
  <c r="V222" i="3"/>
  <c r="V210" i="3"/>
  <c r="V206" i="3"/>
  <c r="V202" i="3"/>
  <c r="V181" i="3"/>
  <c r="V169" i="3"/>
  <c r="V165" i="3"/>
  <c r="V157" i="3"/>
  <c r="V153" i="3"/>
  <c r="V137" i="3"/>
  <c r="V299" i="3"/>
  <c r="V293" i="3"/>
  <c r="V285" i="3"/>
  <c r="V269" i="3"/>
  <c r="V249" i="3"/>
  <c r="V229" i="3"/>
  <c r="V193" i="3"/>
  <c r="V189" i="3"/>
  <c r="V185" i="3"/>
  <c r="V177" i="3"/>
  <c r="V173" i="3"/>
  <c r="V161" i="3"/>
  <c r="V149" i="3"/>
  <c r="V145" i="3"/>
  <c r="V141" i="3"/>
  <c r="V298" i="3"/>
  <c r="V292" i="3"/>
  <c r="V280" i="3"/>
  <c r="V276" i="3"/>
  <c r="V264" i="3"/>
  <c r="V248" i="3"/>
  <c r="V240" i="3"/>
  <c r="V224" i="3"/>
  <c r="V216" i="3"/>
  <c r="V212" i="3"/>
  <c r="Z12" i="3"/>
  <c r="V251" i="3"/>
  <c r="V207" i="3"/>
  <c r="V211" i="3"/>
  <c r="V213" i="3"/>
  <c r="T198" i="3"/>
  <c r="V287" i="3"/>
  <c r="V215" i="3"/>
  <c r="V259" i="3"/>
  <c r="V203" i="3"/>
  <c r="V231" i="3"/>
  <c r="V297" i="3"/>
  <c r="V223" i="3"/>
  <c r="V217" i="3"/>
  <c r="V309" i="3"/>
  <c r="V225" i="3"/>
  <c r="X18" i="113"/>
  <c r="P27" i="113"/>
  <c r="X18" i="112"/>
  <c r="P27" i="112"/>
  <c r="L18" i="50"/>
  <c r="D27" i="50"/>
  <c r="H27" i="52"/>
  <c r="N18" i="52"/>
  <c r="H27" i="47"/>
  <c r="N18" i="47"/>
  <c r="X18" i="46"/>
  <c r="P27" i="46"/>
  <c r="X18" i="34"/>
  <c r="P27" i="34"/>
  <c r="L18" i="31"/>
  <c r="D27" i="31"/>
  <c r="L18" i="26"/>
  <c r="D27" i="26"/>
  <c r="T27" i="26"/>
  <c r="Z18" i="26"/>
  <c r="H27" i="19"/>
  <c r="N18" i="19"/>
  <c r="D27" i="11"/>
  <c r="L18" i="11"/>
  <c r="Z17" i="100"/>
  <c r="T43" i="100"/>
  <c r="T120" i="69"/>
  <c r="T49" i="60"/>
  <c r="Z16" i="60"/>
  <c r="V96" i="33"/>
  <c r="V88" i="33"/>
  <c r="V82" i="33"/>
  <c r="V70" i="33"/>
  <c r="V58" i="33"/>
  <c r="V46" i="33"/>
  <c r="V42" i="33"/>
  <c r="V87" i="33"/>
  <c r="V77" i="33"/>
  <c r="V69" i="33"/>
  <c r="V61" i="33"/>
  <c r="V33" i="33"/>
  <c r="V86" i="33"/>
  <c r="V84" i="33"/>
  <c r="V60" i="33"/>
  <c r="V52" i="33"/>
  <c r="V71" i="33"/>
  <c r="V63" i="33"/>
  <c r="V47" i="33"/>
  <c r="V43" i="33"/>
  <c r="V78" i="33"/>
  <c r="V62" i="33"/>
  <c r="V34" i="33"/>
  <c r="V73" i="33"/>
  <c r="V53" i="33"/>
  <c r="V72" i="33"/>
  <c r="V64" i="33"/>
  <c r="V48" i="33"/>
  <c r="V44" i="33"/>
  <c r="V79" i="33"/>
  <c r="V75" i="33"/>
  <c r="V55" i="33"/>
  <c r="V92" i="33"/>
  <c r="V74" i="33"/>
  <c r="V66" i="33"/>
  <c r="V54" i="33"/>
  <c r="V50" i="33"/>
  <c r="V91" i="33"/>
  <c r="V81" i="33"/>
  <c r="V65" i="33"/>
  <c r="V57" i="33"/>
  <c r="V49" i="33"/>
  <c r="V45" i="33"/>
  <c r="V41" i="33"/>
  <c r="V90" i="33"/>
  <c r="V80" i="33"/>
  <c r="V76" i="33"/>
  <c r="V68" i="33"/>
  <c r="V56" i="33"/>
  <c r="V40" i="33"/>
  <c r="V36" i="33"/>
  <c r="V32" i="33"/>
  <c r="V83" i="33"/>
  <c r="V67" i="33"/>
  <c r="T38" i="33"/>
  <c r="V35" i="33"/>
  <c r="V31" i="33"/>
  <c r="V51" i="33"/>
  <c r="V89" i="33"/>
  <c r="V59" i="33"/>
  <c r="J133" i="24"/>
  <c r="J105" i="24"/>
  <c r="J95" i="24"/>
  <c r="J85" i="24"/>
  <c r="J81" i="24"/>
  <c r="J79" i="24"/>
  <c r="J138" i="24"/>
  <c r="J124" i="24"/>
  <c r="J116" i="24"/>
  <c r="J106" i="24"/>
  <c r="J96" i="24"/>
  <c r="H77" i="24"/>
  <c r="J72" i="24"/>
  <c r="J68" i="24"/>
  <c r="J64" i="24"/>
  <c r="J60" i="24"/>
  <c r="J56" i="24"/>
  <c r="J117" i="24"/>
  <c r="J107" i="24"/>
  <c r="J97" i="24"/>
  <c r="J91" i="24"/>
  <c r="J118" i="24"/>
  <c r="J108" i="24"/>
  <c r="J98" i="24"/>
  <c r="J86" i="24"/>
  <c r="J82" i="24"/>
  <c r="J52" i="24"/>
  <c r="J125" i="24"/>
  <c r="J109" i="24"/>
  <c r="J99" i="24"/>
  <c r="J73" i="24"/>
  <c r="J69" i="24"/>
  <c r="J65" i="24"/>
  <c r="J61" i="24"/>
  <c r="J57" i="24"/>
  <c r="J53" i="24"/>
  <c r="J126" i="24"/>
  <c r="J110" i="24"/>
  <c r="J100" i="24"/>
  <c r="J92" i="24"/>
  <c r="J127" i="24"/>
  <c r="J119" i="24"/>
  <c r="J111" i="24"/>
  <c r="J87" i="24"/>
  <c r="J83" i="24"/>
  <c r="J128" i="24"/>
  <c r="J120" i="24"/>
  <c r="J112" i="24"/>
  <c r="J129" i="24"/>
  <c r="J121" i="24"/>
  <c r="J113" i="24"/>
  <c r="J101" i="24"/>
  <c r="J93" i="24"/>
  <c r="J130" i="24"/>
  <c r="J122" i="24"/>
  <c r="J114" i="24"/>
  <c r="J102" i="24"/>
  <c r="J88" i="24"/>
  <c r="J84" i="24"/>
  <c r="J131" i="24"/>
  <c r="J123" i="24"/>
  <c r="J115" i="24"/>
  <c r="J103" i="24"/>
  <c r="J89" i="24"/>
  <c r="J75" i="24"/>
  <c r="J71" i="24"/>
  <c r="J67" i="24"/>
  <c r="J63" i="24"/>
  <c r="J59" i="24"/>
  <c r="J55" i="24"/>
  <c r="J80" i="24"/>
  <c r="J58" i="24"/>
  <c r="J134" i="24"/>
  <c r="J70" i="24"/>
  <c r="J104" i="24"/>
  <c r="J90" i="24"/>
  <c r="J62" i="24"/>
  <c r="J74" i="24"/>
  <c r="N12" i="24"/>
  <c r="J54" i="24"/>
  <c r="J94" i="24"/>
  <c r="J66" i="24"/>
  <c r="L18" i="37"/>
  <c r="D27" i="37"/>
  <c r="V80" i="98"/>
  <c r="V68" i="98"/>
  <c r="V56" i="98"/>
  <c r="V44" i="98"/>
  <c r="V36" i="98"/>
  <c r="V79" i="98"/>
  <c r="V63" i="98"/>
  <c r="V55" i="98"/>
  <c r="V31" i="98"/>
  <c r="V27" i="98"/>
  <c r="V23" i="98"/>
  <c r="V84" i="98"/>
  <c r="V74" i="98"/>
  <c r="V70" i="98"/>
  <c r="V62" i="98"/>
  <c r="V46" i="98"/>
  <c r="V22" i="98"/>
  <c r="V18" i="98"/>
  <c r="V83" i="98"/>
  <c r="V81" i="98"/>
  <c r="V69" i="98"/>
  <c r="V57" i="98"/>
  <c r="V37" i="98"/>
  <c r="V33" i="98"/>
  <c r="V64" i="98"/>
  <c r="V48" i="98"/>
  <c r="V28" i="98"/>
  <c r="V24" i="98"/>
  <c r="V75" i="98"/>
  <c r="V71" i="98"/>
  <c r="V59" i="98"/>
  <c r="V47" i="98"/>
  <c r="V39" i="98"/>
  <c r="V88" i="98"/>
  <c r="V58" i="98"/>
  <c r="V50" i="98"/>
  <c r="V38" i="98"/>
  <c r="V34" i="98"/>
  <c r="V65" i="98"/>
  <c r="V49" i="98"/>
  <c r="V41" i="98"/>
  <c r="V29" i="98"/>
  <c r="V25" i="98"/>
  <c r="V76" i="98"/>
  <c r="V72" i="98"/>
  <c r="V60" i="98"/>
  <c r="V52" i="98"/>
  <c r="V40" i="98"/>
  <c r="V78" i="98"/>
  <c r="V66" i="98"/>
  <c r="V54" i="98"/>
  <c r="V42" i="98"/>
  <c r="V30" i="98"/>
  <c r="V26" i="98"/>
  <c r="V51" i="98"/>
  <c r="V16" i="98"/>
  <c r="V53" i="98"/>
  <c r="V73" i="98"/>
  <c r="V61" i="98"/>
  <c r="V35" i="98"/>
  <c r="T20" i="98"/>
  <c r="V20" i="98" s="1"/>
  <c r="V45" i="98"/>
  <c r="Z12" i="98"/>
  <c r="V67" i="98"/>
  <c r="V43" i="98"/>
  <c r="V17" i="98"/>
  <c r="V77" i="98"/>
  <c r="V32" i="98"/>
  <c r="J79" i="96"/>
  <c r="J82" i="96"/>
  <c r="J92" i="96"/>
  <c r="J88" i="96"/>
  <c r="J83" i="96"/>
  <c r="J65" i="96"/>
  <c r="J49" i="96"/>
  <c r="J39" i="96"/>
  <c r="J29" i="96"/>
  <c r="J25" i="96"/>
  <c r="J76" i="96"/>
  <c r="J60" i="96"/>
  <c r="J50" i="96"/>
  <c r="J40" i="96"/>
  <c r="J84" i="96"/>
  <c r="J71" i="96"/>
  <c r="J51" i="96"/>
  <c r="J41" i="96"/>
  <c r="J35" i="96"/>
  <c r="J80" i="96"/>
  <c r="J72" i="96"/>
  <c r="J66" i="96"/>
  <c r="J52" i="96"/>
  <c r="J42" i="96"/>
  <c r="J30" i="96"/>
  <c r="J26" i="96"/>
  <c r="J16" i="96"/>
  <c r="J77" i="96"/>
  <c r="J73" i="96"/>
  <c r="J61" i="96"/>
  <c r="J53" i="96"/>
  <c r="J43" i="96"/>
  <c r="J17" i="96"/>
  <c r="J85" i="96"/>
  <c r="J54" i="96"/>
  <c r="J44" i="96"/>
  <c r="J36" i="96"/>
  <c r="N12" i="96"/>
  <c r="J67" i="96"/>
  <c r="J55" i="96"/>
  <c r="J45" i="96"/>
  <c r="J31" i="96"/>
  <c r="J27" i="96"/>
  <c r="J81" i="96"/>
  <c r="J78" i="96"/>
  <c r="J74" i="96"/>
  <c r="J62" i="96"/>
  <c r="J56" i="96"/>
  <c r="J46" i="96"/>
  <c r="J32" i="96"/>
  <c r="J18" i="96"/>
  <c r="J87" i="96"/>
  <c r="J75" i="96"/>
  <c r="J69" i="96"/>
  <c r="J59" i="96"/>
  <c r="J47" i="96"/>
  <c r="H20" i="96"/>
  <c r="J20" i="96" s="1"/>
  <c r="J70" i="96"/>
  <c r="J48" i="96"/>
  <c r="J38" i="96"/>
  <c r="J34" i="96"/>
  <c r="J37" i="96"/>
  <c r="J24" i="96"/>
  <c r="J22" i="96"/>
  <c r="J28" i="96"/>
  <c r="J64" i="96"/>
  <c r="J57" i="96"/>
  <c r="J33" i="96"/>
  <c r="J23" i="96"/>
  <c r="J68" i="96"/>
  <c r="J58" i="96"/>
  <c r="J63" i="96"/>
  <c r="X87" i="96"/>
  <c r="N16" i="87"/>
  <c r="H24" i="87"/>
  <c r="H65" i="79"/>
  <c r="H77" i="76"/>
  <c r="J84" i="74"/>
  <c r="J74" i="74"/>
  <c r="J48" i="74"/>
  <c r="J44" i="74"/>
  <c r="J85" i="74"/>
  <c r="J75" i="74"/>
  <c r="J67" i="74"/>
  <c r="J86" i="74"/>
  <c r="J76" i="74"/>
  <c r="J62" i="74"/>
  <c r="J58" i="74"/>
  <c r="J77" i="74"/>
  <c r="J88" i="74"/>
  <c r="J78" i="74"/>
  <c r="J68" i="74"/>
  <c r="J81" i="74"/>
  <c r="J71" i="74"/>
  <c r="J65" i="74"/>
  <c r="J55" i="74"/>
  <c r="J60" i="74"/>
  <c r="J49" i="74"/>
  <c r="J41" i="74"/>
  <c r="J37" i="74"/>
  <c r="J79" i="74"/>
  <c r="J56" i="74"/>
  <c r="J72" i="74"/>
  <c r="J54" i="74"/>
  <c r="J47" i="74"/>
  <c r="J82" i="74"/>
  <c r="J63" i="74"/>
  <c r="J42" i="74"/>
  <c r="J38" i="74"/>
  <c r="J80" i="74"/>
  <c r="J70" i="74"/>
  <c r="J92" i="74"/>
  <c r="J66" i="74"/>
  <c r="J61" i="74"/>
  <c r="J59" i="74"/>
  <c r="J50" i="74"/>
  <c r="J45" i="74"/>
  <c r="J83" i="74"/>
  <c r="J57" i="74"/>
  <c r="J73" i="74"/>
  <c r="J43" i="74"/>
  <c r="J35" i="74"/>
  <c r="J40" i="74"/>
  <c r="J36" i="74"/>
  <c r="J69" i="74"/>
  <c r="J64" i="74"/>
  <c r="J39" i="74"/>
  <c r="H52" i="74"/>
  <c r="J46" i="74"/>
  <c r="H102" i="64"/>
  <c r="L16" i="60"/>
  <c r="D49" i="60"/>
  <c r="Z16" i="59"/>
  <c r="T65" i="59"/>
  <c r="Z22" i="54"/>
  <c r="X22" i="54"/>
  <c r="T26" i="54"/>
  <c r="D71" i="57"/>
  <c r="L16" i="57"/>
  <c r="F110" i="51"/>
  <c r="F105" i="51"/>
  <c r="F100" i="51"/>
  <c r="F99" i="51"/>
  <c r="F64" i="51"/>
  <c r="F60" i="51"/>
  <c r="F103" i="51"/>
  <c r="F102" i="51"/>
  <c r="F93" i="51"/>
  <c r="F92" i="51"/>
  <c r="F81" i="51"/>
  <c r="F80" i="51"/>
  <c r="F65" i="51"/>
  <c r="F61" i="51"/>
  <c r="F94" i="51"/>
  <c r="F66" i="51"/>
  <c r="F62" i="51"/>
  <c r="F58" i="51"/>
  <c r="F57" i="51"/>
  <c r="F106" i="51"/>
  <c r="F85" i="51"/>
  <c r="F76" i="51"/>
  <c r="F67" i="51"/>
  <c r="F50" i="51"/>
  <c r="F39" i="51"/>
  <c r="F38" i="51"/>
  <c r="F98" i="51"/>
  <c r="F95" i="51"/>
  <c r="F88" i="51"/>
  <c r="F77" i="51"/>
  <c r="F70" i="51"/>
  <c r="F59" i="51"/>
  <c r="F89" i="51"/>
  <c r="F42" i="51"/>
  <c r="F68" i="51"/>
  <c r="D54" i="51"/>
  <c r="F45" i="51"/>
  <c r="F71" i="51"/>
  <c r="F51" i="51"/>
  <c r="F48" i="51"/>
  <c r="F96" i="51"/>
  <c r="F90" i="51"/>
  <c r="F78" i="51"/>
  <c r="F74" i="51"/>
  <c r="F56" i="51"/>
  <c r="F40" i="51"/>
  <c r="F86" i="51"/>
  <c r="F82" i="51"/>
  <c r="F43" i="51"/>
  <c r="L12" i="51"/>
  <c r="F91" i="51"/>
  <c r="F83" i="51"/>
  <c r="F79" i="51"/>
  <c r="F63" i="51"/>
  <c r="F46" i="51"/>
  <c r="F104" i="51"/>
  <c r="F75" i="51"/>
  <c r="F72" i="51"/>
  <c r="F69" i="51"/>
  <c r="F49" i="51"/>
  <c r="F73" i="51"/>
  <c r="F97" i="51"/>
  <c r="F47" i="51"/>
  <c r="F52" i="51"/>
  <c r="F44" i="51"/>
  <c r="F41" i="51"/>
  <c r="F84" i="51"/>
  <c r="F87" i="51"/>
  <c r="T76" i="48"/>
  <c r="N118" i="42"/>
  <c r="X29" i="42"/>
  <c r="P123" i="42"/>
  <c r="R29" i="42"/>
  <c r="T126" i="36"/>
  <c r="T288" i="18"/>
  <c r="V184" i="18"/>
  <c r="F304" i="3"/>
  <c r="F291" i="3"/>
  <c r="F283" i="3"/>
  <c r="F279" i="3"/>
  <c r="F263" i="3"/>
  <c r="F262" i="3"/>
  <c r="F215" i="3"/>
  <c r="F303" i="3"/>
  <c r="F274" i="3"/>
  <c r="F258" i="3"/>
  <c r="F257" i="3"/>
  <c r="F246" i="3"/>
  <c r="F245" i="3"/>
  <c r="F238" i="3"/>
  <c r="F237" i="3"/>
  <c r="F302" i="3"/>
  <c r="F285" i="3"/>
  <c r="F284" i="3"/>
  <c r="F269" i="3"/>
  <c r="F229" i="3"/>
  <c r="F200" i="3"/>
  <c r="F193" i="3"/>
  <c r="F189" i="3"/>
  <c r="F185" i="3"/>
  <c r="F181" i="3"/>
  <c r="F177" i="3"/>
  <c r="F173" i="3"/>
  <c r="F169" i="3"/>
  <c r="F165" i="3"/>
  <c r="F161" i="3"/>
  <c r="F157" i="3"/>
  <c r="F301" i="3"/>
  <c r="F292" i="3"/>
  <c r="F280" i="3"/>
  <c r="F276" i="3"/>
  <c r="F275" i="3"/>
  <c r="F264" i="3"/>
  <c r="F248" i="3"/>
  <c r="F247" i="3"/>
  <c r="F240" i="3"/>
  <c r="F239" i="3"/>
  <c r="F216" i="3"/>
  <c r="F212" i="3"/>
  <c r="F211" i="3"/>
  <c r="D198" i="3"/>
  <c r="F300" i="3"/>
  <c r="F259" i="3"/>
  <c r="F231" i="3"/>
  <c r="F230" i="3"/>
  <c r="F223" i="3"/>
  <c r="F207" i="3"/>
  <c r="F203" i="3"/>
  <c r="F182" i="3"/>
  <c r="F162" i="3"/>
  <c r="F137" i="3"/>
  <c r="F299" i="3"/>
  <c r="F294" i="3"/>
  <c r="F293" i="3"/>
  <c r="F286" i="3"/>
  <c r="F270" i="3"/>
  <c r="F250" i="3"/>
  <c r="F249" i="3"/>
  <c r="F194" i="3"/>
  <c r="F190" i="3"/>
  <c r="F186" i="3"/>
  <c r="F178" i="3"/>
  <c r="F174" i="3"/>
  <c r="F170" i="3"/>
  <c r="F166" i="3"/>
  <c r="F158" i="3"/>
  <c r="F154" i="3"/>
  <c r="F150" i="3"/>
  <c r="F146" i="3"/>
  <c r="F142" i="3"/>
  <c r="F138" i="3"/>
  <c r="F298" i="3"/>
  <c r="F281" i="3"/>
  <c r="F277" i="3"/>
  <c r="F265" i="3"/>
  <c r="F241" i="3"/>
  <c r="F225" i="3"/>
  <c r="F224" i="3"/>
  <c r="F217" i="3"/>
  <c r="F213" i="3"/>
  <c r="F309" i="3"/>
  <c r="F297" i="3"/>
  <c r="F288" i="3"/>
  <c r="F287" i="3"/>
  <c r="F260" i="3"/>
  <c r="F252" i="3"/>
  <c r="F251" i="3"/>
  <c r="F232" i="3"/>
  <c r="F313" i="3"/>
  <c r="F308" i="3"/>
  <c r="F296" i="3"/>
  <c r="F271" i="3"/>
  <c r="F267" i="3"/>
  <c r="F266" i="3"/>
  <c r="F243" i="3"/>
  <c r="F242" i="3"/>
  <c r="F227" i="3"/>
  <c r="F226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307" i="3"/>
  <c r="F290" i="3"/>
  <c r="F289" i="3"/>
  <c r="F282" i="3"/>
  <c r="F278" i="3"/>
  <c r="F254" i="3"/>
  <c r="F253" i="3"/>
  <c r="F234" i="3"/>
  <c r="F233" i="3"/>
  <c r="F218" i="3"/>
  <c r="F214" i="3"/>
  <c r="F306" i="3"/>
  <c r="F273" i="3"/>
  <c r="F272" i="3"/>
  <c r="F261" i="3"/>
  <c r="F209" i="3"/>
  <c r="F205" i="3"/>
  <c r="F219" i="3"/>
  <c r="F210" i="3"/>
  <c r="F196" i="3"/>
  <c r="F176" i="3"/>
  <c r="F145" i="3"/>
  <c r="L12" i="3"/>
  <c r="N12" i="3" s="1"/>
  <c r="F317" i="3"/>
  <c r="F202" i="3"/>
  <c r="F160" i="3"/>
  <c r="F149" i="3"/>
  <c r="F256" i="3"/>
  <c r="F156" i="3"/>
  <c r="F268" i="3"/>
  <c r="F222" i="3"/>
  <c r="F180" i="3"/>
  <c r="F140" i="3"/>
  <c r="F235" i="3"/>
  <c r="F220" i="3"/>
  <c r="F204" i="3"/>
  <c r="F153" i="3"/>
  <c r="F164" i="3"/>
  <c r="F144" i="3"/>
  <c r="F184" i="3"/>
  <c r="F255" i="3"/>
  <c r="F244" i="3"/>
  <c r="F192" i="3"/>
  <c r="F318" i="3"/>
  <c r="F228" i="3"/>
  <c r="F206" i="3"/>
  <c r="F148" i="3"/>
  <c r="F305" i="3"/>
  <c r="F188" i="3"/>
  <c r="F168" i="3"/>
  <c r="F236" i="3"/>
  <c r="F208" i="3"/>
  <c r="F201" i="3"/>
  <c r="F172" i="3"/>
  <c r="F152" i="3"/>
  <c r="F221" i="3"/>
  <c r="F141" i="3"/>
  <c r="P27" i="111"/>
  <c r="X18" i="111"/>
  <c r="H27" i="28"/>
  <c r="N18" i="28"/>
  <c r="L18" i="19"/>
  <c r="D27" i="19"/>
  <c r="H27" i="14"/>
  <c r="N18" i="14"/>
  <c r="X18" i="10"/>
  <c r="P27" i="10"/>
  <c r="N18" i="11"/>
  <c r="H27" i="11"/>
  <c r="R60" i="104"/>
  <c r="R40" i="104"/>
  <c r="R36" i="104"/>
  <c r="X12" i="104"/>
  <c r="R62" i="104"/>
  <c r="R61" i="104"/>
  <c r="R54" i="104"/>
  <c r="R53" i="104"/>
  <c r="R42" i="104"/>
  <c r="R41" i="104"/>
  <c r="R37" i="104"/>
  <c r="R18" i="104"/>
  <c r="R82" i="104"/>
  <c r="R63" i="104"/>
  <c r="R56" i="104"/>
  <c r="R55" i="104"/>
  <c r="R44" i="104"/>
  <c r="R43" i="104"/>
  <c r="R19" i="104"/>
  <c r="R38" i="104"/>
  <c r="R74" i="104"/>
  <c r="R73" i="104"/>
  <c r="R69" i="104"/>
  <c r="R58" i="104"/>
  <c r="R57" i="104"/>
  <c r="R86" i="104"/>
  <c r="R64" i="104"/>
  <c r="R25" i="104"/>
  <c r="R20" i="104"/>
  <c r="R70" i="104"/>
  <c r="R35" i="104"/>
  <c r="R34" i="104"/>
  <c r="R30" i="104"/>
  <c r="R26" i="104"/>
  <c r="P22" i="104"/>
  <c r="R72" i="104"/>
  <c r="R68" i="104"/>
  <c r="R77" i="104"/>
  <c r="R51" i="104"/>
  <c r="R32" i="104"/>
  <c r="R28" i="104"/>
  <c r="R75" i="104"/>
  <c r="R49" i="104"/>
  <c r="R24" i="104"/>
  <c r="R67" i="104"/>
  <c r="R39" i="104"/>
  <c r="R80" i="104"/>
  <c r="R71" i="104"/>
  <c r="R65" i="104"/>
  <c r="R59" i="104"/>
  <c r="R47" i="104"/>
  <c r="R78" i="104"/>
  <c r="R52" i="104"/>
  <c r="R31" i="104"/>
  <c r="R27" i="104"/>
  <c r="R76" i="104"/>
  <c r="R33" i="104"/>
  <c r="R29" i="104"/>
  <c r="R66" i="104"/>
  <c r="R22" i="104"/>
  <c r="R79" i="104"/>
  <c r="R46" i="104"/>
  <c r="R45" i="104"/>
  <c r="R50" i="104"/>
  <c r="R48" i="104"/>
  <c r="P77" i="89"/>
  <c r="R73" i="89"/>
  <c r="V80" i="81"/>
  <c r="V58" i="81"/>
  <c r="V71" i="81"/>
  <c r="V59" i="81"/>
  <c r="V51" i="81"/>
  <c r="V70" i="81"/>
  <c r="V72" i="81"/>
  <c r="V60" i="81"/>
  <c r="V76" i="81"/>
  <c r="V74" i="81"/>
  <c r="V62" i="81"/>
  <c r="V68" i="81"/>
  <c r="V64" i="81"/>
  <c r="V56" i="81"/>
  <c r="V66" i="81"/>
  <c r="V61" i="81"/>
  <c r="V55" i="81"/>
  <c r="V45" i="81"/>
  <c r="V17" i="81"/>
  <c r="V48" i="81"/>
  <c r="V36" i="81"/>
  <c r="V32" i="81"/>
  <c r="V47" i="81"/>
  <c r="V31" i="81"/>
  <c r="V27" i="81"/>
  <c r="V23" i="81"/>
  <c r="V53" i="81"/>
  <c r="V38" i="81"/>
  <c r="V22" i="81"/>
  <c r="V18" i="81"/>
  <c r="V73" i="81"/>
  <c r="V69" i="81"/>
  <c r="V50" i="81"/>
  <c r="V49" i="81"/>
  <c r="V37" i="81"/>
  <c r="V33" i="81"/>
  <c r="T20" i="81"/>
  <c r="V20" i="81" s="1"/>
  <c r="V67" i="81"/>
  <c r="V40" i="81"/>
  <c r="V28" i="81"/>
  <c r="V24" i="81"/>
  <c r="V54" i="81"/>
  <c r="V39" i="81"/>
  <c r="V65" i="81"/>
  <c r="V57" i="81"/>
  <c r="V42" i="81"/>
  <c r="V34" i="81"/>
  <c r="V63" i="81"/>
  <c r="V41" i="81"/>
  <c r="V29" i="81"/>
  <c r="V25" i="81"/>
  <c r="V26" i="81"/>
  <c r="V35" i="81"/>
  <c r="V16" i="81"/>
  <c r="V43" i="81"/>
  <c r="V52" i="81"/>
  <c r="V30" i="81"/>
  <c r="V44" i="81"/>
  <c r="V46" i="81"/>
  <c r="P58" i="61"/>
  <c r="L18" i="4"/>
  <c r="D27" i="4"/>
  <c r="T41" i="109"/>
  <c r="P50" i="103"/>
  <c r="X16" i="103"/>
  <c r="T84" i="102"/>
  <c r="V23" i="102"/>
  <c r="D63" i="101"/>
  <c r="Z40" i="100"/>
  <c r="P77" i="95"/>
  <c r="X20" i="95"/>
  <c r="P72" i="94"/>
  <c r="T77" i="93"/>
  <c r="Z20" i="93"/>
  <c r="X24" i="87"/>
  <c r="P28" i="87"/>
  <c r="V103" i="85"/>
  <c r="V95" i="85"/>
  <c r="V83" i="85"/>
  <c r="V67" i="85"/>
  <c r="V63" i="85"/>
  <c r="V102" i="85"/>
  <c r="V86" i="85"/>
  <c r="V74" i="85"/>
  <c r="V54" i="85"/>
  <c r="V50" i="85"/>
  <c r="V46" i="85"/>
  <c r="V42" i="85"/>
  <c r="V38" i="85"/>
  <c r="V109" i="85"/>
  <c r="V105" i="85"/>
  <c r="V97" i="85"/>
  <c r="V85" i="85"/>
  <c r="V73" i="85"/>
  <c r="V69" i="85"/>
  <c r="V122" i="85"/>
  <c r="V104" i="85"/>
  <c r="V88" i="85"/>
  <c r="V76" i="85"/>
  <c r="V68" i="85"/>
  <c r="V64" i="85"/>
  <c r="V60" i="85"/>
  <c r="V111" i="85"/>
  <c r="V99" i="85"/>
  <c r="V87" i="85"/>
  <c r="V75" i="85"/>
  <c r="V59" i="85"/>
  <c r="V55" i="85"/>
  <c r="V51" i="85"/>
  <c r="V47" i="85"/>
  <c r="V43" i="85"/>
  <c r="V39" i="85"/>
  <c r="V110" i="85"/>
  <c r="V106" i="85"/>
  <c r="V98" i="85"/>
  <c r="V90" i="85"/>
  <c r="V78" i="85"/>
  <c r="V70" i="85"/>
  <c r="T57" i="85"/>
  <c r="V113" i="85"/>
  <c r="V89" i="85"/>
  <c r="V77" i="85"/>
  <c r="V65" i="85"/>
  <c r="V61" i="85"/>
  <c r="V115" i="85"/>
  <c r="V107" i="85"/>
  <c r="V91" i="85"/>
  <c r="V79" i="85"/>
  <c r="V71" i="85"/>
  <c r="V101" i="85"/>
  <c r="V93" i="85"/>
  <c r="V81" i="85"/>
  <c r="V53" i="85"/>
  <c r="V49" i="85"/>
  <c r="V45" i="85"/>
  <c r="V41" i="85"/>
  <c r="V37" i="85"/>
  <c r="V118" i="85"/>
  <c r="V82" i="85"/>
  <c r="V44" i="85"/>
  <c r="V80" i="85"/>
  <c r="V96" i="85"/>
  <c r="V66" i="85"/>
  <c r="V100" i="85"/>
  <c r="V94" i="85"/>
  <c r="V48" i="85"/>
  <c r="V92" i="85"/>
  <c r="V52" i="85"/>
  <c r="V72" i="85"/>
  <c r="V116" i="85"/>
  <c r="V114" i="85"/>
  <c r="V112" i="85"/>
  <c r="V108" i="85"/>
  <c r="V84" i="85"/>
  <c r="V62" i="85"/>
  <c r="V40" i="85"/>
  <c r="R54" i="81"/>
  <c r="R53" i="81"/>
  <c r="R67" i="81"/>
  <c r="R55" i="81"/>
  <c r="R76" i="81"/>
  <c r="R60" i="81"/>
  <c r="R58" i="81"/>
  <c r="R52" i="81"/>
  <c r="R30" i="81"/>
  <c r="R26" i="81"/>
  <c r="R66" i="81"/>
  <c r="R46" i="81"/>
  <c r="R45" i="81"/>
  <c r="R17" i="81"/>
  <c r="R64" i="81"/>
  <c r="R61" i="81"/>
  <c r="R36" i="81"/>
  <c r="X12" i="81"/>
  <c r="Z12" i="81" s="1"/>
  <c r="R72" i="81"/>
  <c r="R48" i="81"/>
  <c r="R47" i="81"/>
  <c r="R32" i="81"/>
  <c r="R31" i="81"/>
  <c r="R27" i="81"/>
  <c r="R23" i="81"/>
  <c r="R18" i="81"/>
  <c r="R69" i="81"/>
  <c r="R49" i="81"/>
  <c r="R38" i="81"/>
  <c r="R37" i="81"/>
  <c r="R33" i="81"/>
  <c r="R22" i="81"/>
  <c r="R73" i="81"/>
  <c r="R62" i="81"/>
  <c r="R59" i="81"/>
  <c r="R56" i="81"/>
  <c r="R50" i="81"/>
  <c r="R28" i="81"/>
  <c r="R24" i="81"/>
  <c r="P20" i="81"/>
  <c r="R80" i="81"/>
  <c r="R40" i="81"/>
  <c r="R39" i="81"/>
  <c r="R65" i="81"/>
  <c r="R34" i="81"/>
  <c r="R68" i="81"/>
  <c r="R63" i="81"/>
  <c r="R29" i="81"/>
  <c r="R74" i="81"/>
  <c r="R70" i="81"/>
  <c r="R41" i="81"/>
  <c r="R35" i="81"/>
  <c r="R71" i="81"/>
  <c r="R43" i="81"/>
  <c r="R16" i="81"/>
  <c r="R51" i="81"/>
  <c r="R25" i="81"/>
  <c r="R42" i="81"/>
  <c r="R44" i="81"/>
  <c r="R57" i="81"/>
  <c r="J99" i="75"/>
  <c r="J87" i="75"/>
  <c r="J69" i="75"/>
  <c r="J65" i="75"/>
  <c r="J100" i="75"/>
  <c r="J88" i="75"/>
  <c r="J70" i="75"/>
  <c r="J60" i="75"/>
  <c r="J56" i="75"/>
  <c r="J34" i="75"/>
  <c r="J101" i="75"/>
  <c r="J95" i="75"/>
  <c r="J79" i="75"/>
  <c r="J71" i="75"/>
  <c r="J102" i="75"/>
  <c r="J80" i="75"/>
  <c r="J72" i="75"/>
  <c r="J66" i="75"/>
  <c r="J103" i="75"/>
  <c r="J89" i="75"/>
  <c r="J81" i="75"/>
  <c r="J73" i="75"/>
  <c r="J61" i="75"/>
  <c r="J57" i="75"/>
  <c r="J104" i="75"/>
  <c r="J96" i="75"/>
  <c r="J90" i="75"/>
  <c r="J82" i="75"/>
  <c r="J48" i="75"/>
  <c r="J44" i="75"/>
  <c r="J40" i="75"/>
  <c r="J36" i="75"/>
  <c r="J91" i="75"/>
  <c r="J83" i="75"/>
  <c r="J67" i="75"/>
  <c r="J84" i="75"/>
  <c r="J74" i="75"/>
  <c r="J62" i="75"/>
  <c r="J58" i="75"/>
  <c r="J107" i="75"/>
  <c r="J93" i="75"/>
  <c r="J77" i="75"/>
  <c r="J59" i="75"/>
  <c r="J55" i="75"/>
  <c r="J53" i="75"/>
  <c r="J51" i="75"/>
  <c r="H51" i="75"/>
  <c r="J42" i="75"/>
  <c r="J38" i="75"/>
  <c r="J94" i="75"/>
  <c r="J92" i="75"/>
  <c r="J75" i="75"/>
  <c r="J85" i="75"/>
  <c r="J98" i="75"/>
  <c r="J49" i="75"/>
  <c r="J47" i="75"/>
  <c r="J45" i="75"/>
  <c r="J43" i="75"/>
  <c r="J41" i="75"/>
  <c r="J39" i="75"/>
  <c r="J37" i="75"/>
  <c r="J35" i="75"/>
  <c r="J108" i="75"/>
  <c r="J64" i="75"/>
  <c r="J105" i="75"/>
  <c r="J97" i="75"/>
  <c r="J86" i="75"/>
  <c r="J78" i="75"/>
  <c r="J76" i="75"/>
  <c r="J68" i="75"/>
  <c r="J54" i="75"/>
  <c r="J63" i="75"/>
  <c r="J46" i="75"/>
  <c r="J112" i="75"/>
  <c r="V70" i="69"/>
  <c r="J110" i="77"/>
  <c r="J104" i="77"/>
  <c r="J100" i="77"/>
  <c r="J90" i="77"/>
  <c r="J78" i="77"/>
  <c r="J64" i="77"/>
  <c r="J60" i="77"/>
  <c r="J103" i="77"/>
  <c r="J91" i="77"/>
  <c r="J79" i="77"/>
  <c r="J51" i="77"/>
  <c r="J47" i="77"/>
  <c r="J43" i="77"/>
  <c r="J102" i="77"/>
  <c r="J92" i="77"/>
  <c r="J80" i="77"/>
  <c r="J70" i="77"/>
  <c r="J93" i="77"/>
  <c r="J81" i="77"/>
  <c r="J65" i="77"/>
  <c r="J61" i="77"/>
  <c r="J82" i="77"/>
  <c r="J52" i="77"/>
  <c r="J48" i="77"/>
  <c r="J44" i="77"/>
  <c r="J40" i="77"/>
  <c r="J83" i="77"/>
  <c r="J71" i="77"/>
  <c r="J57" i="77"/>
  <c r="J94" i="77"/>
  <c r="J84" i="77"/>
  <c r="J72" i="77"/>
  <c r="J66" i="77"/>
  <c r="J62" i="77"/>
  <c r="J58" i="77"/>
  <c r="J56" i="77"/>
  <c r="J95" i="77"/>
  <c r="J85" i="77"/>
  <c r="J73" i="77"/>
  <c r="J67" i="77"/>
  <c r="H54" i="77"/>
  <c r="J54" i="77" s="1"/>
  <c r="J49" i="77"/>
  <c r="J45" i="77"/>
  <c r="J41" i="77"/>
  <c r="J99" i="77"/>
  <c r="J69" i="77"/>
  <c r="J38" i="77"/>
  <c r="J76" i="77"/>
  <c r="J74" i="77"/>
  <c r="J97" i="77"/>
  <c r="J105" i="77"/>
  <c r="J88" i="77"/>
  <c r="J86" i="77"/>
  <c r="J39" i="77"/>
  <c r="J59" i="77"/>
  <c r="J106" i="77"/>
  <c r="J68" i="77"/>
  <c r="J46" i="77"/>
  <c r="J96" i="77"/>
  <c r="J75" i="77"/>
  <c r="J77" i="77"/>
  <c r="J98" i="77"/>
  <c r="J50" i="77"/>
  <c r="J89" i="77"/>
  <c r="J42" i="77"/>
  <c r="J87" i="77"/>
  <c r="J63" i="77"/>
  <c r="N16" i="55"/>
  <c r="H33" i="55"/>
  <c r="L102" i="51"/>
  <c r="D96" i="45"/>
  <c r="F92" i="45"/>
  <c r="J74" i="33"/>
  <c r="J54" i="33"/>
  <c r="J75" i="33"/>
  <c r="J65" i="33"/>
  <c r="J55" i="33"/>
  <c r="J49" i="33"/>
  <c r="J45" i="33"/>
  <c r="J31" i="33"/>
  <c r="J92" i="33"/>
  <c r="J80" i="33"/>
  <c r="J76" i="33"/>
  <c r="J66" i="33"/>
  <c r="J56" i="33"/>
  <c r="J50" i="33"/>
  <c r="J91" i="33"/>
  <c r="J81" i="33"/>
  <c r="J67" i="33"/>
  <c r="J57" i="33"/>
  <c r="J51" i="33"/>
  <c r="J41" i="33"/>
  <c r="J96" i="33"/>
  <c r="J90" i="33"/>
  <c r="J82" i="33"/>
  <c r="J68" i="33"/>
  <c r="J58" i="33"/>
  <c r="J46" i="33"/>
  <c r="J42" i="33"/>
  <c r="J40" i="33"/>
  <c r="J89" i="33"/>
  <c r="J83" i="33"/>
  <c r="J77" i="33"/>
  <c r="J69" i="33"/>
  <c r="J59" i="33"/>
  <c r="J88" i="33"/>
  <c r="J84" i="33"/>
  <c r="J70" i="33"/>
  <c r="J60" i="33"/>
  <c r="J52" i="33"/>
  <c r="J87" i="33"/>
  <c r="J71" i="33"/>
  <c r="J61" i="33"/>
  <c r="J47" i="33"/>
  <c r="J43" i="33"/>
  <c r="J86" i="33"/>
  <c r="J78" i="33"/>
  <c r="J62" i="33"/>
  <c r="J34" i="33"/>
  <c r="J63" i="33"/>
  <c r="J53" i="33"/>
  <c r="J72" i="33"/>
  <c r="J64" i="33"/>
  <c r="J48" i="33"/>
  <c r="J44" i="33"/>
  <c r="J36" i="33"/>
  <c r="J32" i="33"/>
  <c r="J79" i="33"/>
  <c r="H38" i="33"/>
  <c r="J38" i="33" s="1"/>
  <c r="J35" i="33"/>
  <c r="J33" i="33"/>
  <c r="J73" i="33"/>
  <c r="V125" i="24"/>
  <c r="V109" i="24"/>
  <c r="V73" i="24"/>
  <c r="V69" i="24"/>
  <c r="V65" i="24"/>
  <c r="V61" i="24"/>
  <c r="V57" i="24"/>
  <c r="V53" i="24"/>
  <c r="V128" i="24"/>
  <c r="V120" i="24"/>
  <c r="V112" i="24"/>
  <c r="V100" i="24"/>
  <c r="V92" i="24"/>
  <c r="V127" i="24"/>
  <c r="V119" i="24"/>
  <c r="V111" i="24"/>
  <c r="V87" i="24"/>
  <c r="V83" i="24"/>
  <c r="V130" i="24"/>
  <c r="V122" i="24"/>
  <c r="V114" i="24"/>
  <c r="V102" i="24"/>
  <c r="V74" i="24"/>
  <c r="V70" i="24"/>
  <c r="V66" i="24"/>
  <c r="V62" i="24"/>
  <c r="V58" i="24"/>
  <c r="V54" i="24"/>
  <c r="V129" i="24"/>
  <c r="V121" i="24"/>
  <c r="V113" i="24"/>
  <c r="V101" i="24"/>
  <c r="V93" i="24"/>
  <c r="V89" i="24"/>
  <c r="V134" i="24"/>
  <c r="V104" i="24"/>
  <c r="V88" i="24"/>
  <c r="V84" i="24"/>
  <c r="V80" i="24"/>
  <c r="V133" i="24"/>
  <c r="V131" i="24"/>
  <c r="V123" i="24"/>
  <c r="V115" i="24"/>
  <c r="V103" i="24"/>
  <c r="V95" i="24"/>
  <c r="V79" i="24"/>
  <c r="V77" i="24"/>
  <c r="V75" i="24"/>
  <c r="V71" i="24"/>
  <c r="V67" i="24"/>
  <c r="V63" i="24"/>
  <c r="V59" i="24"/>
  <c r="V55" i="24"/>
  <c r="V106" i="24"/>
  <c r="V94" i="24"/>
  <c r="V90" i="24"/>
  <c r="T77" i="24"/>
  <c r="V117" i="24"/>
  <c r="V105" i="24"/>
  <c r="V97" i="24"/>
  <c r="V85" i="24"/>
  <c r="V81" i="24"/>
  <c r="V138" i="24"/>
  <c r="V124" i="24"/>
  <c r="V116" i="24"/>
  <c r="V108" i="24"/>
  <c r="V96" i="24"/>
  <c r="V72" i="24"/>
  <c r="V68" i="24"/>
  <c r="V64" i="24"/>
  <c r="V60" i="24"/>
  <c r="V56" i="24"/>
  <c r="V52" i="24"/>
  <c r="V107" i="24"/>
  <c r="V99" i="24"/>
  <c r="V91" i="24"/>
  <c r="V118" i="24"/>
  <c r="V82" i="24"/>
  <c r="Z12" i="24"/>
  <c r="V126" i="24"/>
  <c r="V110" i="24"/>
  <c r="V98" i="24"/>
  <c r="V86" i="24"/>
  <c r="N249" i="15"/>
  <c r="X258" i="12"/>
  <c r="Z164" i="12"/>
  <c r="T269" i="12"/>
  <c r="R298" i="3"/>
  <c r="R259" i="3"/>
  <c r="R231" i="3"/>
  <c r="R224" i="3"/>
  <c r="R223" i="3"/>
  <c r="R207" i="3"/>
  <c r="R203" i="3"/>
  <c r="R309" i="3"/>
  <c r="R297" i="3"/>
  <c r="R294" i="3"/>
  <c r="R287" i="3"/>
  <c r="R286" i="3"/>
  <c r="R270" i="3"/>
  <c r="R251" i="3"/>
  <c r="R250" i="3"/>
  <c r="R308" i="3"/>
  <c r="R296" i="3"/>
  <c r="R281" i="3"/>
  <c r="R277" i="3"/>
  <c r="R266" i="3"/>
  <c r="R265" i="3"/>
  <c r="R242" i="3"/>
  <c r="R241" i="3"/>
  <c r="R226" i="3"/>
  <c r="R225" i="3"/>
  <c r="R217" i="3"/>
  <c r="R213" i="3"/>
  <c r="R307" i="3"/>
  <c r="R289" i="3"/>
  <c r="R288" i="3"/>
  <c r="R260" i="3"/>
  <c r="R253" i="3"/>
  <c r="R252" i="3"/>
  <c r="R233" i="3"/>
  <c r="R232" i="3"/>
  <c r="R208" i="3"/>
  <c r="R204" i="3"/>
  <c r="R313" i="3"/>
  <c r="R306" i="3"/>
  <c r="R272" i="3"/>
  <c r="R271" i="3"/>
  <c r="R267" i="3"/>
  <c r="R243" i="3"/>
  <c r="R227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18" i="3"/>
  <c r="R317" i="3"/>
  <c r="R305" i="3"/>
  <c r="R290" i="3"/>
  <c r="R282" i="3"/>
  <c r="R278" i="3"/>
  <c r="R255" i="3"/>
  <c r="R254" i="3"/>
  <c r="R235" i="3"/>
  <c r="R234" i="3"/>
  <c r="R219" i="3"/>
  <c r="R218" i="3"/>
  <c r="R214" i="3"/>
  <c r="R304" i="3"/>
  <c r="R273" i="3"/>
  <c r="R262" i="3"/>
  <c r="R261" i="3"/>
  <c r="R209" i="3"/>
  <c r="R205" i="3"/>
  <c r="R303" i="3"/>
  <c r="R268" i="3"/>
  <c r="R257" i="3"/>
  <c r="R256" i="3"/>
  <c r="R245" i="3"/>
  <c r="R244" i="3"/>
  <c r="R237" i="3"/>
  <c r="R236" i="3"/>
  <c r="R302" i="3"/>
  <c r="R291" i="3"/>
  <c r="R284" i="3"/>
  <c r="R283" i="3"/>
  <c r="R279" i="3"/>
  <c r="R263" i="3"/>
  <c r="R215" i="3"/>
  <c r="R200" i="3"/>
  <c r="R301" i="3"/>
  <c r="R275" i="3"/>
  <c r="R274" i="3"/>
  <c r="R258" i="3"/>
  <c r="R247" i="3"/>
  <c r="R246" i="3"/>
  <c r="R239" i="3"/>
  <c r="R238" i="3"/>
  <c r="R222" i="3"/>
  <c r="R211" i="3"/>
  <c r="R210" i="3"/>
  <c r="R206" i="3"/>
  <c r="R202" i="3"/>
  <c r="P198" i="3"/>
  <c r="R300" i="3"/>
  <c r="R285" i="3"/>
  <c r="R269" i="3"/>
  <c r="R230" i="3"/>
  <c r="R229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276" i="3"/>
  <c r="R240" i="3"/>
  <c r="R180" i="3"/>
  <c r="R160" i="3"/>
  <c r="R249" i="3"/>
  <c r="R182" i="3"/>
  <c r="R162" i="3"/>
  <c r="R142" i="3"/>
  <c r="R140" i="3"/>
  <c r="R220" i="3"/>
  <c r="R216" i="3"/>
  <c r="R178" i="3"/>
  <c r="R184" i="3"/>
  <c r="R164" i="3"/>
  <c r="R146" i="3"/>
  <c r="R144" i="3"/>
  <c r="R186" i="3"/>
  <c r="R166" i="3"/>
  <c r="R228" i="3"/>
  <c r="R168" i="3"/>
  <c r="R148" i="3"/>
  <c r="R137" i="3"/>
  <c r="R201" i="3"/>
  <c r="R150" i="3"/>
  <c r="R280" i="3"/>
  <c r="R221" i="3"/>
  <c r="R188" i="3"/>
  <c r="R170" i="3"/>
  <c r="R292" i="3"/>
  <c r="R190" i="3"/>
  <c r="R172" i="3"/>
  <c r="R154" i="3"/>
  <c r="R152" i="3"/>
  <c r="R293" i="3"/>
  <c r="R194" i="3"/>
  <c r="R192" i="3"/>
  <c r="R174" i="3"/>
  <c r="X12" i="3"/>
  <c r="R299" i="3"/>
  <c r="R264" i="3"/>
  <c r="R248" i="3"/>
  <c r="R196" i="3"/>
  <c r="R156" i="3"/>
  <c r="R212" i="3"/>
  <c r="R176" i="3"/>
  <c r="R158" i="3"/>
  <c r="R138" i="3"/>
  <c r="T27" i="53"/>
  <c r="Z18" i="53"/>
  <c r="X18" i="25"/>
  <c r="P27" i="25"/>
  <c r="P27" i="26"/>
  <c r="X18" i="26"/>
  <c r="H27" i="23"/>
  <c r="N18" i="23"/>
  <c r="D27" i="22"/>
  <c r="L18" i="22"/>
  <c r="L18" i="20"/>
  <c r="D27" i="20"/>
  <c r="L18" i="8"/>
  <c r="D27" i="8"/>
  <c r="J62" i="102"/>
  <c r="J54" i="102"/>
  <c r="J42" i="102"/>
  <c r="J73" i="102"/>
  <c r="J69" i="102"/>
  <c r="J63" i="102"/>
  <c r="J55" i="102"/>
  <c r="J43" i="102"/>
  <c r="J33" i="102"/>
  <c r="J29" i="102"/>
  <c r="J19" i="102"/>
  <c r="J74" i="102"/>
  <c r="J64" i="102"/>
  <c r="J56" i="102"/>
  <c r="J44" i="102"/>
  <c r="J75" i="102"/>
  <c r="J76" i="102"/>
  <c r="J70" i="102"/>
  <c r="J58" i="102"/>
  <c r="J77" i="102"/>
  <c r="J65" i="102"/>
  <c r="J78" i="102"/>
  <c r="J66" i="102"/>
  <c r="J48" i="102"/>
  <c r="J40" i="102"/>
  <c r="J26" i="102"/>
  <c r="N12" i="102"/>
  <c r="J79" i="102"/>
  <c r="J71" i="102"/>
  <c r="J67" i="102"/>
  <c r="J59" i="102"/>
  <c r="J49" i="102"/>
  <c r="J86" i="102"/>
  <c r="J72" i="102"/>
  <c r="J68" i="102"/>
  <c r="J60" i="102"/>
  <c r="J50" i="102"/>
  <c r="J47" i="102"/>
  <c r="J32" i="102"/>
  <c r="J61" i="102"/>
  <c r="J51" i="102"/>
  <c r="J41" i="102"/>
  <c r="J38" i="102"/>
  <c r="J20" i="102"/>
  <c r="J57" i="102"/>
  <c r="J35" i="102"/>
  <c r="J27" i="102"/>
  <c r="J45" i="102"/>
  <c r="J30" i="102"/>
  <c r="J82" i="102"/>
  <c r="J39" i="102"/>
  <c r="J36" i="102"/>
  <c r="J21" i="102"/>
  <c r="J52" i="102"/>
  <c r="J28" i="102"/>
  <c r="J46" i="102"/>
  <c r="J81" i="102"/>
  <c r="J34" i="102"/>
  <c r="H23" i="102"/>
  <c r="J23" i="102" s="1"/>
  <c r="J53" i="102"/>
  <c r="J25" i="102"/>
  <c r="J37" i="102"/>
  <c r="J31" i="102"/>
  <c r="P149" i="30"/>
  <c r="X70" i="30"/>
  <c r="Z70" i="30" s="1"/>
  <c r="L18" i="113"/>
  <c r="D27" i="113"/>
  <c r="X18" i="50"/>
  <c r="P27" i="50"/>
  <c r="X18" i="47"/>
  <c r="P27" i="47"/>
  <c r="L18" i="40"/>
  <c r="D27" i="40"/>
  <c r="L18" i="43"/>
  <c r="D27" i="43"/>
  <c r="H41" i="109"/>
  <c r="T68" i="94"/>
  <c r="X68" i="94" s="1"/>
  <c r="Z20" i="94"/>
  <c r="X20" i="94"/>
  <c r="D90" i="84"/>
  <c r="T30" i="86"/>
  <c r="Z18" i="86"/>
  <c r="V18" i="86"/>
  <c r="Z20" i="84"/>
  <c r="T86" i="84"/>
  <c r="V20" i="84"/>
  <c r="D30" i="86"/>
  <c r="L18" i="86"/>
  <c r="J67" i="80"/>
  <c r="J47" i="80"/>
  <c r="J31" i="80"/>
  <c r="J17" i="80"/>
  <c r="J68" i="80"/>
  <c r="J60" i="80"/>
  <c r="J48" i="80"/>
  <c r="J36" i="80"/>
  <c r="J32" i="80"/>
  <c r="J55" i="80"/>
  <c r="J37" i="80"/>
  <c r="J27" i="80"/>
  <c r="J70" i="80"/>
  <c r="J38" i="80"/>
  <c r="J18" i="80"/>
  <c r="J61" i="80"/>
  <c r="J49" i="80"/>
  <c r="J39" i="80"/>
  <c r="J33" i="80"/>
  <c r="J23" i="80"/>
  <c r="J74" i="80"/>
  <c r="J56" i="80"/>
  <c r="J40" i="80"/>
  <c r="J28" i="80"/>
  <c r="J24" i="80"/>
  <c r="J22" i="80"/>
  <c r="J57" i="80"/>
  <c r="J41" i="80"/>
  <c r="H20" i="80"/>
  <c r="J62" i="80"/>
  <c r="J58" i="80"/>
  <c r="J50" i="80"/>
  <c r="J42" i="80"/>
  <c r="J34" i="80"/>
  <c r="J63" i="80"/>
  <c r="J51" i="80"/>
  <c r="J43" i="80"/>
  <c r="J29" i="80"/>
  <c r="J25" i="80"/>
  <c r="J66" i="80"/>
  <c r="J64" i="80"/>
  <c r="J53" i="80"/>
  <c r="J45" i="80"/>
  <c r="J59" i="80"/>
  <c r="J35" i="80"/>
  <c r="J16" i="80"/>
  <c r="J65" i="80"/>
  <c r="J30" i="80"/>
  <c r="J54" i="80"/>
  <c r="J26" i="80"/>
  <c r="J46" i="80"/>
  <c r="J52" i="80"/>
  <c r="J44" i="80"/>
  <c r="P77" i="76"/>
  <c r="R29" i="76"/>
  <c r="X29" i="76"/>
  <c r="R58" i="79"/>
  <c r="V104" i="71"/>
  <c r="V100" i="71"/>
  <c r="V92" i="71"/>
  <c r="V56" i="71"/>
  <c r="V52" i="71"/>
  <c r="V48" i="71"/>
  <c r="V44" i="71"/>
  <c r="V99" i="71"/>
  <c r="V91" i="71"/>
  <c r="V83" i="71"/>
  <c r="V75" i="71"/>
  <c r="V106" i="71"/>
  <c r="V94" i="71"/>
  <c r="V82" i="71"/>
  <c r="V70" i="71"/>
  <c r="V66" i="71"/>
  <c r="V62" i="71"/>
  <c r="V101" i="71"/>
  <c r="V93" i="71"/>
  <c r="V85" i="71"/>
  <c r="V61" i="71"/>
  <c r="V59" i="71"/>
  <c r="V57" i="71"/>
  <c r="V53" i="71"/>
  <c r="V49" i="71"/>
  <c r="V45" i="71"/>
  <c r="V41" i="71"/>
  <c r="V108" i="71"/>
  <c r="V84" i="71"/>
  <c r="V76" i="71"/>
  <c r="V72" i="71"/>
  <c r="T59" i="71"/>
  <c r="V107" i="71"/>
  <c r="V95" i="71"/>
  <c r="V87" i="71"/>
  <c r="V71" i="71"/>
  <c r="V67" i="71"/>
  <c r="V63" i="71"/>
  <c r="V116" i="71"/>
  <c r="V110" i="71"/>
  <c r="V102" i="71"/>
  <c r="V86" i="71"/>
  <c r="V78" i="71"/>
  <c r="V54" i="71"/>
  <c r="V50" i="71"/>
  <c r="V46" i="71"/>
  <c r="V42" i="71"/>
  <c r="V114" i="71"/>
  <c r="V96" i="71"/>
  <c r="V88" i="71"/>
  <c r="V80" i="71"/>
  <c r="V68" i="71"/>
  <c r="V64" i="71"/>
  <c r="V120" i="71"/>
  <c r="V98" i="71"/>
  <c r="V90" i="71"/>
  <c r="V74" i="71"/>
  <c r="V115" i="71"/>
  <c r="V73" i="71"/>
  <c r="V97" i="71"/>
  <c r="V89" i="71"/>
  <c r="V113" i="71"/>
  <c r="V79" i="71"/>
  <c r="V77" i="71"/>
  <c r="V47" i="71"/>
  <c r="V105" i="71"/>
  <c r="V103" i="71"/>
  <c r="V81" i="71"/>
  <c r="V109" i="71"/>
  <c r="V65" i="71"/>
  <c r="V51" i="71"/>
  <c r="V55" i="71"/>
  <c r="V43" i="71"/>
  <c r="V111" i="71"/>
  <c r="V69" i="71"/>
  <c r="F67" i="81"/>
  <c r="F55" i="81"/>
  <c r="F54" i="81"/>
  <c r="F68" i="81"/>
  <c r="F64" i="81"/>
  <c r="F63" i="81"/>
  <c r="F56" i="81"/>
  <c r="F76" i="81"/>
  <c r="F80" i="81"/>
  <c r="F69" i="81"/>
  <c r="F65" i="81"/>
  <c r="F59" i="81"/>
  <c r="F51" i="81"/>
  <c r="F50" i="81"/>
  <c r="F70" i="81"/>
  <c r="F34" i="81"/>
  <c r="D20" i="81"/>
  <c r="F74" i="81"/>
  <c r="F41" i="81"/>
  <c r="F40" i="81"/>
  <c r="F29" i="81"/>
  <c r="F25" i="81"/>
  <c r="F60" i="81"/>
  <c r="F57" i="81"/>
  <c r="F66" i="81"/>
  <c r="F43" i="81"/>
  <c r="F42" i="81"/>
  <c r="F35" i="81"/>
  <c r="F71" i="81"/>
  <c r="F58" i="81"/>
  <c r="F52" i="81"/>
  <c r="F30" i="81"/>
  <c r="F26" i="81"/>
  <c r="F72" i="81"/>
  <c r="F45" i="81"/>
  <c r="F44" i="81"/>
  <c r="F17" i="81"/>
  <c r="F16" i="81"/>
  <c r="F36" i="81"/>
  <c r="L12" i="81"/>
  <c r="F61" i="81"/>
  <c r="F53" i="81"/>
  <c r="F47" i="81"/>
  <c r="F46" i="81"/>
  <c r="F31" i="81"/>
  <c r="F27" i="81"/>
  <c r="F18" i="81"/>
  <c r="F32" i="81"/>
  <c r="F48" i="81"/>
  <c r="F38" i="81"/>
  <c r="F24" i="81"/>
  <c r="F22" i="81"/>
  <c r="F33" i="81"/>
  <c r="F20" i="81"/>
  <c r="F62" i="81"/>
  <c r="F49" i="81"/>
  <c r="F23" i="81"/>
  <c r="F37" i="81"/>
  <c r="F39" i="81"/>
  <c r="F73" i="81"/>
  <c r="F28" i="81"/>
  <c r="H77" i="70"/>
  <c r="L113" i="71"/>
  <c r="N113" i="71" s="1"/>
  <c r="N102" i="51"/>
  <c r="Z118" i="42"/>
  <c r="Z127" i="39"/>
  <c r="R118" i="24"/>
  <c r="R99" i="24"/>
  <c r="R98" i="24"/>
  <c r="R86" i="24"/>
  <c r="R82" i="24"/>
  <c r="R126" i="24"/>
  <c r="R125" i="24"/>
  <c r="R110" i="24"/>
  <c r="R109" i="24"/>
  <c r="R73" i="24"/>
  <c r="R69" i="24"/>
  <c r="R65" i="24"/>
  <c r="R61" i="24"/>
  <c r="R57" i="24"/>
  <c r="R53" i="24"/>
  <c r="R100" i="24"/>
  <c r="R92" i="24"/>
  <c r="X12" i="24"/>
  <c r="R128" i="24"/>
  <c r="R127" i="24"/>
  <c r="R120" i="24"/>
  <c r="R119" i="24"/>
  <c r="R112" i="24"/>
  <c r="R111" i="24"/>
  <c r="R87" i="24"/>
  <c r="R83" i="24"/>
  <c r="R74" i="24"/>
  <c r="R70" i="24"/>
  <c r="R66" i="24"/>
  <c r="R62" i="24"/>
  <c r="R58" i="24"/>
  <c r="R54" i="24"/>
  <c r="R130" i="24"/>
  <c r="R129" i="24"/>
  <c r="R122" i="24"/>
  <c r="R121" i="24"/>
  <c r="R114" i="24"/>
  <c r="R113" i="24"/>
  <c r="R102" i="24"/>
  <c r="R101" i="24"/>
  <c r="R93" i="24"/>
  <c r="R89" i="24"/>
  <c r="R88" i="24"/>
  <c r="R84" i="24"/>
  <c r="R134" i="24"/>
  <c r="R131" i="24"/>
  <c r="R123" i="24"/>
  <c r="R115" i="24"/>
  <c r="R104" i="24"/>
  <c r="R103" i="24"/>
  <c r="R80" i="24"/>
  <c r="R75" i="24"/>
  <c r="R133" i="24"/>
  <c r="R95" i="24"/>
  <c r="R94" i="24"/>
  <c r="R90" i="24"/>
  <c r="R79" i="24"/>
  <c r="R77" i="24"/>
  <c r="R106" i="24"/>
  <c r="R105" i="24"/>
  <c r="R85" i="24"/>
  <c r="R81" i="24"/>
  <c r="P77" i="24"/>
  <c r="R138" i="24"/>
  <c r="R124" i="24"/>
  <c r="R117" i="24"/>
  <c r="R116" i="24"/>
  <c r="R97" i="24"/>
  <c r="R96" i="24"/>
  <c r="R72" i="24"/>
  <c r="R68" i="24"/>
  <c r="R64" i="24"/>
  <c r="R60" i="24"/>
  <c r="R56" i="24"/>
  <c r="R55" i="24"/>
  <c r="R67" i="24"/>
  <c r="R108" i="24"/>
  <c r="R59" i="24"/>
  <c r="R52" i="24"/>
  <c r="R71" i="24"/>
  <c r="R91" i="24"/>
  <c r="R63" i="24"/>
  <c r="R107" i="24"/>
  <c r="L60" i="27"/>
  <c r="D119" i="27"/>
  <c r="X12" i="21"/>
  <c r="Z12" i="21" s="1"/>
  <c r="X16" i="6"/>
  <c r="P22" i="6"/>
  <c r="L18" i="52"/>
  <c r="D27" i="52"/>
  <c r="H27" i="50"/>
  <c r="N18" i="50"/>
  <c r="T27" i="38"/>
  <c r="Z18" i="38"/>
  <c r="L18" i="28"/>
  <c r="D27" i="28"/>
  <c r="L18" i="25"/>
  <c r="D27" i="25"/>
  <c r="X18" i="23"/>
  <c r="P27" i="23"/>
  <c r="T27" i="22"/>
  <c r="Z18" i="22"/>
  <c r="H27" i="16"/>
  <c r="N18" i="16"/>
  <c r="P27" i="7"/>
  <c r="X18" i="7"/>
  <c r="T54" i="105"/>
  <c r="N102" i="77"/>
  <c r="F112" i="75"/>
  <c r="F107" i="75"/>
  <c r="F98" i="75"/>
  <c r="F94" i="75"/>
  <c r="F93" i="75"/>
  <c r="F86" i="75"/>
  <c r="F78" i="75"/>
  <c r="F77" i="75"/>
  <c r="F53" i="75"/>
  <c r="F46" i="75"/>
  <c r="F42" i="75"/>
  <c r="F38" i="75"/>
  <c r="F69" i="75"/>
  <c r="F65" i="75"/>
  <c r="D51" i="75"/>
  <c r="F51" i="75" s="1"/>
  <c r="F100" i="75"/>
  <c r="F99" i="75"/>
  <c r="F88" i="75"/>
  <c r="F87" i="75"/>
  <c r="F95" i="75"/>
  <c r="F79" i="75"/>
  <c r="F71" i="75"/>
  <c r="F70" i="75"/>
  <c r="F47" i="75"/>
  <c r="F43" i="75"/>
  <c r="F39" i="75"/>
  <c r="F35" i="75"/>
  <c r="F34" i="75"/>
  <c r="F102" i="75"/>
  <c r="F101" i="75"/>
  <c r="F66" i="75"/>
  <c r="F89" i="75"/>
  <c r="F81" i="75"/>
  <c r="F80" i="75"/>
  <c r="F73" i="75"/>
  <c r="F72" i="75"/>
  <c r="F61" i="75"/>
  <c r="F57" i="75"/>
  <c r="F104" i="75"/>
  <c r="F103" i="75"/>
  <c r="F96" i="75"/>
  <c r="F48" i="75"/>
  <c r="F44" i="75"/>
  <c r="F40" i="75"/>
  <c r="F36" i="75"/>
  <c r="F91" i="75"/>
  <c r="F90" i="75"/>
  <c r="F83" i="75"/>
  <c r="F82" i="75"/>
  <c r="F67" i="75"/>
  <c r="F92" i="75"/>
  <c r="F76" i="75"/>
  <c r="F75" i="75"/>
  <c r="F68" i="75"/>
  <c r="F64" i="75"/>
  <c r="F63" i="75"/>
  <c r="L12" i="75"/>
  <c r="N12" i="75" s="1"/>
  <c r="F58" i="75"/>
  <c r="F85" i="75"/>
  <c r="F60" i="75"/>
  <c r="F55" i="75"/>
  <c r="F62" i="75"/>
  <c r="F49" i="75"/>
  <c r="F45" i="75"/>
  <c r="F41" i="75"/>
  <c r="F37" i="75"/>
  <c r="F108" i="75"/>
  <c r="F59" i="75"/>
  <c r="F105" i="75"/>
  <c r="F97" i="75"/>
  <c r="F84" i="75"/>
  <c r="F74" i="75"/>
  <c r="F56" i="75"/>
  <c r="F54" i="75"/>
  <c r="R103" i="75"/>
  <c r="R102" i="75"/>
  <c r="R66" i="75"/>
  <c r="R90" i="75"/>
  <c r="R89" i="75"/>
  <c r="R82" i="75"/>
  <c r="R81" i="75"/>
  <c r="R73" i="75"/>
  <c r="R61" i="75"/>
  <c r="R57" i="75"/>
  <c r="R104" i="75"/>
  <c r="R96" i="75"/>
  <c r="R91" i="75"/>
  <c r="R84" i="75"/>
  <c r="R83" i="75"/>
  <c r="R67" i="75"/>
  <c r="R75" i="75"/>
  <c r="R74" i="75"/>
  <c r="R63" i="75"/>
  <c r="R62" i="75"/>
  <c r="R58" i="75"/>
  <c r="R108" i="75"/>
  <c r="R105" i="75"/>
  <c r="R97" i="75"/>
  <c r="R85" i="75"/>
  <c r="R54" i="75"/>
  <c r="R49" i="75"/>
  <c r="R45" i="75"/>
  <c r="R41" i="75"/>
  <c r="R37" i="75"/>
  <c r="R107" i="75"/>
  <c r="R93" i="75"/>
  <c r="R92" i="75"/>
  <c r="R77" i="75"/>
  <c r="R76" i="75"/>
  <c r="R68" i="75"/>
  <c r="R64" i="75"/>
  <c r="R53" i="75"/>
  <c r="X12" i="75"/>
  <c r="R59" i="75"/>
  <c r="R55" i="75"/>
  <c r="P51" i="75"/>
  <c r="R51" i="75" s="1"/>
  <c r="R101" i="75"/>
  <c r="R100" i="75"/>
  <c r="R88" i="75"/>
  <c r="R60" i="75"/>
  <c r="R56" i="75"/>
  <c r="R98" i="75"/>
  <c r="R65" i="75"/>
  <c r="R79" i="75"/>
  <c r="R71" i="75"/>
  <c r="R47" i="75"/>
  <c r="R43" i="75"/>
  <c r="R69" i="75"/>
  <c r="R39" i="75"/>
  <c r="R35" i="75"/>
  <c r="R99" i="75"/>
  <c r="R95" i="75"/>
  <c r="R86" i="75"/>
  <c r="R80" i="75"/>
  <c r="R78" i="75"/>
  <c r="R72" i="75"/>
  <c r="R70" i="75"/>
  <c r="R112" i="75"/>
  <c r="R46" i="75"/>
  <c r="R34" i="75"/>
  <c r="R48" i="75"/>
  <c r="R44" i="75"/>
  <c r="R42" i="75"/>
  <c r="R38" i="75"/>
  <c r="R94" i="75"/>
  <c r="R40" i="75"/>
  <c r="R36" i="75"/>
  <c r="R87" i="75"/>
  <c r="P65" i="68"/>
  <c r="X61" i="68"/>
  <c r="R90" i="71"/>
  <c r="R89" i="71"/>
  <c r="R81" i="71"/>
  <c r="R69" i="71"/>
  <c r="R65" i="71"/>
  <c r="R105" i="71"/>
  <c r="R104" i="71"/>
  <c r="R56" i="71"/>
  <c r="R52" i="71"/>
  <c r="R48" i="71"/>
  <c r="R44" i="71"/>
  <c r="R100" i="71"/>
  <c r="R99" i="71"/>
  <c r="R92" i="71"/>
  <c r="R91" i="71"/>
  <c r="R75" i="71"/>
  <c r="R106" i="71"/>
  <c r="R83" i="71"/>
  <c r="R82" i="71"/>
  <c r="R70" i="71"/>
  <c r="R66" i="71"/>
  <c r="R101" i="71"/>
  <c r="R94" i="71"/>
  <c r="R93" i="71"/>
  <c r="R62" i="71"/>
  <c r="R57" i="71"/>
  <c r="R53" i="71"/>
  <c r="R49" i="71"/>
  <c r="R45" i="71"/>
  <c r="R85" i="71"/>
  <c r="R84" i="71"/>
  <c r="R76" i="71"/>
  <c r="R61" i="71"/>
  <c r="R41" i="71"/>
  <c r="X12" i="71"/>
  <c r="Z12" i="71" s="1"/>
  <c r="R108" i="71"/>
  <c r="R107" i="71"/>
  <c r="R95" i="71"/>
  <c r="R72" i="71"/>
  <c r="R71" i="71"/>
  <c r="R67" i="71"/>
  <c r="R63" i="71"/>
  <c r="P59" i="71"/>
  <c r="R116" i="71"/>
  <c r="R110" i="71"/>
  <c r="R109" i="71"/>
  <c r="R78" i="71"/>
  <c r="R77" i="71"/>
  <c r="R73" i="71"/>
  <c r="R114" i="71"/>
  <c r="R111" i="71"/>
  <c r="R103" i="71"/>
  <c r="R80" i="71"/>
  <c r="R79" i="71"/>
  <c r="R55" i="71"/>
  <c r="R51" i="71"/>
  <c r="R47" i="71"/>
  <c r="R43" i="71"/>
  <c r="R120" i="71"/>
  <c r="R115" i="71"/>
  <c r="R50" i="71"/>
  <c r="R97" i="71"/>
  <c r="R113" i="71"/>
  <c r="R68" i="71"/>
  <c r="R54" i="71"/>
  <c r="R42" i="71"/>
  <c r="R74" i="71"/>
  <c r="R98" i="71"/>
  <c r="R46" i="71"/>
  <c r="R64" i="71"/>
  <c r="R86" i="71"/>
  <c r="R102" i="71"/>
  <c r="R88" i="71"/>
  <c r="R87" i="71"/>
  <c r="R96" i="71"/>
  <c r="T102" i="64"/>
  <c r="F109" i="71"/>
  <c r="F108" i="71"/>
  <c r="F77" i="71"/>
  <c r="F73" i="71"/>
  <c r="F72" i="71"/>
  <c r="D59" i="71"/>
  <c r="F96" i="71"/>
  <c r="F88" i="71"/>
  <c r="F87" i="71"/>
  <c r="F68" i="71"/>
  <c r="F64" i="71"/>
  <c r="F116" i="71"/>
  <c r="F111" i="71"/>
  <c r="F110" i="71"/>
  <c r="F103" i="71"/>
  <c r="F79" i="71"/>
  <c r="F78" i="71"/>
  <c r="F55" i="71"/>
  <c r="F51" i="71"/>
  <c r="F47" i="71"/>
  <c r="F43" i="71"/>
  <c r="F120" i="71"/>
  <c r="F115" i="71"/>
  <c r="F98" i="71"/>
  <c r="F97" i="71"/>
  <c r="F74" i="71"/>
  <c r="F114" i="71"/>
  <c r="F89" i="71"/>
  <c r="F81" i="71"/>
  <c r="F80" i="71"/>
  <c r="F69" i="71"/>
  <c r="F65" i="71"/>
  <c r="F113" i="71"/>
  <c r="F104" i="71"/>
  <c r="F56" i="71"/>
  <c r="F52" i="71"/>
  <c r="F48" i="71"/>
  <c r="F44" i="71"/>
  <c r="F99" i="71"/>
  <c r="F91" i="71"/>
  <c r="F90" i="71"/>
  <c r="F75" i="71"/>
  <c r="F101" i="71"/>
  <c r="F100" i="71"/>
  <c r="F93" i="71"/>
  <c r="F92" i="71"/>
  <c r="F57" i="71"/>
  <c r="F53" i="71"/>
  <c r="F49" i="71"/>
  <c r="F45" i="71"/>
  <c r="F107" i="71"/>
  <c r="F95" i="71"/>
  <c r="F94" i="71"/>
  <c r="F71" i="71"/>
  <c r="F67" i="71"/>
  <c r="F63" i="71"/>
  <c r="F62" i="71"/>
  <c r="F76" i="71"/>
  <c r="F46" i="71"/>
  <c r="F102" i="71"/>
  <c r="F82" i="71"/>
  <c r="F106" i="71"/>
  <c r="F66" i="71"/>
  <c r="F41" i="71"/>
  <c r="F50" i="71"/>
  <c r="F85" i="71"/>
  <c r="F61" i="71"/>
  <c r="F105" i="71"/>
  <c r="F86" i="71"/>
  <c r="L12" i="71"/>
  <c r="N12" i="71" s="1"/>
  <c r="F83" i="71"/>
  <c r="F70" i="71"/>
  <c r="F54" i="71"/>
  <c r="F84" i="71"/>
  <c r="F42" i="71"/>
  <c r="F59" i="71"/>
  <c r="H73" i="56"/>
  <c r="N16" i="56"/>
  <c r="H120" i="69"/>
  <c r="Z29" i="42"/>
  <c r="T123" i="42"/>
  <c r="D123" i="42"/>
  <c r="L29" i="42"/>
  <c r="N29" i="42" s="1"/>
  <c r="R122" i="39"/>
  <c r="R114" i="39"/>
  <c r="R110" i="39"/>
  <c r="R66" i="39"/>
  <c r="R34" i="39"/>
  <c r="R105" i="39"/>
  <c r="R93" i="39"/>
  <c r="R86" i="39"/>
  <c r="R85" i="39"/>
  <c r="R77" i="39"/>
  <c r="R58" i="39"/>
  <c r="R57" i="39"/>
  <c r="R53" i="39"/>
  <c r="R100" i="39"/>
  <c r="R48" i="39"/>
  <c r="R44" i="39"/>
  <c r="R130" i="39"/>
  <c r="R124" i="39"/>
  <c r="R123" i="39"/>
  <c r="R116" i="39"/>
  <c r="R115" i="39"/>
  <c r="R111" i="39"/>
  <c r="R88" i="39"/>
  <c r="R87" i="39"/>
  <c r="R68" i="39"/>
  <c r="R67" i="39"/>
  <c r="R60" i="39"/>
  <c r="R59" i="39"/>
  <c r="R40" i="39"/>
  <c r="R35" i="39"/>
  <c r="R129" i="39"/>
  <c r="R107" i="39"/>
  <c r="R106" i="39"/>
  <c r="R95" i="39"/>
  <c r="R94" i="39"/>
  <c r="R79" i="39"/>
  <c r="R78" i="39"/>
  <c r="R54" i="39"/>
  <c r="R39" i="39"/>
  <c r="R37" i="39"/>
  <c r="R128" i="39"/>
  <c r="R125" i="39"/>
  <c r="R118" i="39"/>
  <c r="R117" i="39"/>
  <c r="R101" i="39"/>
  <c r="R90" i="39"/>
  <c r="R89" i="39"/>
  <c r="R70" i="39"/>
  <c r="R69" i="39"/>
  <c r="R62" i="39"/>
  <c r="R61" i="39"/>
  <c r="R50" i="39"/>
  <c r="R49" i="39"/>
  <c r="R45" i="39"/>
  <c r="R41" i="39"/>
  <c r="R134" i="39"/>
  <c r="R127" i="39"/>
  <c r="R112" i="39"/>
  <c r="R108" i="39"/>
  <c r="R96" i="39"/>
  <c r="R80" i="39"/>
  <c r="R120" i="39"/>
  <c r="R119" i="39"/>
  <c r="R91" i="39"/>
  <c r="R72" i="39"/>
  <c r="R71" i="39"/>
  <c r="R64" i="39"/>
  <c r="R63" i="39"/>
  <c r="R55" i="39"/>
  <c r="R51" i="39"/>
  <c r="R102" i="39"/>
  <c r="R46" i="39"/>
  <c r="R42" i="39"/>
  <c r="R121" i="39"/>
  <c r="R113" i="39"/>
  <c r="R109" i="39"/>
  <c r="R98" i="39"/>
  <c r="R97" i="39"/>
  <c r="R82" i="39"/>
  <c r="R81" i="39"/>
  <c r="R74" i="39"/>
  <c r="R73" i="39"/>
  <c r="R65" i="39"/>
  <c r="R92" i="39"/>
  <c r="R56" i="39"/>
  <c r="R52" i="39"/>
  <c r="R33" i="39"/>
  <c r="X12" i="39"/>
  <c r="Z12" i="39" s="1"/>
  <c r="R103" i="39"/>
  <c r="R47" i="39"/>
  <c r="R83" i="39"/>
  <c r="R75" i="39"/>
  <c r="R104" i="39"/>
  <c r="R99" i="39"/>
  <c r="R84" i="39"/>
  <c r="R43" i="39"/>
  <c r="P37" i="39"/>
  <c r="R76" i="39"/>
  <c r="J29" i="42"/>
  <c r="R70" i="30"/>
  <c r="R114" i="36"/>
  <c r="R113" i="36"/>
  <c r="R98" i="36"/>
  <c r="R97" i="36"/>
  <c r="R124" i="36"/>
  <c r="R118" i="36"/>
  <c r="R117" i="36"/>
  <c r="R110" i="36"/>
  <c r="R109" i="36"/>
  <c r="R105" i="36"/>
  <c r="R122" i="36"/>
  <c r="R119" i="36"/>
  <c r="R112" i="36"/>
  <c r="R111" i="36"/>
  <c r="R95" i="36"/>
  <c r="R104" i="36"/>
  <c r="R101" i="36"/>
  <c r="R90" i="36"/>
  <c r="R65" i="36"/>
  <c r="R64" i="36"/>
  <c r="R57" i="36"/>
  <c r="R56" i="36"/>
  <c r="R48" i="36"/>
  <c r="R44" i="36"/>
  <c r="X12" i="36"/>
  <c r="Z12" i="36" s="1"/>
  <c r="R76" i="36"/>
  <c r="R75" i="36"/>
  <c r="R39" i="36"/>
  <c r="R35" i="36"/>
  <c r="R86" i="36"/>
  <c r="R67" i="36"/>
  <c r="R66" i="36"/>
  <c r="R58" i="36"/>
  <c r="R123" i="36"/>
  <c r="R116" i="36"/>
  <c r="R107" i="36"/>
  <c r="R102" i="36"/>
  <c r="R78" i="36"/>
  <c r="R77" i="36"/>
  <c r="R49" i="36"/>
  <c r="R45" i="36"/>
  <c r="R26" i="36"/>
  <c r="R128" i="36"/>
  <c r="R92" i="36"/>
  <c r="R91" i="36"/>
  <c r="R69" i="36"/>
  <c r="R68" i="36"/>
  <c r="R40" i="36"/>
  <c r="R36" i="36"/>
  <c r="R80" i="36"/>
  <c r="R79" i="36"/>
  <c r="R59" i="36"/>
  <c r="R27" i="36"/>
  <c r="R99" i="36"/>
  <c r="R96" i="36"/>
  <c r="R87" i="36"/>
  <c r="R71" i="36"/>
  <c r="R70" i="36"/>
  <c r="R51" i="36"/>
  <c r="R50" i="36"/>
  <c r="R46" i="36"/>
  <c r="R108" i="36"/>
  <c r="R93" i="36"/>
  <c r="R82" i="36"/>
  <c r="R81" i="36"/>
  <c r="R41" i="36"/>
  <c r="R37" i="36"/>
  <c r="R121" i="36"/>
  <c r="R103" i="36"/>
  <c r="R72" i="36"/>
  <c r="R61" i="36"/>
  <c r="R60" i="36"/>
  <c r="R53" i="36"/>
  <c r="R52" i="36"/>
  <c r="R33" i="36"/>
  <c r="R28" i="36"/>
  <c r="R84" i="36"/>
  <c r="R83" i="36"/>
  <c r="R47" i="36"/>
  <c r="R32" i="36"/>
  <c r="R106" i="36"/>
  <c r="R89" i="36"/>
  <c r="R88" i="36"/>
  <c r="R63" i="36"/>
  <c r="R62" i="36"/>
  <c r="R55" i="36"/>
  <c r="R54" i="36"/>
  <c r="R43" i="36"/>
  <c r="R42" i="36"/>
  <c r="R38" i="36"/>
  <c r="R34" i="36"/>
  <c r="P30" i="36"/>
  <c r="R115" i="36"/>
  <c r="R100" i="36"/>
  <c r="R74" i="36"/>
  <c r="R94" i="36"/>
  <c r="R73" i="36"/>
  <c r="R85" i="36"/>
  <c r="R90" i="33"/>
  <c r="R68" i="33"/>
  <c r="R67" i="33"/>
  <c r="R51" i="33"/>
  <c r="R40" i="33"/>
  <c r="R38" i="33"/>
  <c r="R96" i="33"/>
  <c r="R89" i="33"/>
  <c r="R83" i="33"/>
  <c r="R82" i="33"/>
  <c r="R59" i="33"/>
  <c r="R58" i="33"/>
  <c r="R46" i="33"/>
  <c r="R42" i="33"/>
  <c r="P38" i="33"/>
  <c r="R88" i="33"/>
  <c r="R77" i="33"/>
  <c r="R70" i="33"/>
  <c r="R69" i="33"/>
  <c r="R87" i="33"/>
  <c r="R84" i="33"/>
  <c r="R61" i="33"/>
  <c r="R60" i="33"/>
  <c r="R52" i="33"/>
  <c r="X12" i="33"/>
  <c r="Z12" i="33" s="1"/>
  <c r="R86" i="33"/>
  <c r="R71" i="33"/>
  <c r="R47" i="33"/>
  <c r="R43" i="33"/>
  <c r="R78" i="33"/>
  <c r="R63" i="33"/>
  <c r="R62" i="33"/>
  <c r="R53" i="33"/>
  <c r="R73" i="33"/>
  <c r="R72" i="33"/>
  <c r="R64" i="33"/>
  <c r="R48" i="33"/>
  <c r="R44" i="33"/>
  <c r="R79" i="33"/>
  <c r="R35" i="33"/>
  <c r="R75" i="33"/>
  <c r="R74" i="33"/>
  <c r="R55" i="33"/>
  <c r="R54" i="33"/>
  <c r="R31" i="33"/>
  <c r="R92" i="33"/>
  <c r="R66" i="33"/>
  <c r="R65" i="33"/>
  <c r="R50" i="33"/>
  <c r="R49" i="33"/>
  <c r="R45" i="33"/>
  <c r="R57" i="33"/>
  <c r="R81" i="33"/>
  <c r="R76" i="33"/>
  <c r="R33" i="33"/>
  <c r="R41" i="33"/>
  <c r="R56" i="33"/>
  <c r="R80" i="33"/>
  <c r="R36" i="33"/>
  <c r="R32" i="33"/>
  <c r="R91" i="33"/>
  <c r="R34" i="33"/>
  <c r="H26" i="6"/>
  <c r="N22" i="6"/>
  <c r="H27" i="111"/>
  <c r="N18" i="111"/>
  <c r="L18" i="111"/>
  <c r="D27" i="111"/>
  <c r="H27" i="49"/>
  <c r="N18" i="49"/>
  <c r="L18" i="53"/>
  <c r="D27" i="53"/>
  <c r="X18" i="44"/>
  <c r="P27" i="44"/>
  <c r="T27" i="37"/>
  <c r="Z18" i="37"/>
  <c r="L18" i="35"/>
  <c r="D27" i="35"/>
  <c r="T27" i="28"/>
  <c r="Z18" i="28"/>
  <c r="H27" i="17"/>
  <c r="N18" i="17"/>
  <c r="Z18" i="11"/>
  <c r="T27" i="11"/>
  <c r="T27" i="4"/>
  <c r="Z18" i="4"/>
  <c r="P27" i="11"/>
  <c r="X18" i="11"/>
  <c r="X18" i="4"/>
  <c r="P27" i="4"/>
  <c r="H27" i="4"/>
  <c r="N18" i="4"/>
  <c r="P54" i="105"/>
  <c r="X21" i="105"/>
  <c r="Z21" i="105" s="1"/>
  <c r="F62" i="108"/>
  <c r="F54" i="108"/>
  <c r="F53" i="108"/>
  <c r="F42" i="108"/>
  <c r="F41" i="108"/>
  <c r="F81" i="108"/>
  <c r="F73" i="108"/>
  <c r="F69" i="108"/>
  <c r="F37" i="108"/>
  <c r="F64" i="108"/>
  <c r="F63" i="108"/>
  <c r="F56" i="108"/>
  <c r="F55" i="108"/>
  <c r="F83" i="108"/>
  <c r="F74" i="108"/>
  <c r="F70" i="108"/>
  <c r="F58" i="108"/>
  <c r="F57" i="108"/>
  <c r="F46" i="108"/>
  <c r="F45" i="108"/>
  <c r="F38" i="108"/>
  <c r="F87" i="108"/>
  <c r="F65" i="108"/>
  <c r="F33" i="108"/>
  <c r="F76" i="108"/>
  <c r="F75" i="108"/>
  <c r="F71" i="108"/>
  <c r="F39" i="108"/>
  <c r="F35" i="108"/>
  <c r="F34" i="108"/>
  <c r="F78" i="108"/>
  <c r="F77" i="108"/>
  <c r="F66" i="108"/>
  <c r="F50" i="108"/>
  <c r="F49" i="108"/>
  <c r="F30" i="108"/>
  <c r="F26" i="108"/>
  <c r="F80" i="108"/>
  <c r="F79" i="108"/>
  <c r="F72" i="108"/>
  <c r="F68" i="108"/>
  <c r="F67" i="108"/>
  <c r="F52" i="108"/>
  <c r="F51" i="108"/>
  <c r="F61" i="108"/>
  <c r="F29" i="108"/>
  <c r="F19" i="108"/>
  <c r="F48" i="108"/>
  <c r="F43" i="108"/>
  <c r="F40" i="108"/>
  <c r="F25" i="108"/>
  <c r="F59" i="108"/>
  <c r="F31" i="108"/>
  <c r="F27" i="108"/>
  <c r="L12" i="108"/>
  <c r="N12" i="108" s="1"/>
  <c r="F36" i="108"/>
  <c r="F44" i="108"/>
  <c r="F21" i="108"/>
  <c r="F60" i="108"/>
  <c r="D21" i="108"/>
  <c r="F17" i="108"/>
  <c r="F47" i="108"/>
  <c r="F24" i="108"/>
  <c r="F18" i="108"/>
  <c r="F23" i="108"/>
  <c r="F28" i="108"/>
  <c r="F32" i="108"/>
  <c r="P83" i="88"/>
  <c r="X20" i="88"/>
  <c r="R20" i="88"/>
  <c r="Z16" i="107"/>
  <c r="T24" i="107"/>
  <c r="J81" i="108"/>
  <c r="J73" i="108"/>
  <c r="J69" i="108"/>
  <c r="J63" i="108"/>
  <c r="J55" i="108"/>
  <c r="J43" i="108"/>
  <c r="J37" i="108"/>
  <c r="J64" i="108"/>
  <c r="J56" i="108"/>
  <c r="J44" i="108"/>
  <c r="J32" i="108"/>
  <c r="J28" i="108"/>
  <c r="J83" i="108"/>
  <c r="J57" i="108"/>
  <c r="J74" i="108"/>
  <c r="J70" i="108"/>
  <c r="J58" i="108"/>
  <c r="J46" i="108"/>
  <c r="J87" i="108"/>
  <c r="J75" i="108"/>
  <c r="J65" i="108"/>
  <c r="J59" i="108"/>
  <c r="J47" i="108"/>
  <c r="J33" i="108"/>
  <c r="J29" i="108"/>
  <c r="J25" i="108"/>
  <c r="J23" i="108"/>
  <c r="J76" i="108"/>
  <c r="J60" i="108"/>
  <c r="J48" i="108"/>
  <c r="J34" i="108"/>
  <c r="J77" i="108"/>
  <c r="J71" i="108"/>
  <c r="J78" i="108"/>
  <c r="J66" i="108"/>
  <c r="J50" i="108"/>
  <c r="J30" i="108"/>
  <c r="J26" i="108"/>
  <c r="J79" i="108"/>
  <c r="J67" i="108"/>
  <c r="J61" i="108"/>
  <c r="J51" i="108"/>
  <c r="J53" i="108"/>
  <c r="J19" i="108"/>
  <c r="J52" i="108"/>
  <c r="J40" i="108"/>
  <c r="J68" i="108"/>
  <c r="J31" i="108"/>
  <c r="J27" i="108"/>
  <c r="J38" i="108"/>
  <c r="J41" i="108"/>
  <c r="J36" i="108"/>
  <c r="J49" i="108"/>
  <c r="H21" i="108"/>
  <c r="J21" i="108" s="1"/>
  <c r="J17" i="108"/>
  <c r="J72" i="108"/>
  <c r="J62" i="108"/>
  <c r="J80" i="108"/>
  <c r="J35" i="108"/>
  <c r="J42" i="108"/>
  <c r="J24" i="108"/>
  <c r="J45" i="108"/>
  <c r="J39" i="108"/>
  <c r="J54" i="108"/>
  <c r="J18" i="108"/>
  <c r="F54" i="105"/>
  <c r="F52" i="105"/>
  <c r="F56" i="105"/>
  <c r="F46" i="105"/>
  <c r="F41" i="105"/>
  <c r="F40" i="105"/>
  <c r="F48" i="105"/>
  <c r="F45" i="105"/>
  <c r="F42" i="105"/>
  <c r="L12" i="105"/>
  <c r="N12" i="105" s="1"/>
  <c r="F36" i="105"/>
  <c r="F18" i="105"/>
  <c r="F17" i="105"/>
  <c r="F58" i="105"/>
  <c r="F43" i="105"/>
  <c r="F32" i="105"/>
  <c r="F29" i="105"/>
  <c r="F28" i="105"/>
  <c r="F50" i="105"/>
  <c r="F37" i="105"/>
  <c r="F19" i="105"/>
  <c r="F33" i="105"/>
  <c r="F30" i="105"/>
  <c r="F25" i="105"/>
  <c r="F24" i="105"/>
  <c r="F44" i="105"/>
  <c r="F38" i="105"/>
  <c r="F23" i="105"/>
  <c r="F21" i="105"/>
  <c r="F61" i="105"/>
  <c r="F49" i="105"/>
  <c r="F26" i="105"/>
  <c r="F47" i="105"/>
  <c r="F34" i="105"/>
  <c r="F35" i="105"/>
  <c r="D21" i="105"/>
  <c r="F39" i="105"/>
  <c r="F27" i="105"/>
  <c r="F31" i="105"/>
  <c r="R116" i="85"/>
  <c r="R108" i="85"/>
  <c r="R72" i="85"/>
  <c r="R37" i="85"/>
  <c r="X12" i="85"/>
  <c r="Z12" i="85" s="1"/>
  <c r="R118" i="85"/>
  <c r="R96" i="85"/>
  <c r="R95" i="85"/>
  <c r="R84" i="85"/>
  <c r="R83" i="85"/>
  <c r="R67" i="85"/>
  <c r="R63" i="85"/>
  <c r="R103" i="85"/>
  <c r="R102" i="85"/>
  <c r="R54" i="85"/>
  <c r="R50" i="85"/>
  <c r="R46" i="85"/>
  <c r="R42" i="85"/>
  <c r="R38" i="85"/>
  <c r="R109" i="85"/>
  <c r="R97" i="85"/>
  <c r="R86" i="85"/>
  <c r="R85" i="85"/>
  <c r="R74" i="85"/>
  <c r="R73" i="85"/>
  <c r="R122" i="85"/>
  <c r="R105" i="85"/>
  <c r="R104" i="85"/>
  <c r="R69" i="85"/>
  <c r="R68" i="85"/>
  <c r="R64" i="85"/>
  <c r="R88" i="85"/>
  <c r="R87" i="85"/>
  <c r="R76" i="85"/>
  <c r="R75" i="85"/>
  <c r="R60" i="85"/>
  <c r="R55" i="85"/>
  <c r="R51" i="85"/>
  <c r="R47" i="85"/>
  <c r="R43" i="85"/>
  <c r="R39" i="85"/>
  <c r="R111" i="85"/>
  <c r="R110" i="85"/>
  <c r="R106" i="85"/>
  <c r="R99" i="85"/>
  <c r="R98" i="85"/>
  <c r="R70" i="85"/>
  <c r="R59" i="85"/>
  <c r="R113" i="85"/>
  <c r="R112" i="85"/>
  <c r="R100" i="85"/>
  <c r="R52" i="85"/>
  <c r="R48" i="85"/>
  <c r="R44" i="85"/>
  <c r="R40" i="85"/>
  <c r="R115" i="85"/>
  <c r="R114" i="85"/>
  <c r="R66" i="85"/>
  <c r="R62" i="85"/>
  <c r="R107" i="85"/>
  <c r="R93" i="85"/>
  <c r="R53" i="85"/>
  <c r="R91" i="85"/>
  <c r="R89" i="85"/>
  <c r="R82" i="85"/>
  <c r="R78" i="85"/>
  <c r="R80" i="85"/>
  <c r="R61" i="85"/>
  <c r="R41" i="85"/>
  <c r="R94" i="85"/>
  <c r="R90" i="85"/>
  <c r="R92" i="85"/>
  <c r="R65" i="85"/>
  <c r="R45" i="85"/>
  <c r="R101" i="85"/>
  <c r="R77" i="85"/>
  <c r="R49" i="85"/>
  <c r="P57" i="85"/>
  <c r="R57" i="85" s="1"/>
  <c r="R79" i="85"/>
  <c r="R71" i="85"/>
  <c r="R81" i="85"/>
  <c r="P72" i="110"/>
  <c r="X17" i="110"/>
  <c r="Z17" i="110" s="1"/>
  <c r="D72" i="110"/>
  <c r="L17" i="110"/>
  <c r="N17" i="110" s="1"/>
  <c r="N33" i="109"/>
  <c r="L24" i="107"/>
  <c r="D28" i="107"/>
  <c r="F77" i="106"/>
  <c r="F76" i="106"/>
  <c r="F61" i="106"/>
  <c r="F72" i="106"/>
  <c r="F68" i="106"/>
  <c r="F67" i="106"/>
  <c r="F52" i="106"/>
  <c r="F51" i="106"/>
  <c r="F40" i="106"/>
  <c r="F36" i="106"/>
  <c r="L12" i="106"/>
  <c r="N12" i="106" s="1"/>
  <c r="F79" i="106"/>
  <c r="F78" i="106"/>
  <c r="F62" i="106"/>
  <c r="F54" i="106"/>
  <c r="F53" i="106"/>
  <c r="F42" i="106"/>
  <c r="F41" i="106"/>
  <c r="F18" i="106"/>
  <c r="F17" i="106"/>
  <c r="F81" i="106"/>
  <c r="F80" i="106"/>
  <c r="F73" i="106"/>
  <c r="F69" i="106"/>
  <c r="F37" i="106"/>
  <c r="F64" i="106"/>
  <c r="F63" i="106"/>
  <c r="F56" i="106"/>
  <c r="F55" i="106"/>
  <c r="F44" i="106"/>
  <c r="F43" i="106"/>
  <c r="F32" i="106"/>
  <c r="F28" i="106"/>
  <c r="F19" i="106"/>
  <c r="F83" i="106"/>
  <c r="F74" i="106"/>
  <c r="F70" i="106"/>
  <c r="F58" i="106"/>
  <c r="F57" i="106"/>
  <c r="F46" i="106"/>
  <c r="F45" i="106"/>
  <c r="F38" i="106"/>
  <c r="F75" i="106"/>
  <c r="F71" i="106"/>
  <c r="F39" i="106"/>
  <c r="F35" i="106"/>
  <c r="F34" i="106"/>
  <c r="D21" i="106"/>
  <c r="F66" i="106"/>
  <c r="F50" i="106"/>
  <c r="F49" i="106"/>
  <c r="F25" i="106"/>
  <c r="F60" i="106"/>
  <c r="F48" i="106"/>
  <c r="F27" i="106"/>
  <c r="F29" i="106"/>
  <c r="F31" i="106"/>
  <c r="F23" i="106"/>
  <c r="F87" i="106"/>
  <c r="F33" i="106"/>
  <c r="F59" i="106"/>
  <c r="F47" i="106"/>
  <c r="F26" i="106"/>
  <c r="F30" i="106"/>
  <c r="F21" i="106"/>
  <c r="F65" i="106"/>
  <c r="F24" i="106"/>
  <c r="X81" i="102"/>
  <c r="Z81" i="102" s="1"/>
  <c r="T50" i="103"/>
  <c r="Z16" i="103"/>
  <c r="D43" i="100"/>
  <c r="L17" i="100"/>
  <c r="H77" i="95"/>
  <c r="N89" i="92"/>
  <c r="F66" i="80"/>
  <c r="F65" i="80"/>
  <c r="F54" i="80"/>
  <c r="F53" i="80"/>
  <c r="F46" i="80"/>
  <c r="F45" i="80"/>
  <c r="F30" i="80"/>
  <c r="F26" i="80"/>
  <c r="F17" i="80"/>
  <c r="F16" i="80"/>
  <c r="F68" i="80"/>
  <c r="F67" i="80"/>
  <c r="F60" i="80"/>
  <c r="F48" i="80"/>
  <c r="F47" i="80"/>
  <c r="F36" i="80"/>
  <c r="F32" i="80"/>
  <c r="F31" i="80"/>
  <c r="L12" i="80"/>
  <c r="N12" i="80" s="1"/>
  <c r="F55" i="80"/>
  <c r="F27" i="80"/>
  <c r="F38" i="80"/>
  <c r="F37" i="80"/>
  <c r="F18" i="80"/>
  <c r="F70" i="80"/>
  <c r="F61" i="80"/>
  <c r="F49" i="80"/>
  <c r="F33" i="80"/>
  <c r="F74" i="80"/>
  <c r="F56" i="80"/>
  <c r="F40" i="80"/>
  <c r="F39" i="80"/>
  <c r="F28" i="80"/>
  <c r="F24" i="80"/>
  <c r="F23" i="80"/>
  <c r="F22" i="80"/>
  <c r="F62" i="80"/>
  <c r="F58" i="80"/>
  <c r="F57" i="80"/>
  <c r="F50" i="80"/>
  <c r="F42" i="80"/>
  <c r="F41" i="80"/>
  <c r="F34" i="80"/>
  <c r="D20" i="80"/>
  <c r="F20" i="80" s="1"/>
  <c r="F64" i="80"/>
  <c r="F25" i="80"/>
  <c r="F51" i="80"/>
  <c r="F59" i="80"/>
  <c r="F43" i="80"/>
  <c r="F35" i="80"/>
  <c r="F29" i="80"/>
  <c r="F63" i="80"/>
  <c r="F44" i="80"/>
  <c r="F52" i="80"/>
  <c r="V20" i="80"/>
  <c r="T72" i="80"/>
  <c r="P72" i="80"/>
  <c r="X20" i="80"/>
  <c r="Z20" i="80" s="1"/>
  <c r="R93" i="77"/>
  <c r="R82" i="77"/>
  <c r="R81" i="77"/>
  <c r="R65" i="77"/>
  <c r="R61" i="77"/>
  <c r="R57" i="77"/>
  <c r="R52" i="77"/>
  <c r="R48" i="77"/>
  <c r="R44" i="77"/>
  <c r="R84" i="77"/>
  <c r="R83" i="77"/>
  <c r="R72" i="77"/>
  <c r="R71" i="77"/>
  <c r="R56" i="77"/>
  <c r="R54" i="77"/>
  <c r="R95" i="77"/>
  <c r="R94" i="77"/>
  <c r="R67" i="77"/>
  <c r="R66" i="77"/>
  <c r="R62" i="77"/>
  <c r="R58" i="77"/>
  <c r="P54" i="77"/>
  <c r="R86" i="77"/>
  <c r="R85" i="77"/>
  <c r="R74" i="77"/>
  <c r="R73" i="77"/>
  <c r="R49" i="77"/>
  <c r="R45" i="77"/>
  <c r="R41" i="77"/>
  <c r="R97" i="77"/>
  <c r="R96" i="77"/>
  <c r="R68" i="77"/>
  <c r="R106" i="77"/>
  <c r="R88" i="77"/>
  <c r="R87" i="77"/>
  <c r="R76" i="77"/>
  <c r="R75" i="77"/>
  <c r="R63" i="77"/>
  <c r="R59" i="77"/>
  <c r="R105" i="77"/>
  <c r="R99" i="77"/>
  <c r="R98" i="77"/>
  <c r="R50" i="77"/>
  <c r="R46" i="77"/>
  <c r="R42" i="77"/>
  <c r="R104" i="77"/>
  <c r="R102" i="77"/>
  <c r="R47" i="77"/>
  <c r="R51" i="77"/>
  <c r="R39" i="77"/>
  <c r="R79" i="77"/>
  <c r="R64" i="77"/>
  <c r="X12" i="77"/>
  <c r="Z12" i="77" s="1"/>
  <c r="R100" i="77"/>
  <c r="R91" i="77"/>
  <c r="R70" i="77"/>
  <c r="R103" i="77"/>
  <c r="R77" i="77"/>
  <c r="R89" i="77"/>
  <c r="R80" i="77"/>
  <c r="R40" i="77"/>
  <c r="R69" i="77"/>
  <c r="R60" i="77"/>
  <c r="R43" i="77"/>
  <c r="R110" i="77"/>
  <c r="R78" i="77"/>
  <c r="R90" i="77"/>
  <c r="R38" i="77"/>
  <c r="R92" i="77"/>
  <c r="X25" i="79"/>
  <c r="P65" i="79"/>
  <c r="J74" i="81"/>
  <c r="J62" i="81"/>
  <c r="J57" i="81"/>
  <c r="J80" i="81"/>
  <c r="J70" i="81"/>
  <c r="J66" i="81"/>
  <c r="J52" i="81"/>
  <c r="J72" i="81"/>
  <c r="J60" i="81"/>
  <c r="J51" i="81"/>
  <c r="J41" i="81"/>
  <c r="J29" i="81"/>
  <c r="J25" i="81"/>
  <c r="J68" i="81"/>
  <c r="J63" i="81"/>
  <c r="J42" i="81"/>
  <c r="J71" i="81"/>
  <c r="J43" i="81"/>
  <c r="J35" i="81"/>
  <c r="J58" i="81"/>
  <c r="J55" i="81"/>
  <c r="J44" i="81"/>
  <c r="J30" i="81"/>
  <c r="J26" i="81"/>
  <c r="J16" i="81"/>
  <c r="J45" i="81"/>
  <c r="J17" i="81"/>
  <c r="J64" i="81"/>
  <c r="J61" i="81"/>
  <c r="J46" i="81"/>
  <c r="J36" i="81"/>
  <c r="N12" i="81"/>
  <c r="J53" i="81"/>
  <c r="J47" i="81"/>
  <c r="J31" i="81"/>
  <c r="J27" i="81"/>
  <c r="J76" i="81"/>
  <c r="J69" i="81"/>
  <c r="J48" i="81"/>
  <c r="J32" i="81"/>
  <c r="J18" i="81"/>
  <c r="J67" i="81"/>
  <c r="J56" i="81"/>
  <c r="J49" i="81"/>
  <c r="J37" i="81"/>
  <c r="J33" i="81"/>
  <c r="J23" i="81"/>
  <c r="J59" i="81"/>
  <c r="J40" i="81"/>
  <c r="J38" i="81"/>
  <c r="J34" i="81"/>
  <c r="J22" i="81"/>
  <c r="J54" i="81"/>
  <c r="J50" i="81"/>
  <c r="J24" i="81"/>
  <c r="J65" i="81"/>
  <c r="H20" i="81"/>
  <c r="J73" i="81"/>
  <c r="J28" i="81"/>
  <c r="J39" i="81"/>
  <c r="F72" i="74"/>
  <c r="F71" i="74"/>
  <c r="F60" i="74"/>
  <c r="F56" i="74"/>
  <c r="F55" i="74"/>
  <c r="F73" i="74"/>
  <c r="F61" i="74"/>
  <c r="F57" i="74"/>
  <c r="F84" i="74"/>
  <c r="F83" i="74"/>
  <c r="F48" i="74"/>
  <c r="F44" i="74"/>
  <c r="F75" i="74"/>
  <c r="F74" i="74"/>
  <c r="F67" i="74"/>
  <c r="F86" i="74"/>
  <c r="F85" i="74"/>
  <c r="F62" i="74"/>
  <c r="F58" i="74"/>
  <c r="F77" i="74"/>
  <c r="F76" i="74"/>
  <c r="F49" i="74"/>
  <c r="F45" i="74"/>
  <c r="F92" i="74"/>
  <c r="F70" i="74"/>
  <c r="F69" i="74"/>
  <c r="F50" i="74"/>
  <c r="F46" i="74"/>
  <c r="F65" i="74"/>
  <c r="F52" i="74"/>
  <c r="D52" i="74"/>
  <c r="F41" i="74"/>
  <c r="F37" i="74"/>
  <c r="F79" i="74"/>
  <c r="L12" i="74"/>
  <c r="N12" i="74" s="1"/>
  <c r="F47" i="74"/>
  <c r="F88" i="74"/>
  <c r="F82" i="74"/>
  <c r="F63" i="74"/>
  <c r="F54" i="74"/>
  <c r="F42" i="74"/>
  <c r="F38" i="74"/>
  <c r="F68" i="74"/>
  <c r="F39" i="74"/>
  <c r="F64" i="74"/>
  <c r="F81" i="74"/>
  <c r="F78" i="74"/>
  <c r="F43" i="74"/>
  <c r="F66" i="74"/>
  <c r="F59" i="74"/>
  <c r="F80" i="74"/>
  <c r="F35" i="74"/>
  <c r="F36" i="74"/>
  <c r="F40" i="74"/>
  <c r="P82" i="73"/>
  <c r="X26" i="73"/>
  <c r="Z26" i="73" s="1"/>
  <c r="X113" i="71"/>
  <c r="R117" i="69"/>
  <c r="R91" i="69"/>
  <c r="R90" i="69"/>
  <c r="R78" i="69"/>
  <c r="R74" i="69"/>
  <c r="P70" i="69"/>
  <c r="R109" i="69"/>
  <c r="R102" i="69"/>
  <c r="R101" i="69"/>
  <c r="R65" i="69"/>
  <c r="R61" i="69"/>
  <c r="R57" i="69"/>
  <c r="R53" i="69"/>
  <c r="R49" i="69"/>
  <c r="R122" i="69"/>
  <c r="R92" i="69"/>
  <c r="R84" i="69"/>
  <c r="X12" i="69"/>
  <c r="Z12" i="69" s="1"/>
  <c r="R103" i="69"/>
  <c r="R79" i="69"/>
  <c r="R75" i="69"/>
  <c r="R110" i="69"/>
  <c r="R66" i="69"/>
  <c r="R62" i="69"/>
  <c r="R58" i="69"/>
  <c r="R54" i="69"/>
  <c r="R50" i="69"/>
  <c r="R94" i="69"/>
  <c r="R93" i="69"/>
  <c r="R85" i="69"/>
  <c r="R105" i="69"/>
  <c r="R104" i="69"/>
  <c r="R80" i="69"/>
  <c r="R76" i="69"/>
  <c r="R106" i="69"/>
  <c r="R87" i="69"/>
  <c r="R86" i="69"/>
  <c r="R114" i="69"/>
  <c r="R113" i="69"/>
  <c r="R98" i="69"/>
  <c r="R97" i="69"/>
  <c r="R82" i="69"/>
  <c r="R81" i="69"/>
  <c r="R77" i="69"/>
  <c r="R115" i="69"/>
  <c r="R118" i="69"/>
  <c r="R88" i="69"/>
  <c r="R68" i="69"/>
  <c r="R60" i="69"/>
  <c r="R51" i="69"/>
  <c r="R107" i="69"/>
  <c r="R72" i="69"/>
  <c r="R112" i="69"/>
  <c r="R99" i="69"/>
  <c r="R89" i="69"/>
  <c r="R55" i="69"/>
  <c r="R83" i="69"/>
  <c r="R73" i="69"/>
  <c r="R63" i="69"/>
  <c r="R108" i="69"/>
  <c r="R100" i="69"/>
  <c r="R52" i="69"/>
  <c r="R48" i="69"/>
  <c r="R111" i="69"/>
  <c r="R95" i="69"/>
  <c r="R64" i="69"/>
  <c r="R56" i="69"/>
  <c r="R96" i="69"/>
  <c r="R67" i="69"/>
  <c r="R59" i="69"/>
  <c r="T82" i="73"/>
  <c r="F17" i="48"/>
  <c r="D72" i="48"/>
  <c r="L17" i="48"/>
  <c r="P72" i="48"/>
  <c r="X17" i="48"/>
  <c r="Z17" i="48" s="1"/>
  <c r="J84" i="45"/>
  <c r="J78" i="45"/>
  <c r="J74" i="45"/>
  <c r="J71" i="45"/>
  <c r="J67" i="45"/>
  <c r="J57" i="45"/>
  <c r="J45" i="45"/>
  <c r="J35" i="45"/>
  <c r="J31" i="45"/>
  <c r="J81" i="45"/>
  <c r="J58" i="45"/>
  <c r="J46" i="45"/>
  <c r="J22" i="45"/>
  <c r="J82" i="45"/>
  <c r="J72" i="45"/>
  <c r="J60" i="45"/>
  <c r="J48" i="45"/>
  <c r="J36" i="45"/>
  <c r="J94" i="45"/>
  <c r="J79" i="45"/>
  <c r="J76" i="45"/>
  <c r="J68" i="45"/>
  <c r="J61" i="45"/>
  <c r="J49" i="45"/>
  <c r="J37" i="45"/>
  <c r="H24" i="45"/>
  <c r="J83" i="45"/>
  <c r="J73" i="45"/>
  <c r="J69" i="45"/>
  <c r="J62" i="45"/>
  <c r="J50" i="45"/>
  <c r="J42" i="45"/>
  <c r="J38" i="45"/>
  <c r="J63" i="45"/>
  <c r="J51" i="45"/>
  <c r="J33" i="45"/>
  <c r="J88" i="45"/>
  <c r="J70" i="45"/>
  <c r="J64" i="45"/>
  <c r="J52" i="45"/>
  <c r="J77" i="45"/>
  <c r="J65" i="45"/>
  <c r="J53" i="45"/>
  <c r="J43" i="45"/>
  <c r="J39" i="45"/>
  <c r="J90" i="45"/>
  <c r="J55" i="45"/>
  <c r="J21" i="45"/>
  <c r="J85" i="45"/>
  <c r="J56" i="45"/>
  <c r="J30" i="45"/>
  <c r="J28" i="45"/>
  <c r="N12" i="45"/>
  <c r="J87" i="45"/>
  <c r="J75" i="45"/>
  <c r="J40" i="45"/>
  <c r="J34" i="45"/>
  <c r="J59" i="45"/>
  <c r="J54" i="45"/>
  <c r="J26" i="45"/>
  <c r="J44" i="45"/>
  <c r="J86" i="45"/>
  <c r="J27" i="45"/>
  <c r="J47" i="45"/>
  <c r="J29" i="45"/>
  <c r="J20" i="45"/>
  <c r="J41" i="45"/>
  <c r="J24" i="45"/>
  <c r="J66" i="45"/>
  <c r="J80" i="45"/>
  <c r="J32" i="45"/>
  <c r="H106" i="21"/>
  <c r="N29" i="21"/>
  <c r="J29" i="21"/>
  <c r="N60" i="27"/>
  <c r="H119" i="27"/>
  <c r="L29" i="21"/>
  <c r="D113" i="21"/>
  <c r="F141" i="30"/>
  <c r="F140" i="30"/>
  <c r="F133" i="30"/>
  <c r="F121" i="30"/>
  <c r="F142" i="30"/>
  <c r="F117" i="30"/>
  <c r="F151" i="30"/>
  <c r="F146" i="30"/>
  <c r="F137" i="30"/>
  <c r="F136" i="30"/>
  <c r="F139" i="30"/>
  <c r="F138" i="30"/>
  <c r="F127" i="30"/>
  <c r="F126" i="30"/>
  <c r="F103" i="30"/>
  <c r="F102" i="30"/>
  <c r="F135" i="30"/>
  <c r="F130" i="30"/>
  <c r="F120" i="30"/>
  <c r="F100" i="30"/>
  <c r="F85" i="30"/>
  <c r="F112" i="30"/>
  <c r="F111" i="30"/>
  <c r="F106" i="30"/>
  <c r="F105" i="30"/>
  <c r="F92" i="30"/>
  <c r="F91" i="30"/>
  <c r="F80" i="30"/>
  <c r="F76" i="30"/>
  <c r="F124" i="30"/>
  <c r="F101" i="30"/>
  <c r="F67" i="30"/>
  <c r="F63" i="30"/>
  <c r="F59" i="30"/>
  <c r="F55" i="30"/>
  <c r="F51" i="30"/>
  <c r="F47" i="30"/>
  <c r="F94" i="30"/>
  <c r="F93" i="30"/>
  <c r="F86" i="30"/>
  <c r="F114" i="30"/>
  <c r="F113" i="30"/>
  <c r="F108" i="30"/>
  <c r="F107" i="30"/>
  <c r="F81" i="30"/>
  <c r="F77" i="30"/>
  <c r="F131" i="30"/>
  <c r="F96" i="30"/>
  <c r="F95" i="30"/>
  <c r="F68" i="30"/>
  <c r="F64" i="30"/>
  <c r="F60" i="30"/>
  <c r="F56" i="30"/>
  <c r="F52" i="30"/>
  <c r="F48" i="30"/>
  <c r="F134" i="30"/>
  <c r="F128" i="30"/>
  <c r="F87" i="30"/>
  <c r="F83" i="30"/>
  <c r="F82" i="30"/>
  <c r="F122" i="30"/>
  <c r="F118" i="30"/>
  <c r="F78" i="30"/>
  <c r="F74" i="30"/>
  <c r="F73" i="30"/>
  <c r="F132" i="30"/>
  <c r="F125" i="30"/>
  <c r="F115" i="30"/>
  <c r="F109" i="30"/>
  <c r="F97" i="30"/>
  <c r="F72" i="30"/>
  <c r="F70" i="30"/>
  <c r="F65" i="30"/>
  <c r="F61" i="30"/>
  <c r="F57" i="30"/>
  <c r="F53" i="30"/>
  <c r="F49" i="30"/>
  <c r="F147" i="30"/>
  <c r="F143" i="30"/>
  <c r="F88" i="30"/>
  <c r="F84" i="30"/>
  <c r="D70" i="30"/>
  <c r="L12" i="30"/>
  <c r="N12" i="30" s="1"/>
  <c r="F123" i="30"/>
  <c r="F116" i="30"/>
  <c r="F110" i="30"/>
  <c r="F99" i="30"/>
  <c r="F98" i="30"/>
  <c r="F79" i="30"/>
  <c r="F75" i="30"/>
  <c r="F89" i="30"/>
  <c r="F62" i="30"/>
  <c r="F45" i="30"/>
  <c r="F144" i="30"/>
  <c r="F50" i="30"/>
  <c r="F129" i="30"/>
  <c r="F119" i="30"/>
  <c r="F66" i="30"/>
  <c r="F58" i="30"/>
  <c r="F90" i="30"/>
  <c r="F104" i="30"/>
  <c r="F46" i="30"/>
  <c r="F54" i="30"/>
  <c r="D269" i="12"/>
  <c r="P92" i="9"/>
  <c r="X16" i="9"/>
  <c r="N296" i="3"/>
  <c r="V164" i="12"/>
  <c r="L18" i="112"/>
  <c r="D27" i="112"/>
  <c r="T27" i="49"/>
  <c r="Z18" i="49"/>
  <c r="N18" i="46"/>
  <c r="H27" i="46"/>
  <c r="T27" i="40"/>
  <c r="Z18" i="40"/>
  <c r="T27" i="35"/>
  <c r="Z18" i="35"/>
  <c r="T27" i="34"/>
  <c r="Z18" i="34"/>
  <c r="H27" i="40"/>
  <c r="N18" i="40"/>
  <c r="T27" i="29"/>
  <c r="Z18" i="29"/>
  <c r="H27" i="22"/>
  <c r="N18" i="22"/>
  <c r="L18" i="16"/>
  <c r="D27" i="16"/>
  <c r="T27" i="19"/>
  <c r="Z18" i="19"/>
  <c r="H27" i="20"/>
  <c r="N18" i="20"/>
  <c r="H27" i="13"/>
  <c r="N18" i="13"/>
  <c r="X18" i="13"/>
  <c r="P27" i="13"/>
  <c r="T85" i="108"/>
  <c r="H97" i="92"/>
  <c r="T83" i="88"/>
  <c r="Z20" i="88"/>
  <c r="V20" i="88"/>
  <c r="D41" i="109"/>
  <c r="L37" i="109"/>
  <c r="N37" i="109" s="1"/>
  <c r="X17" i="100"/>
  <c r="P50" i="100"/>
  <c r="R60" i="101"/>
  <c r="R17" i="101"/>
  <c r="R52" i="101"/>
  <c r="R44" i="101"/>
  <c r="R33" i="101"/>
  <c r="R32" i="101"/>
  <c r="R28" i="101"/>
  <c r="X12" i="101"/>
  <c r="Z12" i="101" s="1"/>
  <c r="R56" i="101"/>
  <c r="R57" i="101"/>
  <c r="R35" i="101"/>
  <c r="R34" i="101"/>
  <c r="R23" i="101"/>
  <c r="R18" i="101"/>
  <c r="R65" i="101"/>
  <c r="R53" i="101"/>
  <c r="R46" i="101"/>
  <c r="R45" i="101"/>
  <c r="R29" i="101"/>
  <c r="R22" i="101"/>
  <c r="R37" i="101"/>
  <c r="R36" i="101"/>
  <c r="R24" i="101"/>
  <c r="P20" i="101"/>
  <c r="R20" i="101" s="1"/>
  <c r="R48" i="101"/>
  <c r="R47" i="101"/>
  <c r="R58" i="101"/>
  <c r="R54" i="101"/>
  <c r="R39" i="101"/>
  <c r="R38" i="101"/>
  <c r="R30" i="101"/>
  <c r="R50" i="101"/>
  <c r="R49" i="101"/>
  <c r="R25" i="101"/>
  <c r="R61" i="101"/>
  <c r="R55" i="101"/>
  <c r="R51" i="101"/>
  <c r="R31" i="101"/>
  <c r="R16" i="101"/>
  <c r="R43" i="101"/>
  <c r="R42" i="101"/>
  <c r="R27" i="101"/>
  <c r="R26" i="101"/>
  <c r="R41" i="101"/>
  <c r="R40" i="101"/>
  <c r="P50" i="99"/>
  <c r="X19" i="99"/>
  <c r="D90" i="96"/>
  <c r="L20" i="96"/>
  <c r="R68" i="94"/>
  <c r="L16" i="87"/>
  <c r="D24" i="87"/>
  <c r="L102" i="77"/>
  <c r="Z58" i="79"/>
  <c r="R85" i="74"/>
  <c r="R84" i="74"/>
  <c r="R88" i="74"/>
  <c r="R78" i="74"/>
  <c r="R77" i="74"/>
  <c r="R49" i="74"/>
  <c r="R45" i="74"/>
  <c r="R69" i="74"/>
  <c r="R68" i="74"/>
  <c r="R80" i="74"/>
  <c r="R79" i="74"/>
  <c r="R64" i="74"/>
  <c r="R63" i="74"/>
  <c r="R59" i="74"/>
  <c r="R92" i="74"/>
  <c r="R71" i="74"/>
  <c r="R70" i="74"/>
  <c r="R55" i="74"/>
  <c r="R81" i="74"/>
  <c r="R65" i="74"/>
  <c r="R54" i="74"/>
  <c r="R83" i="74"/>
  <c r="R82" i="74"/>
  <c r="R66" i="74"/>
  <c r="R72" i="74"/>
  <c r="R58" i="74"/>
  <c r="R47" i="74"/>
  <c r="R38" i="74"/>
  <c r="R42" i="74"/>
  <c r="R75" i="74"/>
  <c r="R50" i="74"/>
  <c r="R61" i="74"/>
  <c r="R39" i="74"/>
  <c r="R35" i="74"/>
  <c r="R57" i="74"/>
  <c r="R48" i="74"/>
  <c r="R43" i="74"/>
  <c r="P52" i="74"/>
  <c r="R46" i="74"/>
  <c r="R76" i="74"/>
  <c r="R67" i="74"/>
  <c r="R60" i="74"/>
  <c r="R86" i="74"/>
  <c r="R74" i="74"/>
  <c r="R62" i="74"/>
  <c r="R41" i="74"/>
  <c r="R37" i="74"/>
  <c r="R56" i="74"/>
  <c r="R44" i="74"/>
  <c r="X12" i="74"/>
  <c r="Z12" i="74" s="1"/>
  <c r="R73" i="74"/>
  <c r="R36" i="74"/>
  <c r="R40" i="74"/>
  <c r="X16" i="59"/>
  <c r="P65" i="59"/>
  <c r="H73" i="58"/>
  <c r="N16" i="58"/>
  <c r="H51" i="61"/>
  <c r="N16" i="61"/>
  <c r="X16" i="56"/>
  <c r="P73" i="56"/>
  <c r="N22" i="54"/>
  <c r="H26" i="54"/>
  <c r="H53" i="60"/>
  <c r="V95" i="51"/>
  <c r="V83" i="51"/>
  <c r="V71" i="51"/>
  <c r="V67" i="51"/>
  <c r="T54" i="51"/>
  <c r="V97" i="51"/>
  <c r="V85" i="51"/>
  <c r="V73" i="51"/>
  <c r="V106" i="51"/>
  <c r="V96" i="51"/>
  <c r="V88" i="51"/>
  <c r="V76" i="51"/>
  <c r="V68" i="51"/>
  <c r="V105" i="51"/>
  <c r="V99" i="51"/>
  <c r="V87" i="51"/>
  <c r="V75" i="51"/>
  <c r="V103" i="51"/>
  <c r="V89" i="51"/>
  <c r="V77" i="51"/>
  <c r="V69" i="51"/>
  <c r="V104" i="51"/>
  <c r="V93" i="51"/>
  <c r="V86" i="51"/>
  <c r="V65" i="51"/>
  <c r="V57" i="51"/>
  <c r="V51" i="51"/>
  <c r="V48" i="51"/>
  <c r="V60" i="51"/>
  <c r="V40" i="51"/>
  <c r="V72" i="51"/>
  <c r="V43" i="51"/>
  <c r="Z12" i="51"/>
  <c r="V91" i="51"/>
  <c r="V79" i="51"/>
  <c r="V63" i="51"/>
  <c r="V46" i="51"/>
  <c r="V110" i="51"/>
  <c r="V84" i="51"/>
  <c r="V49" i="51"/>
  <c r="V38" i="51"/>
  <c r="V100" i="51"/>
  <c r="V92" i="51"/>
  <c r="V80" i="51"/>
  <c r="V66" i="51"/>
  <c r="V58" i="51"/>
  <c r="V41" i="51"/>
  <c r="V94" i="51"/>
  <c r="V61" i="51"/>
  <c r="V52" i="51"/>
  <c r="V64" i="51"/>
  <c r="V47" i="51"/>
  <c r="V44" i="51"/>
  <c r="V70" i="51"/>
  <c r="V50" i="51"/>
  <c r="V39" i="51"/>
  <c r="V56" i="51"/>
  <c r="V42" i="51"/>
  <c r="V102" i="51"/>
  <c r="V82" i="51"/>
  <c r="V78" i="51"/>
  <c r="V74" i="51"/>
  <c r="V62" i="51"/>
  <c r="V59" i="51"/>
  <c r="V98" i="51"/>
  <c r="V90" i="51"/>
  <c r="V45" i="51"/>
  <c r="V54" i="51"/>
  <c r="V81" i="51"/>
  <c r="H72" i="48"/>
  <c r="N17" i="48"/>
  <c r="L30" i="36"/>
  <c r="D126" i="36"/>
  <c r="J121" i="39"/>
  <c r="J113" i="39"/>
  <c r="J109" i="39"/>
  <c r="J97" i="39"/>
  <c r="J81" i="39"/>
  <c r="J73" i="39"/>
  <c r="J65" i="39"/>
  <c r="J98" i="39"/>
  <c r="J92" i="39"/>
  <c r="J82" i="39"/>
  <c r="J74" i="39"/>
  <c r="J56" i="39"/>
  <c r="J52" i="39"/>
  <c r="N12" i="39"/>
  <c r="J103" i="39"/>
  <c r="J99" i="39"/>
  <c r="J83" i="39"/>
  <c r="J75" i="39"/>
  <c r="J47" i="39"/>
  <c r="J43" i="39"/>
  <c r="J33" i="39"/>
  <c r="J122" i="39"/>
  <c r="J114" i="39"/>
  <c r="J110" i="39"/>
  <c r="J104" i="39"/>
  <c r="J84" i="39"/>
  <c r="J76" i="39"/>
  <c r="J66" i="39"/>
  <c r="J34" i="39"/>
  <c r="J105" i="39"/>
  <c r="J93" i="39"/>
  <c r="J85" i="39"/>
  <c r="J77" i="39"/>
  <c r="J57" i="39"/>
  <c r="J53" i="39"/>
  <c r="J100" i="39"/>
  <c r="J86" i="39"/>
  <c r="J58" i="39"/>
  <c r="J48" i="39"/>
  <c r="J44" i="39"/>
  <c r="J123" i="39"/>
  <c r="J115" i="39"/>
  <c r="J111" i="39"/>
  <c r="J87" i="39"/>
  <c r="J67" i="39"/>
  <c r="J59" i="39"/>
  <c r="J35" i="39"/>
  <c r="J130" i="39"/>
  <c r="J124" i="39"/>
  <c r="J116" i="39"/>
  <c r="J106" i="39"/>
  <c r="J94" i="39"/>
  <c r="J88" i="39"/>
  <c r="J78" i="39"/>
  <c r="J68" i="39"/>
  <c r="J60" i="39"/>
  <c r="J54" i="39"/>
  <c r="J40" i="39"/>
  <c r="J129" i="39"/>
  <c r="J125" i="39"/>
  <c r="J117" i="39"/>
  <c r="J107" i="39"/>
  <c r="J101" i="39"/>
  <c r="J95" i="39"/>
  <c r="J89" i="39"/>
  <c r="J79" i="39"/>
  <c r="J69" i="39"/>
  <c r="J61" i="39"/>
  <c r="J49" i="39"/>
  <c r="J45" i="39"/>
  <c r="J41" i="39"/>
  <c r="J39" i="39"/>
  <c r="J134" i="39"/>
  <c r="J128" i="39"/>
  <c r="J118" i="39"/>
  <c r="J112" i="39"/>
  <c r="J108" i="39"/>
  <c r="J96" i="39"/>
  <c r="J90" i="39"/>
  <c r="J80" i="39"/>
  <c r="J70" i="39"/>
  <c r="J62" i="39"/>
  <c r="J50" i="39"/>
  <c r="H37" i="39"/>
  <c r="J127" i="39"/>
  <c r="J119" i="39"/>
  <c r="J91" i="39"/>
  <c r="J71" i="39"/>
  <c r="J63" i="39"/>
  <c r="J55" i="39"/>
  <c r="J51" i="39"/>
  <c r="J42" i="39"/>
  <c r="J64" i="39"/>
  <c r="J120" i="39"/>
  <c r="J102" i="39"/>
  <c r="J46" i="39"/>
  <c r="J72" i="39"/>
  <c r="F114" i="27"/>
  <c r="F274" i="18"/>
  <c r="T96" i="9"/>
  <c r="T27" i="50"/>
  <c r="Z18" i="50"/>
  <c r="L18" i="46"/>
  <c r="D27" i="46"/>
  <c r="T27" i="46"/>
  <c r="Z18" i="46"/>
  <c r="T27" i="32"/>
  <c r="Z18" i="32"/>
  <c r="X18" i="29"/>
  <c r="P27" i="29"/>
  <c r="L18" i="23"/>
  <c r="D27" i="23"/>
  <c r="T27" i="16"/>
  <c r="Z18" i="16"/>
  <c r="T27" i="23"/>
  <c r="Z18" i="23"/>
  <c r="L18" i="13"/>
  <c r="D27" i="13"/>
  <c r="L18" i="7"/>
  <c r="D27" i="7"/>
  <c r="J50" i="93"/>
  <c r="J69" i="93"/>
  <c r="J65" i="93"/>
  <c r="J51" i="93"/>
  <c r="J70" i="93"/>
  <c r="J60" i="93"/>
  <c r="J52" i="93"/>
  <c r="J73" i="93"/>
  <c r="J61" i="93"/>
  <c r="J62" i="93"/>
  <c r="J75" i="93"/>
  <c r="J67" i="93"/>
  <c r="J63" i="93"/>
  <c r="J55" i="93"/>
  <c r="J45" i="93"/>
  <c r="J79" i="93"/>
  <c r="J57" i="93"/>
  <c r="J47" i="93"/>
  <c r="J58" i="93"/>
  <c r="J53" i="93"/>
  <c r="J46" i="93"/>
  <c r="J41" i="93"/>
  <c r="J35" i="93"/>
  <c r="J72" i="93"/>
  <c r="J56" i="93"/>
  <c r="J42" i="93"/>
  <c r="J30" i="93"/>
  <c r="J26" i="93"/>
  <c r="J43" i="93"/>
  <c r="J36" i="93"/>
  <c r="N12" i="93"/>
  <c r="J68" i="93"/>
  <c r="J64" i="93"/>
  <c r="J31" i="93"/>
  <c r="J27" i="93"/>
  <c r="J17" i="93"/>
  <c r="J66" i="93"/>
  <c r="J59" i="93"/>
  <c r="J54" i="93"/>
  <c r="J48" i="93"/>
  <c r="J32" i="93"/>
  <c r="J18" i="93"/>
  <c r="J44" i="93"/>
  <c r="J37" i="93"/>
  <c r="J33" i="93"/>
  <c r="J23" i="93"/>
  <c r="J28" i="93"/>
  <c r="J24" i="93"/>
  <c r="J22" i="93"/>
  <c r="J71" i="93"/>
  <c r="H20" i="93"/>
  <c r="J20" i="93" s="1"/>
  <c r="J39" i="93"/>
  <c r="J29" i="93"/>
  <c r="J25" i="93"/>
  <c r="J49" i="93"/>
  <c r="J34" i="93"/>
  <c r="J40" i="93"/>
  <c r="J38" i="93"/>
  <c r="T90" i="74"/>
  <c r="D84" i="104"/>
  <c r="L22" i="104"/>
  <c r="N22" i="104" s="1"/>
  <c r="H43" i="100"/>
  <c r="N17" i="100"/>
  <c r="V81" i="102"/>
  <c r="L20" i="95"/>
  <c r="N20" i="95" s="1"/>
  <c r="D77" i="95"/>
  <c r="X20" i="93"/>
  <c r="P77" i="93"/>
  <c r="H73" i="89"/>
  <c r="N20" i="89"/>
  <c r="T108" i="77"/>
  <c r="F49" i="73"/>
  <c r="F48" i="73"/>
  <c r="F41" i="73"/>
  <c r="F72" i="73"/>
  <c r="F60" i="73"/>
  <c r="F36" i="73"/>
  <c r="F32" i="73"/>
  <c r="F80" i="73"/>
  <c r="F67" i="73"/>
  <c r="F51" i="73"/>
  <c r="F50" i="73"/>
  <c r="F23" i="73"/>
  <c r="F22" i="73"/>
  <c r="F84" i="73"/>
  <c r="F42" i="73"/>
  <c r="F73" i="73"/>
  <c r="F69" i="73"/>
  <c r="F68" i="73"/>
  <c r="F61" i="73"/>
  <c r="F53" i="73"/>
  <c r="F52" i="73"/>
  <c r="F37" i="73"/>
  <c r="F33" i="73"/>
  <c r="F24" i="73"/>
  <c r="F63" i="73"/>
  <c r="F62" i="73"/>
  <c r="F55" i="73"/>
  <c r="F54" i="73"/>
  <c r="F43" i="73"/>
  <c r="F39" i="73"/>
  <c r="F38" i="73"/>
  <c r="F57" i="73"/>
  <c r="F56" i="73"/>
  <c r="F45" i="73"/>
  <c r="F44" i="73"/>
  <c r="F28" i="73"/>
  <c r="F26" i="73"/>
  <c r="F76" i="73"/>
  <c r="F75" i="73"/>
  <c r="F64" i="73"/>
  <c r="F40" i="73"/>
  <c r="D26" i="73"/>
  <c r="L12" i="73"/>
  <c r="N12" i="73" s="1"/>
  <c r="F71" i="73"/>
  <c r="F59" i="73"/>
  <c r="F58" i="73"/>
  <c r="F47" i="73"/>
  <c r="F46" i="73"/>
  <c r="F35" i="73"/>
  <c r="F31" i="73"/>
  <c r="F78" i="73"/>
  <c r="F74" i="73"/>
  <c r="F29" i="73"/>
  <c r="F65" i="73"/>
  <c r="F34" i="73"/>
  <c r="F66" i="73"/>
  <c r="F70" i="73"/>
  <c r="F77" i="73"/>
  <c r="F30" i="73"/>
  <c r="Z113" i="71"/>
  <c r="T51" i="61"/>
  <c r="Z16" i="61"/>
  <c r="F56" i="70"/>
  <c r="F55" i="70"/>
  <c r="F67" i="70"/>
  <c r="F63" i="70"/>
  <c r="F69" i="70"/>
  <c r="F68" i="70"/>
  <c r="F57" i="70"/>
  <c r="F71" i="70"/>
  <c r="F58" i="70"/>
  <c r="F60" i="70"/>
  <c r="F59" i="70"/>
  <c r="F34" i="70"/>
  <c r="D20" i="70"/>
  <c r="F53" i="70"/>
  <c r="F52" i="70"/>
  <c r="F41" i="70"/>
  <c r="F40" i="70"/>
  <c r="F29" i="70"/>
  <c r="F25" i="70"/>
  <c r="F65" i="70"/>
  <c r="F61" i="70"/>
  <c r="F43" i="70"/>
  <c r="F42" i="70"/>
  <c r="F35" i="70"/>
  <c r="F54" i="70"/>
  <c r="F30" i="70"/>
  <c r="F26" i="70"/>
  <c r="F45" i="70"/>
  <c r="F44" i="70"/>
  <c r="F17" i="70"/>
  <c r="F16" i="70"/>
  <c r="F36" i="70"/>
  <c r="L12" i="70"/>
  <c r="N12" i="70" s="1"/>
  <c r="F18" i="70"/>
  <c r="F66" i="70"/>
  <c r="F49" i="70"/>
  <c r="F48" i="70"/>
  <c r="F37" i="70"/>
  <c r="F33" i="70"/>
  <c r="F32" i="70"/>
  <c r="F31" i="70"/>
  <c r="F20" i="70"/>
  <c r="F23" i="70"/>
  <c r="F62" i="70"/>
  <c r="F39" i="70"/>
  <c r="F46" i="70"/>
  <c r="F51" i="70"/>
  <c r="F24" i="70"/>
  <c r="F27" i="70"/>
  <c r="F22" i="70"/>
  <c r="F75" i="70"/>
  <c r="F47" i="70"/>
  <c r="F28" i="70"/>
  <c r="F38" i="70"/>
  <c r="F50" i="70"/>
  <c r="F64" i="70"/>
  <c r="L117" i="69"/>
  <c r="T71" i="57"/>
  <c r="X71" i="57" s="1"/>
  <c r="Z16" i="57"/>
  <c r="L16" i="56"/>
  <c r="T37" i="55"/>
  <c r="V127" i="39"/>
  <c r="N274" i="18"/>
  <c r="H260" i="15"/>
  <c r="F256" i="15"/>
  <c r="F227" i="15"/>
  <c r="F226" i="15"/>
  <c r="F215" i="15"/>
  <c r="F207" i="15"/>
  <c r="F206" i="15"/>
  <c r="F179" i="15"/>
  <c r="F175" i="15"/>
  <c r="F255" i="15"/>
  <c r="F238" i="15"/>
  <c r="F237" i="15"/>
  <c r="F222" i="15"/>
  <c r="F221" i="15"/>
  <c r="F254" i="15"/>
  <c r="F245" i="15"/>
  <c r="F233" i="15"/>
  <c r="F209" i="15"/>
  <c r="F208" i="15"/>
  <c r="F253" i="15"/>
  <c r="F228" i="15"/>
  <c r="F216" i="15"/>
  <c r="F200" i="15"/>
  <c r="F199" i="15"/>
  <c r="F176" i="15"/>
  <c r="F252" i="15"/>
  <c r="F247" i="15"/>
  <c r="F246" i="15"/>
  <c r="F239" i="15"/>
  <c r="F223" i="15"/>
  <c r="F211" i="15"/>
  <c r="F210" i="15"/>
  <c r="F191" i="15"/>
  <c r="F190" i="15"/>
  <c r="F183" i="15"/>
  <c r="F182" i="15"/>
  <c r="F171" i="15"/>
  <c r="F167" i="15"/>
  <c r="F163" i="15"/>
  <c r="F162" i="15"/>
  <c r="F251" i="15"/>
  <c r="F234" i="15"/>
  <c r="F230" i="15"/>
  <c r="F229" i="15"/>
  <c r="F218" i="15"/>
  <c r="F217" i="15"/>
  <c r="F161" i="15"/>
  <c r="F154" i="15"/>
  <c r="F150" i="15"/>
  <c r="F146" i="15"/>
  <c r="F142" i="15"/>
  <c r="F138" i="15"/>
  <c r="F134" i="15"/>
  <c r="F130" i="15"/>
  <c r="F126" i="15"/>
  <c r="F122" i="15"/>
  <c r="F249" i="15"/>
  <c r="F224" i="15"/>
  <c r="F243" i="15"/>
  <c r="F242" i="15"/>
  <c r="F235" i="15"/>
  <c r="F231" i="15"/>
  <c r="F219" i="15"/>
  <c r="F203" i="15"/>
  <c r="F202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214" i="15"/>
  <c r="F194" i="15"/>
  <c r="F193" i="15"/>
  <c r="F186" i="15"/>
  <c r="F185" i="15"/>
  <c r="F178" i="15"/>
  <c r="F174" i="15"/>
  <c r="F258" i="15"/>
  <c r="F225" i="15"/>
  <c r="F205" i="15"/>
  <c r="F204" i="15"/>
  <c r="F169" i="15"/>
  <c r="F165" i="15"/>
  <c r="F241" i="15"/>
  <c r="F212" i="15"/>
  <c r="F152" i="15"/>
  <c r="F148" i="15"/>
  <c r="F124" i="15"/>
  <c r="F112" i="15"/>
  <c r="F198" i="15"/>
  <c r="F196" i="15"/>
  <c r="F181" i="15"/>
  <c r="F129" i="15"/>
  <c r="F173" i="15"/>
  <c r="F144" i="15"/>
  <c r="F116" i="15"/>
  <c r="F109" i="15"/>
  <c r="F236" i="15"/>
  <c r="F189" i="15"/>
  <c r="F177" i="15"/>
  <c r="F157" i="15"/>
  <c r="F140" i="15"/>
  <c r="F250" i="15"/>
  <c r="F184" i="15"/>
  <c r="F153" i="15"/>
  <c r="F120" i="15"/>
  <c r="F113" i="15"/>
  <c r="F240" i="15"/>
  <c r="F192" i="15"/>
  <c r="F187" i="15"/>
  <c r="F166" i="15"/>
  <c r="F164" i="15"/>
  <c r="F149" i="15"/>
  <c r="F136" i="15"/>
  <c r="F125" i="15"/>
  <c r="F110" i="15"/>
  <c r="F244" i="15"/>
  <c r="F132" i="15"/>
  <c r="F117" i="15"/>
  <c r="F213" i="15"/>
  <c r="F197" i="15"/>
  <c r="F170" i="15"/>
  <c r="F168" i="15"/>
  <c r="F145" i="15"/>
  <c r="F114" i="15"/>
  <c r="F262" i="15"/>
  <c r="F257" i="15"/>
  <c r="F201" i="15"/>
  <c r="F195" i="15"/>
  <c r="F180" i="15"/>
  <c r="F172" i="15"/>
  <c r="F141" i="15"/>
  <c r="F128" i="15"/>
  <c r="F232" i="15"/>
  <c r="F220" i="15"/>
  <c r="F188" i="15"/>
  <c r="D159" i="15"/>
  <c r="F121" i="15"/>
  <c r="F118" i="15"/>
  <c r="F107" i="15"/>
  <c r="F137" i="15"/>
  <c r="F108" i="15"/>
  <c r="F156" i="15"/>
  <c r="F133" i="15"/>
  <c r="L12" i="15"/>
  <c r="N12" i="15" s="1"/>
  <c r="X164" i="12"/>
  <c r="P269" i="12"/>
  <c r="T27" i="111"/>
  <c r="Z18" i="111"/>
  <c r="Z18" i="52"/>
  <c r="T27" i="52"/>
  <c r="H27" i="35"/>
  <c r="N18" i="35"/>
  <c r="H27" i="31"/>
  <c r="N18" i="31"/>
  <c r="H27" i="26"/>
  <c r="N18" i="26"/>
  <c r="H27" i="25"/>
  <c r="N18" i="25"/>
  <c r="P27" i="32"/>
  <c r="X18" i="32"/>
  <c r="X18" i="28"/>
  <c r="P27" i="28"/>
  <c r="H27" i="29"/>
  <c r="N18" i="29"/>
  <c r="T27" i="17"/>
  <c r="Z18" i="17"/>
  <c r="H27" i="7"/>
  <c r="N18" i="7"/>
  <c r="T27" i="5"/>
  <c r="Z18" i="5"/>
  <c r="X18" i="5"/>
  <c r="P27" i="5"/>
  <c r="T27" i="10"/>
  <c r="Z18" i="10"/>
  <c r="D27" i="5"/>
  <c r="L18" i="5"/>
  <c r="Z258" i="12"/>
  <c r="T63" i="101"/>
  <c r="V83" i="96"/>
  <c r="V82" i="96"/>
  <c r="V77" i="96"/>
  <c r="V73" i="96"/>
  <c r="V61" i="96"/>
  <c r="V53" i="96"/>
  <c r="V45" i="96"/>
  <c r="V17" i="96"/>
  <c r="V56" i="96"/>
  <c r="V44" i="96"/>
  <c r="V36" i="96"/>
  <c r="V32" i="96"/>
  <c r="V85" i="96"/>
  <c r="V67" i="96"/>
  <c r="V63" i="96"/>
  <c r="V55" i="96"/>
  <c r="V31" i="96"/>
  <c r="V27" i="96"/>
  <c r="V23" i="96"/>
  <c r="V78" i="96"/>
  <c r="V74" i="96"/>
  <c r="V62" i="96"/>
  <c r="V58" i="96"/>
  <c r="V46" i="96"/>
  <c r="V22" i="96"/>
  <c r="V18" i="96"/>
  <c r="V92" i="96"/>
  <c r="V81" i="96"/>
  <c r="V69" i="96"/>
  <c r="V57" i="96"/>
  <c r="V37" i="96"/>
  <c r="V33" i="96"/>
  <c r="T20" i="96"/>
  <c r="V20" i="96" s="1"/>
  <c r="V87" i="96"/>
  <c r="V68" i="96"/>
  <c r="V64" i="96"/>
  <c r="V48" i="96"/>
  <c r="V28" i="96"/>
  <c r="V24" i="96"/>
  <c r="V75" i="96"/>
  <c r="V59" i="96"/>
  <c r="V47" i="96"/>
  <c r="V39" i="96"/>
  <c r="V88" i="96"/>
  <c r="V70" i="96"/>
  <c r="V50" i="96"/>
  <c r="V38" i="96"/>
  <c r="V34" i="96"/>
  <c r="V71" i="96"/>
  <c r="V51" i="96"/>
  <c r="V43" i="96"/>
  <c r="V35" i="96"/>
  <c r="V80" i="96"/>
  <c r="V66" i="96"/>
  <c r="V54" i="96"/>
  <c r="V42" i="96"/>
  <c r="V30" i="96"/>
  <c r="V26" i="96"/>
  <c r="V41" i="96"/>
  <c r="V84" i="96"/>
  <c r="V60" i="96"/>
  <c r="V49" i="96"/>
  <c r="V72" i="96"/>
  <c r="V25" i="96"/>
  <c r="V29" i="96"/>
  <c r="V40" i="96"/>
  <c r="V16" i="96"/>
  <c r="V79" i="96"/>
  <c r="V52" i="96"/>
  <c r="V65" i="96"/>
  <c r="V76" i="96"/>
  <c r="H76" i="110"/>
  <c r="R75" i="108"/>
  <c r="R74" i="108"/>
  <c r="R70" i="108"/>
  <c r="R59" i="108"/>
  <c r="R58" i="108"/>
  <c r="R47" i="108"/>
  <c r="R46" i="108"/>
  <c r="R38" i="108"/>
  <c r="R23" i="108"/>
  <c r="R87" i="108"/>
  <c r="R65" i="108"/>
  <c r="R34" i="108"/>
  <c r="R33" i="108"/>
  <c r="R29" i="108"/>
  <c r="R25" i="108"/>
  <c r="R77" i="108"/>
  <c r="R76" i="108"/>
  <c r="R60" i="108"/>
  <c r="R71" i="108"/>
  <c r="R79" i="108"/>
  <c r="R78" i="108"/>
  <c r="R67" i="108"/>
  <c r="R66" i="108"/>
  <c r="R51" i="108"/>
  <c r="R50" i="108"/>
  <c r="R30" i="108"/>
  <c r="R26" i="108"/>
  <c r="R61" i="108"/>
  <c r="R80" i="108"/>
  <c r="R72" i="108"/>
  <c r="R68" i="108"/>
  <c r="R31" i="108"/>
  <c r="R27" i="108"/>
  <c r="R63" i="108"/>
  <c r="R62" i="108"/>
  <c r="R55" i="108"/>
  <c r="R54" i="108"/>
  <c r="R43" i="108"/>
  <c r="R42" i="108"/>
  <c r="R18" i="108"/>
  <c r="R83" i="108"/>
  <c r="R64" i="108"/>
  <c r="R57" i="108"/>
  <c r="R56" i="108"/>
  <c r="R45" i="108"/>
  <c r="R44" i="108"/>
  <c r="X12" i="108"/>
  <c r="Z12" i="108" s="1"/>
  <c r="R41" i="108"/>
  <c r="R36" i="108"/>
  <c r="R81" i="108"/>
  <c r="R53" i="108"/>
  <c r="P21" i="108"/>
  <c r="R21" i="108" s="1"/>
  <c r="R17" i="108"/>
  <c r="R49" i="108"/>
  <c r="R39" i="108"/>
  <c r="R32" i="108"/>
  <c r="R28" i="108"/>
  <c r="R24" i="108"/>
  <c r="R69" i="108"/>
  <c r="R37" i="108"/>
  <c r="R52" i="108"/>
  <c r="R40" i="108"/>
  <c r="R19" i="108"/>
  <c r="R73" i="108"/>
  <c r="R48" i="108"/>
  <c r="R35" i="108"/>
  <c r="X16" i="107"/>
  <c r="P24" i="107"/>
  <c r="L16" i="103"/>
  <c r="D50" i="103"/>
  <c r="F22" i="104"/>
  <c r="J56" i="101"/>
  <c r="J65" i="101"/>
  <c r="J50" i="101"/>
  <c r="J40" i="101"/>
  <c r="J60" i="101"/>
  <c r="J55" i="101"/>
  <c r="J51" i="101"/>
  <c r="J41" i="101"/>
  <c r="J31" i="101"/>
  <c r="J61" i="101"/>
  <c r="J42" i="101"/>
  <c r="J26" i="101"/>
  <c r="J16" i="101"/>
  <c r="J63" i="101"/>
  <c r="J43" i="101"/>
  <c r="J27" i="101"/>
  <c r="J17" i="101"/>
  <c r="J52" i="101"/>
  <c r="J44" i="101"/>
  <c r="J32" i="101"/>
  <c r="J28" i="101"/>
  <c r="N12" i="101"/>
  <c r="J33" i="101"/>
  <c r="J57" i="101"/>
  <c r="J34" i="101"/>
  <c r="J18" i="101"/>
  <c r="J53" i="101"/>
  <c r="J45" i="101"/>
  <c r="J35" i="101"/>
  <c r="J29" i="101"/>
  <c r="J23" i="101"/>
  <c r="J46" i="101"/>
  <c r="J36" i="101"/>
  <c r="J24" i="101"/>
  <c r="J22" i="101"/>
  <c r="J20" i="101"/>
  <c r="J54" i="101"/>
  <c r="J48" i="101"/>
  <c r="J38" i="101"/>
  <c r="J30" i="101"/>
  <c r="J70" i="101"/>
  <c r="J49" i="101"/>
  <c r="J39" i="101"/>
  <c r="J25" i="101"/>
  <c r="J58" i="101"/>
  <c r="J37" i="101"/>
  <c r="H20" i="101"/>
  <c r="L20" i="101" s="1"/>
  <c r="J67" i="101"/>
  <c r="J47" i="101"/>
  <c r="H68" i="94"/>
  <c r="L20" i="88"/>
  <c r="N20" i="88" s="1"/>
  <c r="D83" i="88"/>
  <c r="P29" i="83"/>
  <c r="X21" i="83"/>
  <c r="Z29" i="76"/>
  <c r="T77" i="76"/>
  <c r="R69" i="70"/>
  <c r="R71" i="70"/>
  <c r="R64" i="70"/>
  <c r="R59" i="70"/>
  <c r="R58" i="70"/>
  <c r="R75" i="70"/>
  <c r="R65" i="70"/>
  <c r="R66" i="70"/>
  <c r="R62" i="70"/>
  <c r="R55" i="70"/>
  <c r="R54" i="70"/>
  <c r="R56" i="70"/>
  <c r="R67" i="70"/>
  <c r="R30" i="70"/>
  <c r="R26" i="70"/>
  <c r="R46" i="70"/>
  <c r="R45" i="70"/>
  <c r="R17" i="70"/>
  <c r="R36" i="70"/>
  <c r="X12" i="70"/>
  <c r="Z12" i="70" s="1"/>
  <c r="R48" i="70"/>
  <c r="R47" i="70"/>
  <c r="R32" i="70"/>
  <c r="R31" i="70"/>
  <c r="R27" i="70"/>
  <c r="R57" i="70"/>
  <c r="R23" i="70"/>
  <c r="R18" i="70"/>
  <c r="R50" i="70"/>
  <c r="R49" i="70"/>
  <c r="R38" i="70"/>
  <c r="R37" i="70"/>
  <c r="R33" i="70"/>
  <c r="R22" i="70"/>
  <c r="R68" i="70"/>
  <c r="R60" i="70"/>
  <c r="R28" i="70"/>
  <c r="R24" i="70"/>
  <c r="P20" i="70"/>
  <c r="R34" i="70"/>
  <c r="R53" i="70"/>
  <c r="R42" i="70"/>
  <c r="R41" i="70"/>
  <c r="R29" i="70"/>
  <c r="R25" i="70"/>
  <c r="R43" i="70"/>
  <c r="R39" i="70"/>
  <c r="R16" i="70"/>
  <c r="R44" i="70"/>
  <c r="R40" i="70"/>
  <c r="R51" i="70"/>
  <c r="R61" i="70"/>
  <c r="R52" i="70"/>
  <c r="R35" i="70"/>
  <c r="R63" i="70"/>
  <c r="P98" i="64"/>
  <c r="X16" i="64"/>
  <c r="X93" i="64"/>
  <c r="Z93" i="64" s="1"/>
  <c r="D55" i="61"/>
  <c r="L51" i="61"/>
  <c r="D73" i="58"/>
  <c r="L16" i="58"/>
  <c r="J117" i="69"/>
  <c r="J103" i="51"/>
  <c r="J91" i="51"/>
  <c r="J79" i="51"/>
  <c r="J51" i="51"/>
  <c r="J47" i="51"/>
  <c r="J43" i="51"/>
  <c r="J39" i="51"/>
  <c r="J93" i="51"/>
  <c r="J81" i="51"/>
  <c r="J82" i="51"/>
  <c r="J52" i="51"/>
  <c r="J83" i="51"/>
  <c r="J71" i="51"/>
  <c r="J95" i="51"/>
  <c r="J85" i="51"/>
  <c r="J73" i="51"/>
  <c r="J67" i="51"/>
  <c r="H54" i="51"/>
  <c r="J49" i="51"/>
  <c r="J45" i="51"/>
  <c r="J41" i="51"/>
  <c r="J98" i="51"/>
  <c r="J77" i="51"/>
  <c r="J70" i="51"/>
  <c r="J59" i="51"/>
  <c r="J89" i="51"/>
  <c r="J54" i="51"/>
  <c r="J42" i="51"/>
  <c r="J102" i="51"/>
  <c r="J68" i="51"/>
  <c r="J62" i="51"/>
  <c r="J99" i="51"/>
  <c r="J90" i="51"/>
  <c r="J78" i="51"/>
  <c r="J74" i="51"/>
  <c r="J65" i="51"/>
  <c r="J56" i="51"/>
  <c r="J48" i="51"/>
  <c r="J96" i="51"/>
  <c r="J86" i="51"/>
  <c r="J57" i="51"/>
  <c r="J40" i="51"/>
  <c r="J60" i="51"/>
  <c r="N12" i="51"/>
  <c r="J104" i="51"/>
  <c r="J72" i="51"/>
  <c r="J63" i="51"/>
  <c r="J46" i="51"/>
  <c r="J105" i="51"/>
  <c r="J97" i="51"/>
  <c r="J75" i="51"/>
  <c r="J69" i="51"/>
  <c r="J110" i="51"/>
  <c r="J94" i="51"/>
  <c r="J87" i="51"/>
  <c r="J66" i="51"/>
  <c r="J58" i="51"/>
  <c r="J106" i="51"/>
  <c r="J92" i="51"/>
  <c r="J80" i="51"/>
  <c r="J76" i="51"/>
  <c r="J44" i="51"/>
  <c r="J38" i="51"/>
  <c r="J88" i="51"/>
  <c r="J84" i="51"/>
  <c r="J64" i="51"/>
  <c r="J100" i="51"/>
  <c r="J61" i="51"/>
  <c r="J50" i="51"/>
  <c r="D77" i="56"/>
  <c r="L73" i="56"/>
  <c r="V70" i="45"/>
  <c r="V83" i="45"/>
  <c r="V67" i="45"/>
  <c r="V76" i="45"/>
  <c r="V73" i="45"/>
  <c r="V72" i="45"/>
  <c r="V68" i="45"/>
  <c r="V63" i="45"/>
  <c r="V51" i="45"/>
  <c r="V94" i="45"/>
  <c r="V79" i="45"/>
  <c r="V62" i="45"/>
  <c r="V50" i="45"/>
  <c r="V42" i="45"/>
  <c r="V38" i="45"/>
  <c r="V88" i="45"/>
  <c r="V64" i="45"/>
  <c r="V52" i="45"/>
  <c r="V74" i="45"/>
  <c r="V55" i="45"/>
  <c r="V43" i="45"/>
  <c r="V39" i="45"/>
  <c r="V90" i="45"/>
  <c r="V85" i="45"/>
  <c r="V80" i="45"/>
  <c r="V77" i="45"/>
  <c r="V66" i="45"/>
  <c r="V54" i="45"/>
  <c r="V34" i="45"/>
  <c r="V86" i="45"/>
  <c r="V57" i="45"/>
  <c r="V45" i="45"/>
  <c r="V56" i="45"/>
  <c r="V44" i="45"/>
  <c r="V40" i="45"/>
  <c r="V75" i="45"/>
  <c r="V71" i="45"/>
  <c r="V59" i="45"/>
  <c r="V47" i="45"/>
  <c r="V35" i="45"/>
  <c r="V31" i="45"/>
  <c r="V27" i="45"/>
  <c r="V61" i="45"/>
  <c r="V49" i="45"/>
  <c r="V41" i="45"/>
  <c r="V37" i="45"/>
  <c r="T24" i="45"/>
  <c r="V65" i="45"/>
  <c r="V46" i="45"/>
  <c r="V48" i="45"/>
  <c r="V36" i="45"/>
  <c r="V84" i="45"/>
  <c r="V22" i="45"/>
  <c r="V20" i="45"/>
  <c r="V81" i="45"/>
  <c r="V69" i="45"/>
  <c r="V29" i="45"/>
  <c r="V53" i="45"/>
  <c r="V33" i="45"/>
  <c r="V82" i="45"/>
  <c r="V24" i="45"/>
  <c r="V78" i="45"/>
  <c r="V58" i="45"/>
  <c r="V30" i="45"/>
  <c r="V21" i="45"/>
  <c r="V60" i="45"/>
  <c r="V32" i="45"/>
  <c r="V26" i="45"/>
  <c r="V28" i="45"/>
  <c r="Z12" i="45"/>
  <c r="V87" i="45"/>
  <c r="T132" i="39"/>
  <c r="V37" i="39"/>
  <c r="L37" i="39"/>
  <c r="D132" i="39"/>
  <c r="X114" i="27"/>
  <c r="Z114" i="27" s="1"/>
  <c r="H149" i="30"/>
  <c r="L121" i="36"/>
  <c r="N121" i="36" s="1"/>
  <c r="R250" i="15"/>
  <c r="R247" i="15"/>
  <c r="R240" i="15"/>
  <c r="R239" i="15"/>
  <c r="R223" i="15"/>
  <c r="R212" i="15"/>
  <c r="R211" i="15"/>
  <c r="R191" i="15"/>
  <c r="R183" i="15"/>
  <c r="R172" i="15"/>
  <c r="R171" i="15"/>
  <c r="R167" i="15"/>
  <c r="R163" i="15"/>
  <c r="P159" i="15"/>
  <c r="R249" i="15"/>
  <c r="R234" i="15"/>
  <c r="R230" i="15"/>
  <c r="R218" i="15"/>
  <c r="R242" i="15"/>
  <c r="R241" i="15"/>
  <c r="R213" i="15"/>
  <c r="R202" i="15"/>
  <c r="R201" i="15"/>
  <c r="R224" i="15"/>
  <c r="R193" i="15"/>
  <c r="R192" i="15"/>
  <c r="R185" i="15"/>
  <c r="R184" i="15"/>
  <c r="R168" i="15"/>
  <c r="R164" i="15"/>
  <c r="R258" i="15"/>
  <c r="R243" i="15"/>
  <c r="R235" i="15"/>
  <c r="R231" i="15"/>
  <c r="R219" i="15"/>
  <c r="R204" i="15"/>
  <c r="R203" i="15"/>
  <c r="R155" i="15"/>
  <c r="R151" i="15"/>
  <c r="R147" i="15"/>
  <c r="R143" i="15"/>
  <c r="R139" i="15"/>
  <c r="R135" i="15"/>
  <c r="R131" i="15"/>
  <c r="R257" i="15"/>
  <c r="R214" i="15"/>
  <c r="R195" i="15"/>
  <c r="R194" i="15"/>
  <c r="R187" i="15"/>
  <c r="R186" i="15"/>
  <c r="R178" i="15"/>
  <c r="R174" i="15"/>
  <c r="R256" i="15"/>
  <c r="R262" i="15"/>
  <c r="R255" i="15"/>
  <c r="R244" i="15"/>
  <c r="R237" i="15"/>
  <c r="R236" i="15"/>
  <c r="R232" i="15"/>
  <c r="R221" i="15"/>
  <c r="R220" i="15"/>
  <c r="R197" i="15"/>
  <c r="R196" i="15"/>
  <c r="R254" i="15"/>
  <c r="R227" i="15"/>
  <c r="R215" i="15"/>
  <c r="R208" i="15"/>
  <c r="R207" i="15"/>
  <c r="R180" i="15"/>
  <c r="R179" i="15"/>
  <c r="R175" i="15"/>
  <c r="R253" i="15"/>
  <c r="R238" i="15"/>
  <c r="R222" i="15"/>
  <c r="R199" i="15"/>
  <c r="R198" i="15"/>
  <c r="R170" i="15"/>
  <c r="R166" i="15"/>
  <c r="R252" i="15"/>
  <c r="R246" i="15"/>
  <c r="R245" i="15"/>
  <c r="R233" i="15"/>
  <c r="R210" i="15"/>
  <c r="R209" i="15"/>
  <c r="R190" i="15"/>
  <c r="R189" i="15"/>
  <c r="R182" i="15"/>
  <c r="R181" i="15"/>
  <c r="R162" i="15"/>
  <c r="R157" i="15"/>
  <c r="R153" i="15"/>
  <c r="R149" i="15"/>
  <c r="R145" i="15"/>
  <c r="R141" i="15"/>
  <c r="R137" i="15"/>
  <c r="R133" i="15"/>
  <c r="R129" i="15"/>
  <c r="R125" i="15"/>
  <c r="R121" i="15"/>
  <c r="R177" i="15"/>
  <c r="R144" i="15"/>
  <c r="R113" i="15"/>
  <c r="R140" i="15"/>
  <c r="R138" i="15"/>
  <c r="R127" i="15"/>
  <c r="R110" i="15"/>
  <c r="R228" i="15"/>
  <c r="R216" i="15"/>
  <c r="R134" i="15"/>
  <c r="R120" i="15"/>
  <c r="R117" i="15"/>
  <c r="R136" i="15"/>
  <c r="R130" i="15"/>
  <c r="R114" i="15"/>
  <c r="R132" i="15"/>
  <c r="R107" i="15"/>
  <c r="R205" i="15"/>
  <c r="R123" i="15"/>
  <c r="R118" i="15"/>
  <c r="R111" i="15"/>
  <c r="R225" i="15"/>
  <c r="R176" i="15"/>
  <c r="R159" i="15"/>
  <c r="R128" i="15"/>
  <c r="R251" i="15"/>
  <c r="R188" i="15"/>
  <c r="R154" i="15"/>
  <c r="R126" i="15"/>
  <c r="R115" i="15"/>
  <c r="R108" i="15"/>
  <c r="X12" i="15"/>
  <c r="R229" i="15"/>
  <c r="R217" i="15"/>
  <c r="R156" i="15"/>
  <c r="R150" i="15"/>
  <c r="R165" i="15"/>
  <c r="R152" i="15"/>
  <c r="R119" i="15"/>
  <c r="R112" i="15"/>
  <c r="R206" i="15"/>
  <c r="R148" i="15"/>
  <c r="R146" i="15"/>
  <c r="R124" i="15"/>
  <c r="R109" i="15"/>
  <c r="R122" i="15"/>
  <c r="R161" i="15"/>
  <c r="R169" i="15"/>
  <c r="R142" i="15"/>
  <c r="R116" i="15"/>
  <c r="R226" i="15"/>
  <c r="R173" i="15"/>
  <c r="R200" i="15"/>
  <c r="J264" i="12"/>
  <c r="J246" i="12"/>
  <c r="J236" i="12"/>
  <c r="J220" i="12"/>
  <c r="J208" i="12"/>
  <c r="J198" i="12"/>
  <c r="J190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112" i="12"/>
  <c r="J263" i="12"/>
  <c r="J247" i="12"/>
  <c r="J237" i="12"/>
  <c r="J231" i="12"/>
  <c r="J209" i="12"/>
  <c r="J199" i="12"/>
  <c r="J191" i="12"/>
  <c r="J183" i="12"/>
  <c r="J179" i="12"/>
  <c r="J262" i="12"/>
  <c r="J254" i="12"/>
  <c r="J242" i="12"/>
  <c r="J238" i="12"/>
  <c r="J226" i="12"/>
  <c r="J210" i="12"/>
  <c r="J200" i="12"/>
  <c r="J192" i="12"/>
  <c r="J174" i="12"/>
  <c r="J170" i="12"/>
  <c r="J261" i="12"/>
  <c r="J255" i="12"/>
  <c r="J221" i="12"/>
  <c r="J211" i="12"/>
  <c r="J201" i="12"/>
  <c r="J193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260" i="12"/>
  <c r="J256" i="12"/>
  <c r="J248" i="12"/>
  <c r="J232" i="12"/>
  <c r="J212" i="12"/>
  <c r="J202" i="12"/>
  <c r="J184" i="12"/>
  <c r="J180" i="12"/>
  <c r="J259" i="12"/>
  <c r="J249" i="12"/>
  <c r="J243" i="12"/>
  <c r="J239" i="12"/>
  <c r="J227" i="12"/>
  <c r="J213" i="12"/>
  <c r="J203" i="12"/>
  <c r="J258" i="12"/>
  <c r="J250" i="12"/>
  <c r="J228" i="12"/>
  <c r="J222" i="12"/>
  <c r="J214" i="12"/>
  <c r="J204" i="12"/>
  <c r="J194" i="12"/>
  <c r="J186" i="12"/>
  <c r="J162" i="12"/>
  <c r="J158" i="12"/>
  <c r="J154" i="12"/>
  <c r="J150" i="12"/>
  <c r="J146" i="12"/>
  <c r="J142" i="12"/>
  <c r="J138" i="12"/>
  <c r="J134" i="12"/>
  <c r="J130" i="12"/>
  <c r="J126" i="12"/>
  <c r="J122" i="12"/>
  <c r="J118" i="12"/>
  <c r="J114" i="12"/>
  <c r="J251" i="12"/>
  <c r="J233" i="12"/>
  <c r="J229" i="12"/>
  <c r="J215" i="12"/>
  <c r="J205" i="12"/>
  <c r="J195" i="12"/>
  <c r="J187" i="12"/>
  <c r="J181" i="12"/>
  <c r="J167" i="12"/>
  <c r="J252" i="12"/>
  <c r="J244" i="12"/>
  <c r="J240" i="12"/>
  <c r="J234" i="12"/>
  <c r="J216" i="12"/>
  <c r="J196" i="12"/>
  <c r="J188" i="12"/>
  <c r="J176" i="12"/>
  <c r="J172" i="12"/>
  <c r="J168" i="12"/>
  <c r="J166" i="12"/>
  <c r="J164" i="12"/>
  <c r="J110" i="12"/>
  <c r="J267" i="12"/>
  <c r="J235" i="12"/>
  <c r="J223" i="12"/>
  <c r="J217" i="12"/>
  <c r="J177" i="12"/>
  <c r="H164" i="12"/>
  <c r="J159" i="12"/>
  <c r="J155" i="12"/>
  <c r="J151" i="12"/>
  <c r="J147" i="12"/>
  <c r="J143" i="12"/>
  <c r="J139" i="12"/>
  <c r="J135" i="12"/>
  <c r="J131" i="12"/>
  <c r="J127" i="12"/>
  <c r="J123" i="12"/>
  <c r="J119" i="12"/>
  <c r="J115" i="12"/>
  <c r="J111" i="12"/>
  <c r="J266" i="12"/>
  <c r="J230" i="12"/>
  <c r="J224" i="12"/>
  <c r="J218" i="12"/>
  <c r="J206" i="12"/>
  <c r="J182" i="12"/>
  <c r="J178" i="12"/>
  <c r="J271" i="12"/>
  <c r="J225" i="12"/>
  <c r="J207" i="12"/>
  <c r="J185" i="12"/>
  <c r="J253" i="12"/>
  <c r="J219" i="12"/>
  <c r="J189" i="12"/>
  <c r="L12" i="12"/>
  <c r="N12" i="12" s="1"/>
  <c r="J241" i="12"/>
  <c r="J169" i="12"/>
  <c r="J173" i="12"/>
  <c r="J171" i="12"/>
  <c r="J197" i="12"/>
  <c r="J245" i="12"/>
  <c r="J175" i="12"/>
  <c r="J265" i="12"/>
  <c r="D96" i="9"/>
  <c r="L92" i="9"/>
  <c r="X296" i="3"/>
  <c r="Z296" i="3" s="1"/>
  <c r="T27" i="112"/>
  <c r="Z18" i="112"/>
  <c r="H27" i="112"/>
  <c r="N18" i="112"/>
  <c r="H27" i="53"/>
  <c r="N18" i="53"/>
  <c r="P27" i="49"/>
  <c r="X18" i="49"/>
  <c r="P27" i="52"/>
  <c r="X18" i="52"/>
  <c r="X18" i="38"/>
  <c r="P27" i="38"/>
  <c r="H27" i="37"/>
  <c r="N18" i="37"/>
  <c r="T27" i="41"/>
  <c r="Z18" i="41"/>
  <c r="X18" i="41"/>
  <c r="P27" i="41"/>
  <c r="H27" i="41"/>
  <c r="N18" i="41"/>
  <c r="X18" i="35"/>
  <c r="P27" i="35"/>
  <c r="L18" i="41"/>
  <c r="D27" i="41"/>
  <c r="L18" i="17"/>
  <c r="D27" i="17"/>
  <c r="T27" i="20"/>
  <c r="Z18" i="20"/>
  <c r="X18" i="20"/>
  <c r="P27" i="20"/>
  <c r="X18" i="19"/>
  <c r="P27" i="19"/>
  <c r="X18" i="14"/>
  <c r="P27" i="14"/>
  <c r="T27" i="13"/>
  <c r="Z18" i="13"/>
  <c r="N18" i="8"/>
  <c r="H27" i="8"/>
  <c r="V64" i="106"/>
  <c r="V56" i="106"/>
  <c r="V44" i="106"/>
  <c r="V32" i="106"/>
  <c r="V28" i="106"/>
  <c r="V24" i="106"/>
  <c r="V59" i="106"/>
  <c r="V47" i="106"/>
  <c r="V23" i="106"/>
  <c r="V21" i="106"/>
  <c r="V19" i="106"/>
  <c r="V74" i="106"/>
  <c r="V70" i="106"/>
  <c r="V58" i="106"/>
  <c r="V87" i="106"/>
  <c r="V65" i="106"/>
  <c r="V49" i="106"/>
  <c r="V33" i="106"/>
  <c r="V29" i="106"/>
  <c r="V25" i="106"/>
  <c r="V76" i="106"/>
  <c r="V60" i="106"/>
  <c r="V48" i="106"/>
  <c r="V75" i="106"/>
  <c r="V71" i="106"/>
  <c r="V67" i="106"/>
  <c r="V51" i="106"/>
  <c r="V39" i="106"/>
  <c r="V35" i="106"/>
  <c r="V78" i="106"/>
  <c r="V66" i="106"/>
  <c r="V50" i="106"/>
  <c r="V30" i="106"/>
  <c r="V26" i="106"/>
  <c r="V77" i="106"/>
  <c r="V61" i="106"/>
  <c r="V53" i="106"/>
  <c r="V41" i="106"/>
  <c r="V17" i="106"/>
  <c r="V62" i="106"/>
  <c r="V54" i="106"/>
  <c r="V42" i="106"/>
  <c r="V18" i="106"/>
  <c r="V83" i="106"/>
  <c r="V81" i="106"/>
  <c r="V73" i="106"/>
  <c r="V69" i="106"/>
  <c r="V57" i="106"/>
  <c r="V46" i="106"/>
  <c r="Z12" i="106"/>
  <c r="V36" i="106"/>
  <c r="V31" i="106"/>
  <c r="V55" i="106"/>
  <c r="V38" i="106"/>
  <c r="V79" i="106"/>
  <c r="V68" i="106"/>
  <c r="V63" i="106"/>
  <c r="V43" i="106"/>
  <c r="V40" i="106"/>
  <c r="V45" i="106"/>
  <c r="V80" i="106"/>
  <c r="T21" i="106"/>
  <c r="V72" i="106"/>
  <c r="V37" i="106"/>
  <c r="V52" i="106"/>
  <c r="V34" i="106"/>
  <c r="V27" i="106"/>
  <c r="H24" i="107"/>
  <c r="N16" i="107"/>
  <c r="H50" i="103"/>
  <c r="N16" i="103"/>
  <c r="H85" i="106"/>
  <c r="H84" i="104"/>
  <c r="H50" i="99"/>
  <c r="N19" i="99"/>
  <c r="L12" i="101"/>
  <c r="X12" i="96"/>
  <c r="Z12" i="96" s="1"/>
  <c r="R20" i="95"/>
  <c r="F20" i="95"/>
  <c r="P30" i="86"/>
  <c r="X18" i="86"/>
  <c r="V89" i="75"/>
  <c r="V81" i="75"/>
  <c r="V73" i="75"/>
  <c r="V61" i="75"/>
  <c r="V57" i="75"/>
  <c r="V104" i="75"/>
  <c r="V96" i="75"/>
  <c r="V84" i="75"/>
  <c r="V48" i="75"/>
  <c r="V44" i="75"/>
  <c r="V40" i="75"/>
  <c r="V36" i="75"/>
  <c r="V91" i="75"/>
  <c r="V83" i="75"/>
  <c r="V75" i="75"/>
  <c r="V108" i="75"/>
  <c r="V74" i="75"/>
  <c r="V62" i="75"/>
  <c r="V58" i="75"/>
  <c r="V54" i="75"/>
  <c r="V107" i="75"/>
  <c r="V105" i="75"/>
  <c r="V97" i="75"/>
  <c r="V93" i="75"/>
  <c r="V85" i="75"/>
  <c r="V77" i="75"/>
  <c r="V53" i="75"/>
  <c r="V49" i="75"/>
  <c r="V45" i="75"/>
  <c r="V41" i="75"/>
  <c r="V37" i="75"/>
  <c r="V92" i="75"/>
  <c r="V76" i="75"/>
  <c r="V68" i="75"/>
  <c r="V64" i="75"/>
  <c r="T51" i="75"/>
  <c r="Z12" i="75"/>
  <c r="V99" i="75"/>
  <c r="V87" i="75"/>
  <c r="V59" i="75"/>
  <c r="V55" i="75"/>
  <c r="V112" i="75"/>
  <c r="V98" i="75"/>
  <c r="V94" i="75"/>
  <c r="V86" i="75"/>
  <c r="V78" i="75"/>
  <c r="V70" i="75"/>
  <c r="V46" i="75"/>
  <c r="V42" i="75"/>
  <c r="V38" i="75"/>
  <c r="V34" i="75"/>
  <c r="V103" i="75"/>
  <c r="V95" i="75"/>
  <c r="V79" i="75"/>
  <c r="V71" i="75"/>
  <c r="V47" i="75"/>
  <c r="V43" i="75"/>
  <c r="V39" i="75"/>
  <c r="V35" i="75"/>
  <c r="V100" i="75"/>
  <c r="V67" i="75"/>
  <c r="V60" i="75"/>
  <c r="V102" i="75"/>
  <c r="V69" i="75"/>
  <c r="V80" i="75"/>
  <c r="V72" i="75"/>
  <c r="V101" i="75"/>
  <c r="V82" i="75"/>
  <c r="V88" i="75"/>
  <c r="V66" i="75"/>
  <c r="V90" i="75"/>
  <c r="V63" i="75"/>
  <c r="V56" i="75"/>
  <c r="V65" i="75"/>
  <c r="L16" i="68"/>
  <c r="D61" i="68"/>
  <c r="F106" i="77"/>
  <c r="F89" i="77"/>
  <c r="F88" i="77"/>
  <c r="F77" i="77"/>
  <c r="F76" i="77"/>
  <c r="F69" i="77"/>
  <c r="F110" i="77"/>
  <c r="F105" i="77"/>
  <c r="F100" i="77"/>
  <c r="F99" i="77"/>
  <c r="F64" i="77"/>
  <c r="F60" i="77"/>
  <c r="F104" i="77"/>
  <c r="F91" i="77"/>
  <c r="F90" i="77"/>
  <c r="F79" i="77"/>
  <c r="F78" i="77"/>
  <c r="F51" i="77"/>
  <c r="F47" i="77"/>
  <c r="F103" i="77"/>
  <c r="F70" i="77"/>
  <c r="F102" i="77"/>
  <c r="F93" i="77"/>
  <c r="F92" i="77"/>
  <c r="F81" i="77"/>
  <c r="F80" i="77"/>
  <c r="F65" i="77"/>
  <c r="F61" i="77"/>
  <c r="F52" i="77"/>
  <c r="F48" i="77"/>
  <c r="F44" i="77"/>
  <c r="F40" i="77"/>
  <c r="F83" i="77"/>
  <c r="F82" i="77"/>
  <c r="F71" i="77"/>
  <c r="F94" i="77"/>
  <c r="F66" i="77"/>
  <c r="F62" i="77"/>
  <c r="F58" i="77"/>
  <c r="F57" i="77"/>
  <c r="F87" i="77"/>
  <c r="F85" i="77"/>
  <c r="F67" i="77"/>
  <c r="F56" i="77"/>
  <c r="F43" i="77"/>
  <c r="F49" i="77"/>
  <c r="F45" i="77"/>
  <c r="F41" i="77"/>
  <c r="F38" i="77"/>
  <c r="F74" i="77"/>
  <c r="F97" i="77"/>
  <c r="F95" i="77"/>
  <c r="F72" i="77"/>
  <c r="F39" i="77"/>
  <c r="F86" i="77"/>
  <c r="F59" i="77"/>
  <c r="D54" i="77"/>
  <c r="F84" i="77"/>
  <c r="F68" i="77"/>
  <c r="L12" i="77"/>
  <c r="N12" i="77" s="1"/>
  <c r="F75" i="77"/>
  <c r="F73" i="77"/>
  <c r="F63" i="77"/>
  <c r="F42" i="77"/>
  <c r="F46" i="77"/>
  <c r="F96" i="77"/>
  <c r="F98" i="77"/>
  <c r="F50" i="77"/>
  <c r="T73" i="70"/>
  <c r="D65" i="59"/>
  <c r="L16" i="59"/>
  <c r="D22" i="54"/>
  <c r="L16" i="54"/>
  <c r="X16" i="57"/>
  <c r="V118" i="42"/>
  <c r="F118" i="42"/>
  <c r="X86" i="33"/>
  <c r="Z86" i="33" s="1"/>
  <c r="V30" i="36"/>
  <c r="Z249" i="15"/>
  <c r="L184" i="18"/>
  <c r="D288" i="18"/>
  <c r="F184" i="18"/>
  <c r="L258" i="12"/>
  <c r="N258" i="12" s="1"/>
  <c r="V242" i="15"/>
  <c r="V234" i="15"/>
  <c r="V230" i="15"/>
  <c r="V218" i="15"/>
  <c r="V202" i="15"/>
  <c r="V154" i="15"/>
  <c r="V150" i="15"/>
  <c r="V241" i="15"/>
  <c r="V213" i="15"/>
  <c r="V258" i="15"/>
  <c r="V224" i="15"/>
  <c r="V204" i="15"/>
  <c r="V257" i="15"/>
  <c r="V243" i="15"/>
  <c r="V235" i="15"/>
  <c r="V231" i="15"/>
  <c r="V219" i="15"/>
  <c r="V203" i="15"/>
  <c r="V195" i="15"/>
  <c r="V187" i="15"/>
  <c r="V155" i="15"/>
  <c r="V151" i="15"/>
  <c r="V147" i="15"/>
  <c r="V143" i="15"/>
  <c r="V139" i="15"/>
  <c r="V135" i="15"/>
  <c r="V131" i="15"/>
  <c r="V256" i="15"/>
  <c r="V226" i="15"/>
  <c r="V214" i="15"/>
  <c r="V206" i="15"/>
  <c r="V194" i="15"/>
  <c r="V186" i="15"/>
  <c r="V178" i="15"/>
  <c r="V174" i="15"/>
  <c r="V255" i="15"/>
  <c r="V237" i="15"/>
  <c r="V225" i="15"/>
  <c r="V221" i="15"/>
  <c r="V205" i="15"/>
  <c r="V197" i="15"/>
  <c r="V169" i="15"/>
  <c r="V165" i="15"/>
  <c r="V262" i="15"/>
  <c r="V254" i="15"/>
  <c r="V253" i="15"/>
  <c r="V227" i="15"/>
  <c r="V215" i="15"/>
  <c r="V207" i="15"/>
  <c r="V199" i="15"/>
  <c r="V252" i="15"/>
  <c r="V246" i="15"/>
  <c r="V238" i="15"/>
  <c r="V222" i="15"/>
  <c r="V210" i="15"/>
  <c r="V198" i="15"/>
  <c r="V190" i="15"/>
  <c r="V182" i="15"/>
  <c r="V170" i="15"/>
  <c r="V166" i="15"/>
  <c r="V162" i="15"/>
  <c r="V251" i="15"/>
  <c r="V245" i="15"/>
  <c r="V233" i="15"/>
  <c r="V229" i="15"/>
  <c r="V217" i="15"/>
  <c r="V209" i="15"/>
  <c r="V189" i="15"/>
  <c r="V181" i="15"/>
  <c r="V161" i="15"/>
  <c r="V159" i="15"/>
  <c r="V157" i="15"/>
  <c r="V153" i="15"/>
  <c r="V149" i="15"/>
  <c r="V145" i="15"/>
  <c r="V141" i="15"/>
  <c r="V137" i="15"/>
  <c r="V133" i="15"/>
  <c r="V129" i="15"/>
  <c r="V125" i="15"/>
  <c r="V121" i="15"/>
  <c r="V250" i="15"/>
  <c r="V240" i="15"/>
  <c r="V228" i="15"/>
  <c r="V216" i="15"/>
  <c r="V212" i="15"/>
  <c r="V200" i="15"/>
  <c r="V176" i="15"/>
  <c r="V172" i="15"/>
  <c r="T159" i="15"/>
  <c r="V184" i="15"/>
  <c r="V179" i="15"/>
  <c r="V171" i="15"/>
  <c r="V140" i="15"/>
  <c r="V138" i="15"/>
  <c r="V127" i="15"/>
  <c r="V110" i="15"/>
  <c r="V236" i="15"/>
  <c r="V134" i="15"/>
  <c r="V120" i="15"/>
  <c r="V117" i="15"/>
  <c r="V192" i="15"/>
  <c r="V185" i="15"/>
  <c r="V164" i="15"/>
  <c r="V136" i="15"/>
  <c r="V130" i="15"/>
  <c r="V114" i="15"/>
  <c r="V107" i="15"/>
  <c r="V244" i="15"/>
  <c r="V180" i="15"/>
  <c r="V132" i="15"/>
  <c r="V223" i="15"/>
  <c r="V168" i="15"/>
  <c r="V123" i="15"/>
  <c r="V118" i="15"/>
  <c r="V111" i="15"/>
  <c r="V211" i="15"/>
  <c r="V201" i="15"/>
  <c r="V193" i="15"/>
  <c r="V128" i="15"/>
  <c r="V188" i="15"/>
  <c r="V126" i="15"/>
  <c r="V115" i="15"/>
  <c r="V108" i="15"/>
  <c r="Z12" i="15"/>
  <c r="V249" i="15"/>
  <c r="V232" i="15"/>
  <c r="V220" i="15"/>
  <c r="V183" i="15"/>
  <c r="V156" i="15"/>
  <c r="V163" i="15"/>
  <c r="V152" i="15"/>
  <c r="V119" i="15"/>
  <c r="V112" i="15"/>
  <c r="V208" i="15"/>
  <c r="V191" i="15"/>
  <c r="V148" i="15"/>
  <c r="V146" i="15"/>
  <c r="V124" i="15"/>
  <c r="V109" i="15"/>
  <c r="V247" i="15"/>
  <c r="V239" i="15"/>
  <c r="V173" i="15"/>
  <c r="V167" i="15"/>
  <c r="V142" i="15"/>
  <c r="V122" i="15"/>
  <c r="V116" i="15"/>
  <c r="V175" i="15"/>
  <c r="V113" i="15"/>
  <c r="V177" i="15"/>
  <c r="V196" i="15"/>
  <c r="V144" i="15"/>
  <c r="H288" i="18"/>
  <c r="N184" i="18"/>
  <c r="V258" i="12"/>
  <c r="R164" i="12"/>
  <c r="T27" i="47"/>
  <c r="Z18" i="47"/>
  <c r="D27" i="49"/>
  <c r="L18" i="49"/>
  <c r="P27" i="43"/>
  <c r="X18" i="43"/>
  <c r="D27" i="38"/>
  <c r="L18" i="38"/>
  <c r="H27" i="43"/>
  <c r="N18" i="43"/>
  <c r="X18" i="40"/>
  <c r="P27" i="40"/>
  <c r="H27" i="44"/>
  <c r="N18" i="44"/>
  <c r="L18" i="44"/>
  <c r="D27" i="44"/>
  <c r="H27" i="34"/>
  <c r="N18" i="34"/>
  <c r="L18" i="34"/>
  <c r="D27" i="34"/>
  <c r="H27" i="32"/>
  <c r="N18" i="32"/>
  <c r="D27" i="32"/>
  <c r="L18" i="32"/>
  <c r="Z18" i="31"/>
  <c r="T27" i="31"/>
  <c r="L18" i="29"/>
  <c r="D27" i="29"/>
  <c r="X18" i="16"/>
  <c r="P27" i="16"/>
  <c r="T27" i="14"/>
  <c r="Z18" i="14"/>
  <c r="L18" i="10"/>
  <c r="D27" i="10"/>
  <c r="P27" i="8"/>
  <c r="X18" i="8"/>
  <c r="T27" i="7"/>
  <c r="Z18" i="7"/>
  <c r="L288" i="18" l="1"/>
  <c r="D292" i="18"/>
  <c r="F288" i="18"/>
  <c r="T110" i="75"/>
  <c r="H89" i="106"/>
  <c r="J85" i="106"/>
  <c r="X27" i="19"/>
  <c r="P31" i="19"/>
  <c r="X59" i="71"/>
  <c r="Z59" i="71" s="1"/>
  <c r="P118" i="71"/>
  <c r="P78" i="81"/>
  <c r="X20" i="81"/>
  <c r="X27" i="111"/>
  <c r="P31" i="111"/>
  <c r="T94" i="33"/>
  <c r="P90" i="84"/>
  <c r="X86" i="84"/>
  <c r="R86" i="84"/>
  <c r="X27" i="16"/>
  <c r="P31" i="16"/>
  <c r="T260" i="15"/>
  <c r="L65" i="59"/>
  <c r="N65" i="59" s="1"/>
  <c r="D69" i="59"/>
  <c r="H31" i="41"/>
  <c r="N27" i="41"/>
  <c r="P31" i="49"/>
  <c r="X27" i="49"/>
  <c r="Z24" i="45"/>
  <c r="T92" i="45"/>
  <c r="P102" i="64"/>
  <c r="X98" i="64"/>
  <c r="Z98" i="64" s="1"/>
  <c r="T81" i="76"/>
  <c r="V77" i="76"/>
  <c r="P28" i="107"/>
  <c r="X24" i="107"/>
  <c r="Z27" i="10"/>
  <c r="T31" i="10"/>
  <c r="L84" i="104"/>
  <c r="D88" i="104"/>
  <c r="F84" i="104"/>
  <c r="Z27" i="16"/>
  <c r="T31" i="16"/>
  <c r="Z27" i="50"/>
  <c r="T31" i="50"/>
  <c r="D28" i="87"/>
  <c r="L24" i="87"/>
  <c r="T89" i="108"/>
  <c r="V85" i="108"/>
  <c r="H31" i="46"/>
  <c r="N27" i="46"/>
  <c r="P76" i="80"/>
  <c r="X72" i="80"/>
  <c r="R72" i="80"/>
  <c r="H77" i="56"/>
  <c r="N73" i="56"/>
  <c r="D31" i="28"/>
  <c r="L27" i="28"/>
  <c r="D123" i="27"/>
  <c r="L119" i="27"/>
  <c r="F119" i="27"/>
  <c r="X77" i="24"/>
  <c r="P136" i="24"/>
  <c r="T34" i="86"/>
  <c r="V30" i="86"/>
  <c r="L27" i="20"/>
  <c r="D31" i="20"/>
  <c r="T81" i="93"/>
  <c r="Z77" i="93"/>
  <c r="V77" i="93"/>
  <c r="T88" i="102"/>
  <c r="V84" i="102"/>
  <c r="P84" i="104"/>
  <c r="X22" i="104"/>
  <c r="H31" i="11"/>
  <c r="N27" i="11"/>
  <c r="D311" i="3"/>
  <c r="L198" i="3"/>
  <c r="N198" i="3" s="1"/>
  <c r="F198" i="3"/>
  <c r="H81" i="76"/>
  <c r="J77" i="76"/>
  <c r="T124" i="69"/>
  <c r="V120" i="69"/>
  <c r="Z27" i="26"/>
  <c r="T31" i="26"/>
  <c r="N27" i="52"/>
  <c r="H31" i="52"/>
  <c r="T123" i="27"/>
  <c r="V119" i="27"/>
  <c r="D93" i="98"/>
  <c r="F90" i="98"/>
  <c r="N27" i="5"/>
  <c r="H31" i="5"/>
  <c r="T31" i="43"/>
  <c r="Z27" i="43"/>
  <c r="X106" i="21"/>
  <c r="P110" i="21"/>
  <c r="R106" i="21"/>
  <c r="H34" i="86"/>
  <c r="J30" i="86"/>
  <c r="P90" i="74"/>
  <c r="X52" i="74"/>
  <c r="Z52" i="74" s="1"/>
  <c r="N27" i="34"/>
  <c r="H31" i="34"/>
  <c r="P31" i="43"/>
  <c r="X27" i="43"/>
  <c r="X27" i="20"/>
  <c r="P31" i="20"/>
  <c r="X27" i="41"/>
  <c r="P31" i="41"/>
  <c r="P260" i="15"/>
  <c r="X159" i="15"/>
  <c r="Z159" i="15" s="1"/>
  <c r="H79" i="110"/>
  <c r="J76" i="110"/>
  <c r="X27" i="5"/>
  <c r="P31" i="5"/>
  <c r="L159" i="15"/>
  <c r="N159" i="15" s="1"/>
  <c r="D260" i="15"/>
  <c r="T112" i="77"/>
  <c r="V108" i="77"/>
  <c r="T94" i="74"/>
  <c r="V90" i="74"/>
  <c r="D31" i="23"/>
  <c r="L27" i="23"/>
  <c r="T99" i="9"/>
  <c r="H31" i="22"/>
  <c r="N27" i="22"/>
  <c r="H123" i="27"/>
  <c r="N119" i="27"/>
  <c r="J119" i="27"/>
  <c r="T86" i="73"/>
  <c r="V82" i="73"/>
  <c r="P108" i="77"/>
  <c r="X54" i="77"/>
  <c r="Z54" i="77" s="1"/>
  <c r="T76" i="80"/>
  <c r="Z72" i="80"/>
  <c r="V72" i="80"/>
  <c r="P87" i="88"/>
  <c r="X83" i="88"/>
  <c r="R83" i="88"/>
  <c r="X54" i="105"/>
  <c r="P58" i="105"/>
  <c r="R54" i="105"/>
  <c r="H31" i="17"/>
  <c r="N27" i="17"/>
  <c r="H31" i="49"/>
  <c r="N27" i="49"/>
  <c r="T105" i="64"/>
  <c r="T58" i="105"/>
  <c r="Z54" i="105"/>
  <c r="V54" i="105"/>
  <c r="D93" i="84"/>
  <c r="F90" i="84"/>
  <c r="D31" i="40"/>
  <c r="L27" i="40"/>
  <c r="H110" i="75"/>
  <c r="H90" i="96"/>
  <c r="N20" i="96"/>
  <c r="L27" i="37"/>
  <c r="D31" i="37"/>
  <c r="L27" i="26"/>
  <c r="D31" i="26"/>
  <c r="D31" i="50"/>
  <c r="L27" i="50"/>
  <c r="L38" i="33"/>
  <c r="D94" i="33"/>
  <c r="X27" i="17"/>
  <c r="P31" i="17"/>
  <c r="X27" i="53"/>
  <c r="P31" i="53"/>
  <c r="X29" i="21"/>
  <c r="D136" i="24"/>
  <c r="L77" i="24"/>
  <c r="N77" i="24" s="1"/>
  <c r="X73" i="58"/>
  <c r="Z73" i="58" s="1"/>
  <c r="P77" i="58"/>
  <c r="L21" i="83"/>
  <c r="N21" i="83" s="1"/>
  <c r="D29" i="83"/>
  <c r="P78" i="57"/>
  <c r="Z27" i="40"/>
  <c r="T31" i="40"/>
  <c r="L72" i="48"/>
  <c r="D76" i="48"/>
  <c r="F72" i="48"/>
  <c r="T292" i="18"/>
  <c r="V288" i="18"/>
  <c r="D31" i="44"/>
  <c r="L27" i="44"/>
  <c r="H54" i="103"/>
  <c r="Z27" i="111"/>
  <c r="T31" i="111"/>
  <c r="Z71" i="57"/>
  <c r="T75" i="57"/>
  <c r="X75" i="57" s="1"/>
  <c r="H76" i="48"/>
  <c r="N72" i="48"/>
  <c r="J72" i="48"/>
  <c r="H77" i="58"/>
  <c r="D44" i="109"/>
  <c r="L41" i="109"/>
  <c r="X27" i="13"/>
  <c r="P31" i="13"/>
  <c r="D76" i="110"/>
  <c r="L72" i="110"/>
  <c r="N72" i="110" s="1"/>
  <c r="F72" i="110"/>
  <c r="L27" i="111"/>
  <c r="D31" i="111"/>
  <c r="P81" i="76"/>
  <c r="X77" i="76"/>
  <c r="Z77" i="76" s="1"/>
  <c r="R77" i="76"/>
  <c r="H37" i="55"/>
  <c r="P75" i="94"/>
  <c r="X72" i="94"/>
  <c r="R72" i="94"/>
  <c r="P54" i="103"/>
  <c r="X50" i="103"/>
  <c r="P31" i="10"/>
  <c r="X27" i="10"/>
  <c r="T130" i="36"/>
  <c r="V126" i="36"/>
  <c r="T69" i="59"/>
  <c r="Z65" i="59"/>
  <c r="N83" i="88"/>
  <c r="H87" i="88"/>
  <c r="J83" i="88"/>
  <c r="H96" i="9"/>
  <c r="L96" i="9" s="1"/>
  <c r="N92" i="9"/>
  <c r="T79" i="110"/>
  <c r="V76" i="110"/>
  <c r="Z27" i="14"/>
  <c r="T31" i="14"/>
  <c r="Z27" i="52"/>
  <c r="T31" i="52"/>
  <c r="N20" i="93"/>
  <c r="H77" i="93"/>
  <c r="D273" i="12"/>
  <c r="F269" i="12"/>
  <c r="P120" i="69"/>
  <c r="X70" i="69"/>
  <c r="Z70" i="69" s="1"/>
  <c r="D31" i="43"/>
  <c r="L27" i="43"/>
  <c r="Z27" i="53"/>
  <c r="T31" i="53"/>
  <c r="T31" i="54"/>
  <c r="Z26" i="54"/>
  <c r="X26" i="54"/>
  <c r="T53" i="60"/>
  <c r="Z49" i="60"/>
  <c r="H120" i="85"/>
  <c r="Z26" i="6"/>
  <c r="T31" i="6"/>
  <c r="P288" i="18"/>
  <c r="X184" i="18"/>
  <c r="Z184" i="18" s="1"/>
  <c r="D31" i="29"/>
  <c r="L27" i="29"/>
  <c r="P34" i="86"/>
  <c r="X30" i="86"/>
  <c r="Z30" i="86" s="1"/>
  <c r="R30" i="86"/>
  <c r="N27" i="53"/>
  <c r="H31" i="53"/>
  <c r="P31" i="32"/>
  <c r="X27" i="32"/>
  <c r="L27" i="49"/>
  <c r="D31" i="49"/>
  <c r="D80" i="56"/>
  <c r="L77" i="56"/>
  <c r="P33" i="83"/>
  <c r="R29" i="83"/>
  <c r="X269" i="12"/>
  <c r="Z269" i="12" s="1"/>
  <c r="P273" i="12"/>
  <c r="R269" i="12"/>
  <c r="F159" i="15"/>
  <c r="D73" i="70"/>
  <c r="L20" i="70"/>
  <c r="N20" i="70" s="1"/>
  <c r="D82" i="73"/>
  <c r="L26" i="73"/>
  <c r="H77" i="89"/>
  <c r="J73" i="89"/>
  <c r="X27" i="29"/>
  <c r="P31" i="29"/>
  <c r="Z27" i="29"/>
  <c r="T31" i="29"/>
  <c r="T31" i="49"/>
  <c r="Z27" i="49"/>
  <c r="H92" i="45"/>
  <c r="N24" i="45"/>
  <c r="L24" i="45"/>
  <c r="N27" i="4"/>
  <c r="H31" i="4"/>
  <c r="Z27" i="28"/>
  <c r="T31" i="28"/>
  <c r="D127" i="42"/>
  <c r="L123" i="42"/>
  <c r="F123" i="42"/>
  <c r="P31" i="7"/>
  <c r="X27" i="7"/>
  <c r="Z27" i="38"/>
  <c r="T31" i="38"/>
  <c r="T118" i="71"/>
  <c r="P31" i="47"/>
  <c r="X27" i="47"/>
  <c r="D31" i="22"/>
  <c r="L27" i="22"/>
  <c r="T44" i="109"/>
  <c r="P80" i="89"/>
  <c r="R77" i="89"/>
  <c r="H69" i="79"/>
  <c r="J65" i="79"/>
  <c r="L27" i="31"/>
  <c r="D31" i="31"/>
  <c r="X27" i="112"/>
  <c r="P31" i="112"/>
  <c r="T153" i="30"/>
  <c r="V149" i="30"/>
  <c r="H86" i="84"/>
  <c r="N20" i="84"/>
  <c r="L20" i="84"/>
  <c r="H33" i="83"/>
  <c r="J29" i="83"/>
  <c r="Z27" i="25"/>
  <c r="T31" i="25"/>
  <c r="L27" i="47"/>
  <c r="D31" i="47"/>
  <c r="L98" i="64"/>
  <c r="N98" i="64" s="1"/>
  <c r="D102" i="64"/>
  <c r="T29" i="83"/>
  <c r="X29" i="83" s="1"/>
  <c r="Z21" i="83"/>
  <c r="H75" i="57"/>
  <c r="L20" i="93"/>
  <c r="D77" i="93"/>
  <c r="N27" i="25"/>
  <c r="H31" i="25"/>
  <c r="X77" i="93"/>
  <c r="P81" i="93"/>
  <c r="R77" i="93"/>
  <c r="H56" i="60"/>
  <c r="P69" i="59"/>
  <c r="X65" i="59"/>
  <c r="R52" i="74"/>
  <c r="D31" i="112"/>
  <c r="L27" i="112"/>
  <c r="L20" i="80"/>
  <c r="D72" i="80"/>
  <c r="H81" i="95"/>
  <c r="J77" i="95"/>
  <c r="X72" i="110"/>
  <c r="Z72" i="110" s="1"/>
  <c r="P76" i="110"/>
  <c r="R72" i="110"/>
  <c r="X27" i="4"/>
  <c r="P31" i="4"/>
  <c r="L27" i="35"/>
  <c r="D31" i="35"/>
  <c r="T127" i="42"/>
  <c r="V123" i="42"/>
  <c r="D34" i="86"/>
  <c r="L30" i="86"/>
  <c r="N30" i="86" s="1"/>
  <c r="F30" i="86"/>
  <c r="P81" i="95"/>
  <c r="R77" i="95"/>
  <c r="X123" i="42"/>
  <c r="Z123" i="42" s="1"/>
  <c r="P127" i="42"/>
  <c r="R123" i="42"/>
  <c r="L49" i="60"/>
  <c r="N49" i="60" s="1"/>
  <c r="D53" i="60"/>
  <c r="H90" i="74"/>
  <c r="H28" i="87"/>
  <c r="N24" i="87"/>
  <c r="H136" i="24"/>
  <c r="V38" i="33"/>
  <c r="L23" i="102"/>
  <c r="D84" i="102"/>
  <c r="T31" i="8"/>
  <c r="Z27" i="8"/>
  <c r="P53" i="60"/>
  <c r="X49" i="60"/>
  <c r="N20" i="98"/>
  <c r="H86" i="98"/>
  <c r="L20" i="98"/>
  <c r="P41" i="109"/>
  <c r="X37" i="109"/>
  <c r="Z37" i="109" s="1"/>
  <c r="H65" i="68"/>
  <c r="Z27" i="41"/>
  <c r="T31" i="41"/>
  <c r="T31" i="47"/>
  <c r="Z27" i="47"/>
  <c r="L61" i="68"/>
  <c r="N61" i="68" s="1"/>
  <c r="D65" i="68"/>
  <c r="N27" i="8"/>
  <c r="H31" i="8"/>
  <c r="D31" i="17"/>
  <c r="L27" i="17"/>
  <c r="H153" i="30"/>
  <c r="J149" i="30"/>
  <c r="P73" i="70"/>
  <c r="X20" i="70"/>
  <c r="Z20" i="70" s="1"/>
  <c r="H264" i="15"/>
  <c r="J260" i="15"/>
  <c r="L27" i="7"/>
  <c r="D31" i="7"/>
  <c r="N26" i="54"/>
  <c r="H31" i="54"/>
  <c r="T87" i="88"/>
  <c r="Z83" i="88"/>
  <c r="V83" i="88"/>
  <c r="N27" i="13"/>
  <c r="H31" i="13"/>
  <c r="H31" i="40"/>
  <c r="N27" i="40"/>
  <c r="N106" i="21"/>
  <c r="H110" i="21"/>
  <c r="L106" i="21"/>
  <c r="J106" i="21"/>
  <c r="R70" i="69"/>
  <c r="N27" i="111"/>
  <c r="H31" i="111"/>
  <c r="H31" i="16"/>
  <c r="N27" i="16"/>
  <c r="H31" i="50"/>
  <c r="N27" i="50"/>
  <c r="N20" i="80"/>
  <c r="H72" i="80"/>
  <c r="Z68" i="94"/>
  <c r="T72" i="94"/>
  <c r="V68" i="94"/>
  <c r="X27" i="50"/>
  <c r="P31" i="50"/>
  <c r="H31" i="23"/>
  <c r="N27" i="23"/>
  <c r="D31" i="4"/>
  <c r="L27" i="4"/>
  <c r="H31" i="14"/>
  <c r="N27" i="14"/>
  <c r="D108" i="51"/>
  <c r="L54" i="51"/>
  <c r="T47" i="100"/>
  <c r="Z43" i="100"/>
  <c r="X43" i="100"/>
  <c r="X27" i="34"/>
  <c r="P31" i="34"/>
  <c r="X27" i="113"/>
  <c r="P31" i="113"/>
  <c r="P108" i="51"/>
  <c r="X54" i="51"/>
  <c r="P97" i="92"/>
  <c r="X93" i="92"/>
  <c r="N123" i="42"/>
  <c r="H127" i="42"/>
  <c r="J123" i="42"/>
  <c r="X24" i="45"/>
  <c r="P92" i="45"/>
  <c r="H82" i="73"/>
  <c r="N26" i="73"/>
  <c r="Z20" i="95"/>
  <c r="T77" i="95"/>
  <c r="X77" i="95" s="1"/>
  <c r="Z27" i="31"/>
  <c r="T31" i="31"/>
  <c r="T77" i="70"/>
  <c r="V73" i="70"/>
  <c r="H31" i="112"/>
  <c r="N27" i="112"/>
  <c r="H31" i="37"/>
  <c r="N27" i="37"/>
  <c r="Z27" i="112"/>
  <c r="T31" i="112"/>
  <c r="L73" i="58"/>
  <c r="N73" i="58" s="1"/>
  <c r="D77" i="58"/>
  <c r="H72" i="94"/>
  <c r="J68" i="94"/>
  <c r="T67" i="101"/>
  <c r="V63" i="101"/>
  <c r="N27" i="7"/>
  <c r="H31" i="7"/>
  <c r="N27" i="26"/>
  <c r="H31" i="26"/>
  <c r="L77" i="95"/>
  <c r="N77" i="95" s="1"/>
  <c r="D81" i="95"/>
  <c r="F77" i="95"/>
  <c r="T31" i="32"/>
  <c r="Z27" i="32"/>
  <c r="D94" i="96"/>
  <c r="L90" i="96"/>
  <c r="F90" i="96"/>
  <c r="D118" i="71"/>
  <c r="L59" i="71"/>
  <c r="N59" i="71" s="1"/>
  <c r="D31" i="52"/>
  <c r="L27" i="52"/>
  <c r="P311" i="3"/>
  <c r="X198" i="3"/>
  <c r="Z198" i="3" s="1"/>
  <c r="Z77" i="24"/>
  <c r="T136" i="24"/>
  <c r="L27" i="19"/>
  <c r="D31" i="19"/>
  <c r="H105" i="64"/>
  <c r="T311" i="3"/>
  <c r="H118" i="71"/>
  <c r="T28" i="87"/>
  <c r="Z24" i="87"/>
  <c r="T73" i="89"/>
  <c r="X20" i="89"/>
  <c r="Z20" i="89" s="1"/>
  <c r="Z50" i="99"/>
  <c r="T54" i="99"/>
  <c r="X27" i="22"/>
  <c r="P31" i="22"/>
  <c r="N27" i="113"/>
  <c r="H31" i="113"/>
  <c r="D77" i="89"/>
  <c r="L73" i="89"/>
  <c r="N73" i="89" s="1"/>
  <c r="F73" i="89"/>
  <c r="L27" i="14"/>
  <c r="D31" i="14"/>
  <c r="X27" i="28"/>
  <c r="P31" i="28"/>
  <c r="D108" i="77"/>
  <c r="L54" i="77"/>
  <c r="N54" i="77" s="1"/>
  <c r="T31" i="20"/>
  <c r="Z27" i="20"/>
  <c r="L83" i="88"/>
  <c r="D87" i="88"/>
  <c r="F83" i="88"/>
  <c r="N27" i="44"/>
  <c r="H31" i="44"/>
  <c r="P31" i="8"/>
  <c r="X27" i="8"/>
  <c r="D31" i="41"/>
  <c r="L27" i="41"/>
  <c r="P31" i="38"/>
  <c r="X27" i="38"/>
  <c r="D136" i="39"/>
  <c r="L132" i="39"/>
  <c r="F132" i="39"/>
  <c r="Z20" i="96"/>
  <c r="T90" i="96"/>
  <c r="X20" i="96"/>
  <c r="L27" i="13"/>
  <c r="D31" i="13"/>
  <c r="P77" i="56"/>
  <c r="X73" i="56"/>
  <c r="Z73" i="56" s="1"/>
  <c r="H100" i="92"/>
  <c r="N27" i="20"/>
  <c r="H31" i="20"/>
  <c r="T31" i="34"/>
  <c r="Z27" i="34"/>
  <c r="P86" i="73"/>
  <c r="X82" i="73"/>
  <c r="Z82" i="73" s="1"/>
  <c r="R82" i="73"/>
  <c r="T28" i="107"/>
  <c r="Z24" i="107"/>
  <c r="X27" i="11"/>
  <c r="P31" i="11"/>
  <c r="T31" i="37"/>
  <c r="Z27" i="37"/>
  <c r="N26" i="6"/>
  <c r="H31" i="6"/>
  <c r="X30" i="36"/>
  <c r="Z30" i="36" s="1"/>
  <c r="P126" i="36"/>
  <c r="R30" i="36"/>
  <c r="D110" i="75"/>
  <c r="L51" i="75"/>
  <c r="N51" i="75" s="1"/>
  <c r="T31" i="22"/>
  <c r="Z27" i="22"/>
  <c r="D31" i="113"/>
  <c r="L27" i="113"/>
  <c r="P31" i="26"/>
  <c r="X27" i="26"/>
  <c r="H94" i="33"/>
  <c r="N38" i="33"/>
  <c r="R20" i="81"/>
  <c r="P31" i="87"/>
  <c r="Z20" i="81"/>
  <c r="T78" i="81"/>
  <c r="X27" i="46"/>
  <c r="P31" i="46"/>
  <c r="V198" i="3"/>
  <c r="H72" i="59"/>
  <c r="J57" i="85"/>
  <c r="P84" i="102"/>
  <c r="X23" i="102"/>
  <c r="Z23" i="102" s="1"/>
  <c r="X21" i="106"/>
  <c r="Z21" i="106" s="1"/>
  <c r="P85" i="106"/>
  <c r="X27" i="37"/>
  <c r="P31" i="37"/>
  <c r="F113" i="21"/>
  <c r="H28" i="107"/>
  <c r="N24" i="107"/>
  <c r="P85" i="108"/>
  <c r="X21" i="108"/>
  <c r="Z21" i="108" s="1"/>
  <c r="Z27" i="5"/>
  <c r="T31" i="5"/>
  <c r="Z27" i="7"/>
  <c r="T31" i="7"/>
  <c r="V51" i="75"/>
  <c r="Z27" i="13"/>
  <c r="T31" i="13"/>
  <c r="D58" i="61"/>
  <c r="L55" i="61"/>
  <c r="Z27" i="17"/>
  <c r="T31" i="17"/>
  <c r="N27" i="31"/>
  <c r="H31" i="31"/>
  <c r="T55" i="61"/>
  <c r="X51" i="61"/>
  <c r="Z51" i="61" s="1"/>
  <c r="T31" i="46"/>
  <c r="Z27" i="46"/>
  <c r="N37" i="39"/>
  <c r="H132" i="39"/>
  <c r="J37" i="39"/>
  <c r="P54" i="99"/>
  <c r="X50" i="99"/>
  <c r="R50" i="99"/>
  <c r="P63" i="101"/>
  <c r="X20" i="101"/>
  <c r="Z20" i="101" s="1"/>
  <c r="H78" i="81"/>
  <c r="L43" i="100"/>
  <c r="N43" i="100" s="1"/>
  <c r="D47" i="100"/>
  <c r="P120" i="85"/>
  <c r="X57" i="85"/>
  <c r="H85" i="108"/>
  <c r="P31" i="44"/>
  <c r="X27" i="44"/>
  <c r="P31" i="23"/>
  <c r="X27" i="23"/>
  <c r="H80" i="70"/>
  <c r="J77" i="70"/>
  <c r="D78" i="81"/>
  <c r="L20" i="81"/>
  <c r="N20" i="81" s="1"/>
  <c r="J20" i="80"/>
  <c r="T90" i="84"/>
  <c r="Z86" i="84"/>
  <c r="V86" i="84"/>
  <c r="H84" i="102"/>
  <c r="N23" i="102"/>
  <c r="P31" i="25"/>
  <c r="X27" i="25"/>
  <c r="R198" i="3"/>
  <c r="T79" i="48"/>
  <c r="V76" i="48"/>
  <c r="T86" i="98"/>
  <c r="L27" i="11"/>
  <c r="D31" i="11"/>
  <c r="Z29" i="21"/>
  <c r="T106" i="21"/>
  <c r="L29" i="76"/>
  <c r="N29" i="76" s="1"/>
  <c r="D77" i="76"/>
  <c r="L93" i="92"/>
  <c r="N93" i="92" s="1"/>
  <c r="D97" i="92"/>
  <c r="H311" i="3"/>
  <c r="H58" i="105"/>
  <c r="J54" i="105"/>
  <c r="Z27" i="113"/>
  <c r="T31" i="113"/>
  <c r="L70" i="69"/>
  <c r="N70" i="69" s="1"/>
  <c r="D120" i="69"/>
  <c r="F70" i="69"/>
  <c r="Z25" i="79"/>
  <c r="T65" i="79"/>
  <c r="X27" i="31"/>
  <c r="P31" i="31"/>
  <c r="D31" i="32"/>
  <c r="L27" i="32"/>
  <c r="D31" i="10"/>
  <c r="L27" i="10"/>
  <c r="D26" i="54"/>
  <c r="L22" i="54"/>
  <c r="H31" i="43"/>
  <c r="N27" i="43"/>
  <c r="X27" i="14"/>
  <c r="P31" i="14"/>
  <c r="P31" i="35"/>
  <c r="X27" i="35"/>
  <c r="D99" i="9"/>
  <c r="L27" i="46"/>
  <c r="D31" i="46"/>
  <c r="Z27" i="19"/>
  <c r="T31" i="19"/>
  <c r="T31" i="35"/>
  <c r="Z27" i="35"/>
  <c r="P96" i="9"/>
  <c r="X92" i="9"/>
  <c r="Z92" i="9" s="1"/>
  <c r="D149" i="30"/>
  <c r="L70" i="30"/>
  <c r="N70" i="30" s="1"/>
  <c r="X72" i="48"/>
  <c r="Z72" i="48" s="1"/>
  <c r="P76" i="48"/>
  <c r="R72" i="48"/>
  <c r="J20" i="81"/>
  <c r="P69" i="79"/>
  <c r="X65" i="79"/>
  <c r="R65" i="79"/>
  <c r="L21" i="106"/>
  <c r="N21" i="106" s="1"/>
  <c r="D85" i="106"/>
  <c r="D54" i="105"/>
  <c r="L21" i="105"/>
  <c r="N21" i="105" s="1"/>
  <c r="D85" i="108"/>
  <c r="L21" i="108"/>
  <c r="N21" i="108" s="1"/>
  <c r="Z27" i="4"/>
  <c r="T31" i="4"/>
  <c r="H124" i="69"/>
  <c r="J120" i="69"/>
  <c r="R59" i="71"/>
  <c r="X51" i="75"/>
  <c r="Z51" i="75" s="1"/>
  <c r="P110" i="75"/>
  <c r="X22" i="6"/>
  <c r="P26" i="6"/>
  <c r="H108" i="77"/>
  <c r="T120" i="85"/>
  <c r="Z57" i="85"/>
  <c r="V57" i="85"/>
  <c r="D67" i="101"/>
  <c r="H31" i="28"/>
  <c r="N27" i="28"/>
  <c r="F54" i="51"/>
  <c r="P119" i="27"/>
  <c r="X60" i="27"/>
  <c r="Z60" i="27" s="1"/>
  <c r="H126" i="36"/>
  <c r="N30" i="36"/>
  <c r="X33" i="55"/>
  <c r="Z33" i="55" s="1"/>
  <c r="P37" i="55"/>
  <c r="F29" i="76"/>
  <c r="L25" i="79"/>
  <c r="N25" i="79" s="1"/>
  <c r="D65" i="79"/>
  <c r="R23" i="102"/>
  <c r="N27" i="38"/>
  <c r="H31" i="38"/>
  <c r="D37" i="55"/>
  <c r="L33" i="55"/>
  <c r="N33" i="55" s="1"/>
  <c r="T65" i="68"/>
  <c r="Z61" i="68"/>
  <c r="D120" i="85"/>
  <c r="L57" i="85"/>
  <c r="N57" i="85" s="1"/>
  <c r="Z22" i="104"/>
  <c r="T84" i="104"/>
  <c r="P97" i="96"/>
  <c r="R94" i="96"/>
  <c r="D31" i="38"/>
  <c r="L27" i="38"/>
  <c r="X27" i="40"/>
  <c r="P31" i="40"/>
  <c r="F54" i="77"/>
  <c r="N50" i="99"/>
  <c r="H54" i="99"/>
  <c r="H31" i="32"/>
  <c r="N27" i="32"/>
  <c r="N288" i="18"/>
  <c r="H292" i="18"/>
  <c r="J288" i="18"/>
  <c r="L27" i="34"/>
  <c r="D31" i="34"/>
  <c r="H88" i="104"/>
  <c r="N84" i="104"/>
  <c r="J84" i="104"/>
  <c r="T85" i="106"/>
  <c r="X27" i="52"/>
  <c r="P31" i="52"/>
  <c r="N164" i="12"/>
  <c r="H269" i="12"/>
  <c r="L269" i="12" s="1"/>
  <c r="T136" i="39"/>
  <c r="V132" i="39"/>
  <c r="N54" i="51"/>
  <c r="H108" i="51"/>
  <c r="R20" i="70"/>
  <c r="H63" i="101"/>
  <c r="L63" i="101" s="1"/>
  <c r="N20" i="101"/>
  <c r="L50" i="103"/>
  <c r="N50" i="103" s="1"/>
  <c r="D54" i="103"/>
  <c r="D31" i="5"/>
  <c r="L27" i="5"/>
  <c r="H31" i="29"/>
  <c r="N27" i="29"/>
  <c r="N27" i="35"/>
  <c r="H31" i="35"/>
  <c r="T40" i="55"/>
  <c r="H47" i="100"/>
  <c r="Z27" i="23"/>
  <c r="T31" i="23"/>
  <c r="D130" i="36"/>
  <c r="L126" i="36"/>
  <c r="F126" i="36"/>
  <c r="T108" i="51"/>
  <c r="Z54" i="51"/>
  <c r="N51" i="61"/>
  <c r="H55" i="61"/>
  <c r="L27" i="16"/>
  <c r="D31" i="16"/>
  <c r="L164" i="12"/>
  <c r="D90" i="74"/>
  <c r="L52" i="74"/>
  <c r="N52" i="74" s="1"/>
  <c r="T54" i="103"/>
  <c r="Z50" i="103"/>
  <c r="D31" i="107"/>
  <c r="T31" i="11"/>
  <c r="Z27" i="11"/>
  <c r="L27" i="53"/>
  <c r="D31" i="53"/>
  <c r="X38" i="33"/>
  <c r="Z38" i="33" s="1"/>
  <c r="P94" i="33"/>
  <c r="X37" i="39"/>
  <c r="Z37" i="39" s="1"/>
  <c r="P132" i="39"/>
  <c r="X65" i="68"/>
  <c r="P68" i="68"/>
  <c r="L27" i="25"/>
  <c r="D31" i="25"/>
  <c r="H44" i="109"/>
  <c r="N41" i="109"/>
  <c r="X149" i="30"/>
  <c r="Z149" i="30" s="1"/>
  <c r="P153" i="30"/>
  <c r="R149" i="30"/>
  <c r="L27" i="8"/>
  <c r="D31" i="8"/>
  <c r="T273" i="12"/>
  <c r="V269" i="12"/>
  <c r="D99" i="45"/>
  <c r="F96" i="45"/>
  <c r="D75" i="57"/>
  <c r="L71" i="57"/>
  <c r="N71" i="57" s="1"/>
  <c r="J52" i="74"/>
  <c r="J77" i="24"/>
  <c r="N27" i="19"/>
  <c r="H31" i="19"/>
  <c r="N27" i="47"/>
  <c r="H31" i="47"/>
  <c r="J59" i="71"/>
  <c r="D54" i="99"/>
  <c r="L50" i="99"/>
  <c r="F50" i="99"/>
  <c r="X20" i="98"/>
  <c r="Z20" i="98" s="1"/>
  <c r="P86" i="98"/>
  <c r="N27" i="10"/>
  <c r="H31" i="10"/>
  <c r="L26" i="6"/>
  <c r="D31" i="6"/>
  <c r="L31" i="6" s="1"/>
  <c r="F77" i="24"/>
  <c r="T97" i="92"/>
  <c r="Z93" i="92"/>
  <c r="D68" i="94"/>
  <c r="L20" i="94"/>
  <c r="N20" i="94" s="1"/>
  <c r="V22" i="104"/>
  <c r="T31" i="44"/>
  <c r="Z27" i="44"/>
  <c r="T94" i="96" l="1"/>
  <c r="X90" i="96"/>
  <c r="Z90" i="96" s="1"/>
  <c r="V90" i="96"/>
  <c r="D36" i="4"/>
  <c r="L31" i="4"/>
  <c r="H124" i="85"/>
  <c r="J120" i="85"/>
  <c r="D31" i="87"/>
  <c r="L28" i="87"/>
  <c r="N28" i="87" s="1"/>
  <c r="L120" i="69"/>
  <c r="N120" i="69" s="1"/>
  <c r="D124" i="69"/>
  <c r="F120" i="69"/>
  <c r="Z28" i="87"/>
  <c r="T31" i="87"/>
  <c r="Z31" i="87" s="1"/>
  <c r="X31" i="4"/>
  <c r="P36" i="4"/>
  <c r="X31" i="47"/>
  <c r="P36" i="47"/>
  <c r="P124" i="69"/>
  <c r="X120" i="69"/>
  <c r="Z120" i="69" s="1"/>
  <c r="R120" i="69"/>
  <c r="Z31" i="14"/>
  <c r="T36" i="14"/>
  <c r="Z36" i="14" s="1"/>
  <c r="D140" i="24"/>
  <c r="L136" i="24"/>
  <c r="F136" i="24"/>
  <c r="L31" i="37"/>
  <c r="D36" i="37"/>
  <c r="X108" i="77"/>
  <c r="Z108" i="77" s="1"/>
  <c r="P112" i="77"/>
  <c r="R108" i="77"/>
  <c r="L31" i="23"/>
  <c r="D36" i="23"/>
  <c r="J79" i="110"/>
  <c r="N31" i="34"/>
  <c r="H36" i="34"/>
  <c r="N36" i="34" s="1"/>
  <c r="T126" i="27"/>
  <c r="V123" i="27"/>
  <c r="T98" i="33"/>
  <c r="Z94" i="33"/>
  <c r="V94" i="33"/>
  <c r="L31" i="25"/>
  <c r="D36" i="25"/>
  <c r="T112" i="51"/>
  <c r="V108" i="51"/>
  <c r="T68" i="68"/>
  <c r="Z65" i="68"/>
  <c r="N126" i="36"/>
  <c r="H130" i="36"/>
  <c r="J126" i="36"/>
  <c r="T124" i="85"/>
  <c r="V120" i="85"/>
  <c r="L31" i="46"/>
  <c r="D36" i="46"/>
  <c r="Z106" i="21"/>
  <c r="T110" i="21"/>
  <c r="V106" i="21"/>
  <c r="P36" i="25"/>
  <c r="X31" i="25"/>
  <c r="H136" i="39"/>
  <c r="L136" i="39" s="1"/>
  <c r="N132" i="39"/>
  <c r="J132" i="39"/>
  <c r="P36" i="26"/>
  <c r="X31" i="26"/>
  <c r="N31" i="6"/>
  <c r="T36" i="34"/>
  <c r="Z36" i="34" s="1"/>
  <c r="Z31" i="34"/>
  <c r="D90" i="88"/>
  <c r="L87" i="88"/>
  <c r="F87" i="88"/>
  <c r="L77" i="89"/>
  <c r="N77" i="89" s="1"/>
  <c r="D80" i="89"/>
  <c r="F77" i="89"/>
  <c r="D97" i="96"/>
  <c r="F94" i="96"/>
  <c r="N31" i="7"/>
  <c r="H36" i="7"/>
  <c r="N36" i="7" s="1"/>
  <c r="H86" i="73"/>
  <c r="J82" i="73"/>
  <c r="X31" i="34"/>
  <c r="P36" i="34"/>
  <c r="N31" i="23"/>
  <c r="H36" i="23"/>
  <c r="N36" i="23" s="1"/>
  <c r="H36" i="50"/>
  <c r="N36" i="50" s="1"/>
  <c r="N31" i="50"/>
  <c r="T122" i="71"/>
  <c r="V118" i="71"/>
  <c r="P36" i="83"/>
  <c r="R33" i="83"/>
  <c r="R75" i="94"/>
  <c r="L76" i="110"/>
  <c r="N76" i="110" s="1"/>
  <c r="D79" i="110"/>
  <c r="F76" i="110"/>
  <c r="Z31" i="111"/>
  <c r="T36" i="111"/>
  <c r="Z36" i="111" s="1"/>
  <c r="D79" i="48"/>
  <c r="L76" i="48"/>
  <c r="F76" i="48"/>
  <c r="F93" i="84"/>
  <c r="H36" i="17"/>
  <c r="N36" i="17" s="1"/>
  <c r="N31" i="17"/>
  <c r="T36" i="43"/>
  <c r="Z36" i="43" s="1"/>
  <c r="Z31" i="43"/>
  <c r="N31" i="52"/>
  <c r="H36" i="52"/>
  <c r="N36" i="52" s="1"/>
  <c r="D315" i="3"/>
  <c r="L311" i="3"/>
  <c r="F311" i="3"/>
  <c r="H80" i="56"/>
  <c r="N77" i="56"/>
  <c r="T36" i="50"/>
  <c r="Z36" i="50" s="1"/>
  <c r="Z31" i="50"/>
  <c r="X31" i="19"/>
  <c r="P36" i="19"/>
  <c r="J80" i="70"/>
  <c r="X126" i="36"/>
  <c r="Z126" i="36" s="1"/>
  <c r="P130" i="36"/>
  <c r="R126" i="36"/>
  <c r="N31" i="26"/>
  <c r="H36" i="26"/>
  <c r="N36" i="26" s="1"/>
  <c r="H90" i="98"/>
  <c r="L86" i="98"/>
  <c r="N86" i="98" s="1"/>
  <c r="J86" i="98"/>
  <c r="D36" i="40"/>
  <c r="L31" i="40"/>
  <c r="P36" i="43"/>
  <c r="X36" i="43" s="1"/>
  <c r="X31" i="43"/>
  <c r="P93" i="84"/>
  <c r="X90" i="84"/>
  <c r="R90" i="84"/>
  <c r="X31" i="40"/>
  <c r="P36" i="40"/>
  <c r="L65" i="68"/>
  <c r="D68" i="68"/>
  <c r="L68" i="68" s="1"/>
  <c r="F99" i="45"/>
  <c r="L31" i="34"/>
  <c r="D36" i="34"/>
  <c r="H112" i="77"/>
  <c r="J108" i="77"/>
  <c r="Z31" i="113"/>
  <c r="T36" i="113"/>
  <c r="Z36" i="113" s="1"/>
  <c r="H82" i="81"/>
  <c r="J78" i="81"/>
  <c r="Z31" i="13"/>
  <c r="T36" i="13"/>
  <c r="Z36" i="13" s="1"/>
  <c r="N31" i="20"/>
  <c r="H36" i="20"/>
  <c r="N36" i="20" s="1"/>
  <c r="N31" i="113"/>
  <c r="H36" i="113"/>
  <c r="N36" i="113" s="1"/>
  <c r="H122" i="71"/>
  <c r="J118" i="71"/>
  <c r="H36" i="37"/>
  <c r="N36" i="37" s="1"/>
  <c r="N31" i="37"/>
  <c r="P96" i="45"/>
  <c r="X92" i="45"/>
  <c r="R92" i="45"/>
  <c r="P36" i="50"/>
  <c r="X31" i="50"/>
  <c r="H36" i="40"/>
  <c r="N36" i="40" s="1"/>
  <c r="N31" i="40"/>
  <c r="H267" i="15"/>
  <c r="J264" i="15"/>
  <c r="X53" i="60"/>
  <c r="Z53" i="60" s="1"/>
  <c r="P56" i="60"/>
  <c r="X69" i="59"/>
  <c r="Z69" i="59" s="1"/>
  <c r="P72" i="59"/>
  <c r="H36" i="83"/>
  <c r="J33" i="83"/>
  <c r="N31" i="4"/>
  <c r="H36" i="4"/>
  <c r="N36" i="4" s="1"/>
  <c r="X31" i="13"/>
  <c r="P36" i="13"/>
  <c r="P36" i="53"/>
  <c r="X31" i="53"/>
  <c r="T89" i="73"/>
  <c r="V86" i="73"/>
  <c r="N31" i="5"/>
  <c r="H36" i="5"/>
  <c r="N36" i="5" s="1"/>
  <c r="T84" i="76"/>
  <c r="V81" i="76"/>
  <c r="T264" i="15"/>
  <c r="V260" i="15"/>
  <c r="H113" i="21"/>
  <c r="N110" i="21"/>
  <c r="J110" i="21"/>
  <c r="L110" i="21"/>
  <c r="D36" i="112"/>
  <c r="L31" i="112"/>
  <c r="H36" i="49"/>
  <c r="N36" i="49" s="1"/>
  <c r="N31" i="49"/>
  <c r="P31" i="107"/>
  <c r="X28" i="107"/>
  <c r="N28" i="107"/>
  <c r="H31" i="107"/>
  <c r="N31" i="107" s="1"/>
  <c r="D81" i="93"/>
  <c r="L77" i="93"/>
  <c r="F77" i="93"/>
  <c r="Z31" i="28"/>
  <c r="T36" i="28"/>
  <c r="Z36" i="28" s="1"/>
  <c r="L31" i="20"/>
  <c r="D36" i="20"/>
  <c r="T100" i="92"/>
  <c r="Z97" i="92"/>
  <c r="H36" i="47"/>
  <c r="N36" i="47" s="1"/>
  <c r="N31" i="47"/>
  <c r="L28" i="107"/>
  <c r="H36" i="29"/>
  <c r="N36" i="29" s="1"/>
  <c r="N31" i="29"/>
  <c r="T139" i="39"/>
  <c r="V136" i="39"/>
  <c r="D36" i="10"/>
  <c r="L31" i="10"/>
  <c r="P36" i="23"/>
  <c r="X31" i="23"/>
  <c r="X68" i="68"/>
  <c r="H273" i="12"/>
  <c r="N269" i="12"/>
  <c r="J269" i="12"/>
  <c r="D36" i="38"/>
  <c r="L31" i="38"/>
  <c r="L37" i="55"/>
  <c r="N37" i="55" s="1"/>
  <c r="D40" i="55"/>
  <c r="L40" i="55" s="1"/>
  <c r="X119" i="27"/>
  <c r="Z119" i="27" s="1"/>
  <c r="P123" i="27"/>
  <c r="R119" i="27"/>
  <c r="L85" i="108"/>
  <c r="D89" i="108"/>
  <c r="F85" i="108"/>
  <c r="X76" i="48"/>
  <c r="Z76" i="48" s="1"/>
  <c r="P79" i="48"/>
  <c r="R76" i="48"/>
  <c r="L31" i="11"/>
  <c r="D36" i="11"/>
  <c r="H88" i="102"/>
  <c r="J84" i="102"/>
  <c r="P36" i="46"/>
  <c r="X31" i="46"/>
  <c r="D36" i="113"/>
  <c r="L31" i="113"/>
  <c r="D139" i="39"/>
  <c r="F136" i="39"/>
  <c r="T140" i="24"/>
  <c r="V136" i="24"/>
  <c r="H36" i="16"/>
  <c r="N36" i="16" s="1"/>
  <c r="N31" i="16"/>
  <c r="N31" i="13"/>
  <c r="H36" i="13"/>
  <c r="N36" i="13" s="1"/>
  <c r="T36" i="47"/>
  <c r="Z36" i="47" s="1"/>
  <c r="Z31" i="47"/>
  <c r="H140" i="24"/>
  <c r="N136" i="24"/>
  <c r="J136" i="24"/>
  <c r="X81" i="95"/>
  <c r="P84" i="95"/>
  <c r="R81" i="95"/>
  <c r="X76" i="110"/>
  <c r="Z76" i="110" s="1"/>
  <c r="P79" i="110"/>
  <c r="R76" i="110"/>
  <c r="H78" i="57"/>
  <c r="H72" i="79"/>
  <c r="J69" i="79"/>
  <c r="Z31" i="38"/>
  <c r="T36" i="38"/>
  <c r="Z36" i="38" s="1"/>
  <c r="H80" i="89"/>
  <c r="J77" i="89"/>
  <c r="P37" i="86"/>
  <c r="X34" i="86"/>
  <c r="R34" i="86"/>
  <c r="T56" i="60"/>
  <c r="L273" i="12"/>
  <c r="D276" i="12"/>
  <c r="F273" i="12"/>
  <c r="V79" i="110"/>
  <c r="T72" i="59"/>
  <c r="H40" i="55"/>
  <c r="Z31" i="40"/>
  <c r="T36" i="40"/>
  <c r="Z36" i="40" s="1"/>
  <c r="H94" i="96"/>
  <c r="N90" i="96"/>
  <c r="J90" i="96"/>
  <c r="X58" i="105"/>
  <c r="Z58" i="105" s="1"/>
  <c r="P61" i="105"/>
  <c r="R58" i="105"/>
  <c r="T97" i="74"/>
  <c r="V94" i="74"/>
  <c r="X260" i="15"/>
  <c r="Z260" i="15" s="1"/>
  <c r="P264" i="15"/>
  <c r="R260" i="15"/>
  <c r="X90" i="74"/>
  <c r="Z90" i="74" s="1"/>
  <c r="P94" i="74"/>
  <c r="R90" i="74"/>
  <c r="Z31" i="26"/>
  <c r="T36" i="26"/>
  <c r="Z36" i="26" s="1"/>
  <c r="H36" i="11"/>
  <c r="N36" i="11" s="1"/>
  <c r="N31" i="11"/>
  <c r="T37" i="86"/>
  <c r="Z34" i="86"/>
  <c r="V34" i="86"/>
  <c r="Z31" i="16"/>
  <c r="T36" i="16"/>
  <c r="Z36" i="16" s="1"/>
  <c r="X31" i="16"/>
  <c r="P36" i="16"/>
  <c r="N31" i="35"/>
  <c r="H36" i="35"/>
  <c r="N36" i="35" s="1"/>
  <c r="X31" i="113"/>
  <c r="P36" i="113"/>
  <c r="Z31" i="11"/>
  <c r="T36" i="11"/>
  <c r="Z36" i="11" s="1"/>
  <c r="N31" i="19"/>
  <c r="H36" i="19"/>
  <c r="N36" i="19" s="1"/>
  <c r="T276" i="12"/>
  <c r="V273" i="12"/>
  <c r="T57" i="103"/>
  <c r="D133" i="36"/>
  <c r="F130" i="36"/>
  <c r="D36" i="5"/>
  <c r="L31" i="5"/>
  <c r="N31" i="38"/>
  <c r="H36" i="38"/>
  <c r="N36" i="38" s="1"/>
  <c r="X26" i="6"/>
  <c r="P31" i="6"/>
  <c r="X31" i="6" s="1"/>
  <c r="D36" i="32"/>
  <c r="L31" i="32"/>
  <c r="T36" i="46"/>
  <c r="Z36" i="46" s="1"/>
  <c r="Z31" i="46"/>
  <c r="T36" i="37"/>
  <c r="Z36" i="37" s="1"/>
  <c r="Z31" i="37"/>
  <c r="T36" i="20"/>
  <c r="Z36" i="20" s="1"/>
  <c r="Z31" i="20"/>
  <c r="X31" i="22"/>
  <c r="P36" i="22"/>
  <c r="T315" i="3"/>
  <c r="V311" i="3"/>
  <c r="H36" i="112"/>
  <c r="N36" i="112" s="1"/>
  <c r="N31" i="112"/>
  <c r="N31" i="111"/>
  <c r="H36" i="111"/>
  <c r="N36" i="111" s="1"/>
  <c r="X73" i="70"/>
  <c r="Z73" i="70" s="1"/>
  <c r="P77" i="70"/>
  <c r="R73" i="70"/>
  <c r="Z31" i="41"/>
  <c r="T36" i="41"/>
  <c r="Z36" i="41" s="1"/>
  <c r="Z31" i="8"/>
  <c r="T36" i="8"/>
  <c r="Z36" i="8" s="1"/>
  <c r="L80" i="56"/>
  <c r="H57" i="103"/>
  <c r="X31" i="17"/>
  <c r="P36" i="17"/>
  <c r="X31" i="41"/>
  <c r="P36" i="41"/>
  <c r="X76" i="80"/>
  <c r="P79" i="80"/>
  <c r="R76" i="80"/>
  <c r="P105" i="64"/>
  <c r="X105" i="64" s="1"/>
  <c r="X102" i="64"/>
  <c r="Z102" i="64" s="1"/>
  <c r="X31" i="111"/>
  <c r="P36" i="111"/>
  <c r="H92" i="106"/>
  <c r="J89" i="106"/>
  <c r="L77" i="76"/>
  <c r="N77" i="76" s="1"/>
  <c r="D81" i="76"/>
  <c r="F77" i="76"/>
  <c r="P89" i="73"/>
  <c r="X86" i="73"/>
  <c r="Z86" i="73" s="1"/>
  <c r="R86" i="73"/>
  <c r="P130" i="42"/>
  <c r="X127" i="42"/>
  <c r="R127" i="42"/>
  <c r="N31" i="53"/>
  <c r="H36" i="53"/>
  <c r="N36" i="53" s="1"/>
  <c r="D72" i="94"/>
  <c r="L68" i="94"/>
  <c r="N68" i="94" s="1"/>
  <c r="F68" i="94"/>
  <c r="Z31" i="4"/>
  <c r="T36" i="4"/>
  <c r="Z36" i="4" s="1"/>
  <c r="X132" i="39"/>
  <c r="Z132" i="39" s="1"/>
  <c r="P136" i="39"/>
  <c r="R132" i="39"/>
  <c r="D57" i="103"/>
  <c r="L54" i="103"/>
  <c r="N54" i="103" s="1"/>
  <c r="X31" i="31"/>
  <c r="P36" i="31"/>
  <c r="Z31" i="7"/>
  <c r="T36" i="7"/>
  <c r="Z36" i="7" s="1"/>
  <c r="X31" i="37"/>
  <c r="P36" i="37"/>
  <c r="T82" i="81"/>
  <c r="V78" i="81"/>
  <c r="X31" i="11"/>
  <c r="P36" i="11"/>
  <c r="P36" i="38"/>
  <c r="X31" i="38"/>
  <c r="T36" i="32"/>
  <c r="Z36" i="32" s="1"/>
  <c r="Z31" i="32"/>
  <c r="T70" i="101"/>
  <c r="V67" i="101"/>
  <c r="N127" i="42"/>
  <c r="H130" i="42"/>
  <c r="J127" i="42"/>
  <c r="T50" i="100"/>
  <c r="X47" i="100"/>
  <c r="Z47" i="100" s="1"/>
  <c r="T75" i="94"/>
  <c r="X75" i="94" s="1"/>
  <c r="Z72" i="94"/>
  <c r="V72" i="94"/>
  <c r="D88" i="102"/>
  <c r="L84" i="102"/>
  <c r="N84" i="102" s="1"/>
  <c r="F84" i="102"/>
  <c r="H31" i="87"/>
  <c r="T33" i="83"/>
  <c r="Z29" i="83"/>
  <c r="V29" i="83"/>
  <c r="H90" i="84"/>
  <c r="N86" i="84"/>
  <c r="J86" i="84"/>
  <c r="L86" i="84"/>
  <c r="L82" i="73"/>
  <c r="N82" i="73" s="1"/>
  <c r="D86" i="73"/>
  <c r="F82" i="73"/>
  <c r="D36" i="29"/>
  <c r="L31" i="29"/>
  <c r="T133" i="36"/>
  <c r="V130" i="36"/>
  <c r="L44" i="109"/>
  <c r="N44" i="109" s="1"/>
  <c r="T115" i="77"/>
  <c r="V112" i="77"/>
  <c r="X84" i="104"/>
  <c r="P88" i="104"/>
  <c r="R84" i="104"/>
  <c r="P140" i="24"/>
  <c r="X136" i="24"/>
  <c r="Z136" i="24" s="1"/>
  <c r="R136" i="24"/>
  <c r="Z92" i="45"/>
  <c r="T96" i="45"/>
  <c r="V92" i="45"/>
  <c r="D130" i="42"/>
  <c r="L127" i="42"/>
  <c r="F127" i="42"/>
  <c r="T78" i="57"/>
  <c r="Z75" i="57"/>
  <c r="D36" i="28"/>
  <c r="L31" i="28"/>
  <c r="L26" i="54"/>
  <c r="D31" i="54"/>
  <c r="L31" i="54" s="1"/>
  <c r="Z31" i="23"/>
  <c r="T36" i="23"/>
  <c r="Z36" i="23" s="1"/>
  <c r="P36" i="52"/>
  <c r="X31" i="52"/>
  <c r="H36" i="10"/>
  <c r="N36" i="10" s="1"/>
  <c r="N31" i="10"/>
  <c r="D36" i="8"/>
  <c r="L31" i="8"/>
  <c r="X110" i="75"/>
  <c r="Z110" i="75" s="1"/>
  <c r="P114" i="75"/>
  <c r="R110" i="75"/>
  <c r="D153" i="30"/>
  <c r="L149" i="30"/>
  <c r="N149" i="30" s="1"/>
  <c r="F149" i="30"/>
  <c r="T93" i="84"/>
  <c r="Z90" i="84"/>
  <c r="V90" i="84"/>
  <c r="P67" i="101"/>
  <c r="X63" i="101"/>
  <c r="Z63" i="101" s="1"/>
  <c r="R63" i="101"/>
  <c r="T57" i="99"/>
  <c r="Z57" i="99" s="1"/>
  <c r="Z54" i="99"/>
  <c r="P315" i="3"/>
  <c r="X311" i="3"/>
  <c r="Z311" i="3" s="1"/>
  <c r="R311" i="3"/>
  <c r="H156" i="30"/>
  <c r="J153" i="30"/>
  <c r="N65" i="68"/>
  <c r="H68" i="68"/>
  <c r="H94" i="74"/>
  <c r="J90" i="74"/>
  <c r="H84" i="95"/>
  <c r="J81" i="95"/>
  <c r="P84" i="93"/>
  <c r="X81" i="93"/>
  <c r="Z81" i="93" s="1"/>
  <c r="R81" i="93"/>
  <c r="L102" i="64"/>
  <c r="N102" i="64" s="1"/>
  <c r="D105" i="64"/>
  <c r="L105" i="64" s="1"/>
  <c r="R80" i="89"/>
  <c r="P36" i="7"/>
  <c r="X31" i="7"/>
  <c r="H96" i="45"/>
  <c r="L92" i="45"/>
  <c r="N92" i="45" s="1"/>
  <c r="J92" i="45"/>
  <c r="Z31" i="54"/>
  <c r="X31" i="54"/>
  <c r="X81" i="76"/>
  <c r="Z81" i="76" s="1"/>
  <c r="P84" i="76"/>
  <c r="R81" i="76"/>
  <c r="H80" i="58"/>
  <c r="D36" i="44"/>
  <c r="L31" i="44"/>
  <c r="L94" i="33"/>
  <c r="D98" i="33"/>
  <c r="F94" i="33"/>
  <c r="H126" i="27"/>
  <c r="J123" i="27"/>
  <c r="X31" i="20"/>
  <c r="P36" i="20"/>
  <c r="F93" i="98"/>
  <c r="H36" i="46"/>
  <c r="N36" i="46" s="1"/>
  <c r="N31" i="46"/>
  <c r="L88" i="104"/>
  <c r="N88" i="104" s="1"/>
  <c r="D91" i="104"/>
  <c r="F88" i="104"/>
  <c r="L31" i="31"/>
  <c r="D36" i="31"/>
  <c r="N292" i="18"/>
  <c r="H295" i="18"/>
  <c r="J292" i="18"/>
  <c r="L90" i="74"/>
  <c r="N90" i="74" s="1"/>
  <c r="D94" i="74"/>
  <c r="F90" i="74"/>
  <c r="R97" i="96"/>
  <c r="P36" i="35"/>
  <c r="X31" i="35"/>
  <c r="H61" i="105"/>
  <c r="J58" i="105"/>
  <c r="T90" i="98"/>
  <c r="V86" i="98"/>
  <c r="X31" i="44"/>
  <c r="P36" i="44"/>
  <c r="D112" i="77"/>
  <c r="L108" i="77"/>
  <c r="N108" i="77" s="1"/>
  <c r="F108" i="77"/>
  <c r="L34" i="86"/>
  <c r="N34" i="86" s="1"/>
  <c r="D37" i="86"/>
  <c r="F34" i="86"/>
  <c r="P98" i="33"/>
  <c r="X94" i="33"/>
  <c r="R94" i="33"/>
  <c r="N47" i="100"/>
  <c r="H50" i="100"/>
  <c r="T88" i="104"/>
  <c r="Z84" i="104"/>
  <c r="V84" i="104"/>
  <c r="D69" i="79"/>
  <c r="L65" i="79"/>
  <c r="N65" i="79" s="1"/>
  <c r="F65" i="79"/>
  <c r="D58" i="105"/>
  <c r="L54" i="105"/>
  <c r="N54" i="105" s="1"/>
  <c r="X31" i="14"/>
  <c r="P36" i="14"/>
  <c r="Z55" i="61"/>
  <c r="T58" i="61"/>
  <c r="X55" i="61"/>
  <c r="Z31" i="5"/>
  <c r="T36" i="5"/>
  <c r="Z36" i="5" s="1"/>
  <c r="P89" i="106"/>
  <c r="X85" i="106"/>
  <c r="R85" i="106"/>
  <c r="X31" i="87"/>
  <c r="T36" i="22"/>
  <c r="Z36" i="22" s="1"/>
  <c r="Z31" i="22"/>
  <c r="P80" i="56"/>
  <c r="X80" i="56" s="1"/>
  <c r="Z80" i="56" s="1"/>
  <c r="X77" i="56"/>
  <c r="Z77" i="56" s="1"/>
  <c r="D36" i="41"/>
  <c r="L31" i="41"/>
  <c r="X31" i="28"/>
  <c r="P36" i="28"/>
  <c r="N105" i="64"/>
  <c r="D84" i="95"/>
  <c r="L81" i="95"/>
  <c r="N81" i="95" s="1"/>
  <c r="F81" i="95"/>
  <c r="H75" i="94"/>
  <c r="J72" i="94"/>
  <c r="T80" i="70"/>
  <c r="V77" i="70"/>
  <c r="D112" i="51"/>
  <c r="L108" i="51"/>
  <c r="F108" i="51"/>
  <c r="T90" i="88"/>
  <c r="V87" i="88"/>
  <c r="D77" i="70"/>
  <c r="L73" i="70"/>
  <c r="N73" i="70" s="1"/>
  <c r="F73" i="70"/>
  <c r="D36" i="49"/>
  <c r="L31" i="49"/>
  <c r="P292" i="18"/>
  <c r="X288" i="18"/>
  <c r="Z288" i="18" s="1"/>
  <c r="R288" i="18"/>
  <c r="Z31" i="53"/>
  <c r="T36" i="53"/>
  <c r="Z36" i="53" s="1"/>
  <c r="L29" i="83"/>
  <c r="N29" i="83" s="1"/>
  <c r="D33" i="83"/>
  <c r="F29" i="83"/>
  <c r="H114" i="75"/>
  <c r="J110" i="75"/>
  <c r="T61" i="105"/>
  <c r="V58" i="105"/>
  <c r="X87" i="88"/>
  <c r="Z87" i="88" s="1"/>
  <c r="P90" i="88"/>
  <c r="R87" i="88"/>
  <c r="D264" i="15"/>
  <c r="L260" i="15"/>
  <c r="N260" i="15" s="1"/>
  <c r="F260" i="15"/>
  <c r="T127" i="69"/>
  <c r="V124" i="69"/>
  <c r="T91" i="102"/>
  <c r="V88" i="102"/>
  <c r="P82" i="81"/>
  <c r="X78" i="81"/>
  <c r="Z78" i="81" s="1"/>
  <c r="R78" i="81"/>
  <c r="T114" i="75"/>
  <c r="V110" i="75"/>
  <c r="Z31" i="19"/>
  <c r="T36" i="19"/>
  <c r="Z36" i="19" s="1"/>
  <c r="Z31" i="112"/>
  <c r="T36" i="112"/>
  <c r="Z36" i="112" s="1"/>
  <c r="X31" i="29"/>
  <c r="P36" i="29"/>
  <c r="T84" i="93"/>
  <c r="V81" i="93"/>
  <c r="D57" i="99"/>
  <c r="L54" i="99"/>
  <c r="F54" i="99"/>
  <c r="X86" i="98"/>
  <c r="Z86" i="98" s="1"/>
  <c r="P90" i="98"/>
  <c r="R86" i="98"/>
  <c r="T89" i="106"/>
  <c r="Z85" i="106"/>
  <c r="V85" i="106"/>
  <c r="H36" i="32"/>
  <c r="N36" i="32" s="1"/>
  <c r="N31" i="32"/>
  <c r="H36" i="28"/>
  <c r="N36" i="28" s="1"/>
  <c r="N31" i="28"/>
  <c r="D89" i="106"/>
  <c r="L85" i="106"/>
  <c r="N85" i="106" s="1"/>
  <c r="F85" i="106"/>
  <c r="X96" i="9"/>
  <c r="Z96" i="9" s="1"/>
  <c r="P99" i="9"/>
  <c r="X99" i="9" s="1"/>
  <c r="N311" i="3"/>
  <c r="H315" i="3"/>
  <c r="J311" i="3"/>
  <c r="N85" i="108"/>
  <c r="H89" i="108"/>
  <c r="J85" i="108"/>
  <c r="N31" i="31"/>
  <c r="H36" i="31"/>
  <c r="N36" i="31" s="1"/>
  <c r="X28" i="87"/>
  <c r="T31" i="107"/>
  <c r="Z28" i="107"/>
  <c r="L31" i="13"/>
  <c r="D36" i="13"/>
  <c r="D36" i="52"/>
  <c r="L31" i="52"/>
  <c r="T36" i="31"/>
  <c r="Z36" i="31" s="1"/>
  <c r="Z31" i="31"/>
  <c r="P100" i="92"/>
  <c r="X100" i="92" s="1"/>
  <c r="X97" i="92"/>
  <c r="N31" i="54"/>
  <c r="D56" i="60"/>
  <c r="L56" i="60" s="1"/>
  <c r="N56" i="60" s="1"/>
  <c r="L53" i="60"/>
  <c r="N53" i="60" s="1"/>
  <c r="Z127" i="42"/>
  <c r="T130" i="42"/>
  <c r="V127" i="42"/>
  <c r="L72" i="80"/>
  <c r="D76" i="80"/>
  <c r="F72" i="80"/>
  <c r="D36" i="47"/>
  <c r="L31" i="47"/>
  <c r="T156" i="30"/>
  <c r="Z153" i="30"/>
  <c r="V153" i="30"/>
  <c r="T36" i="49"/>
  <c r="Z36" i="49" s="1"/>
  <c r="Z31" i="49"/>
  <c r="Z31" i="6"/>
  <c r="H81" i="93"/>
  <c r="N77" i="93"/>
  <c r="J77" i="93"/>
  <c r="N96" i="9"/>
  <c r="H99" i="9"/>
  <c r="L99" i="9" s="1"/>
  <c r="P36" i="10"/>
  <c r="X31" i="10"/>
  <c r="H36" i="22"/>
  <c r="N36" i="22" s="1"/>
  <c r="N31" i="22"/>
  <c r="H37" i="86"/>
  <c r="J34" i="86"/>
  <c r="Z31" i="10"/>
  <c r="T36" i="10"/>
  <c r="Z36" i="10" s="1"/>
  <c r="P36" i="49"/>
  <c r="X31" i="49"/>
  <c r="L47" i="100"/>
  <c r="D50" i="100"/>
  <c r="L50" i="100" s="1"/>
  <c r="L69" i="59"/>
  <c r="N69" i="59" s="1"/>
  <c r="D72" i="59"/>
  <c r="L72" i="59" s="1"/>
  <c r="N72" i="59" s="1"/>
  <c r="P72" i="79"/>
  <c r="R69" i="79"/>
  <c r="L31" i="16"/>
  <c r="D36" i="16"/>
  <c r="Z31" i="44"/>
  <c r="T36" i="44"/>
  <c r="Z36" i="44" s="1"/>
  <c r="L75" i="57"/>
  <c r="N75" i="57" s="1"/>
  <c r="D78" i="57"/>
  <c r="L78" i="57" s="1"/>
  <c r="P156" i="30"/>
  <c r="X153" i="30"/>
  <c r="R153" i="30"/>
  <c r="H57" i="99"/>
  <c r="N57" i="99" s="1"/>
  <c r="N54" i="99"/>
  <c r="Z65" i="79"/>
  <c r="T69" i="79"/>
  <c r="X69" i="79" s="1"/>
  <c r="V65" i="79"/>
  <c r="L97" i="92"/>
  <c r="N97" i="92" s="1"/>
  <c r="D100" i="92"/>
  <c r="L100" i="92" s="1"/>
  <c r="N100" i="92" s="1"/>
  <c r="V79" i="48"/>
  <c r="X54" i="99"/>
  <c r="P57" i="99"/>
  <c r="R54" i="99"/>
  <c r="D114" i="75"/>
  <c r="L110" i="75"/>
  <c r="N110" i="75" s="1"/>
  <c r="F110" i="75"/>
  <c r="X31" i="8"/>
  <c r="P36" i="8"/>
  <c r="L31" i="14"/>
  <c r="D36" i="14"/>
  <c r="Z73" i="89"/>
  <c r="T77" i="89"/>
  <c r="X73" i="89"/>
  <c r="V73" i="89"/>
  <c r="L31" i="19"/>
  <c r="D36" i="19"/>
  <c r="L77" i="58"/>
  <c r="N77" i="58" s="1"/>
  <c r="D80" i="58"/>
  <c r="H36" i="14"/>
  <c r="N36" i="14" s="1"/>
  <c r="N31" i="14"/>
  <c r="D36" i="17"/>
  <c r="L31" i="17"/>
  <c r="P44" i="109"/>
  <c r="X44" i="109" s="1"/>
  <c r="Z44" i="109" s="1"/>
  <c r="X41" i="109"/>
  <c r="Z41" i="109" s="1"/>
  <c r="X31" i="112"/>
  <c r="P36" i="112"/>
  <c r="Z31" i="29"/>
  <c r="T36" i="29"/>
  <c r="Z36" i="29" s="1"/>
  <c r="L31" i="111"/>
  <c r="D36" i="111"/>
  <c r="T295" i="18"/>
  <c r="V292" i="18"/>
  <c r="P80" i="58"/>
  <c r="X80" i="58" s="1"/>
  <c r="Z80" i="58" s="1"/>
  <c r="X77" i="58"/>
  <c r="Z77" i="58" s="1"/>
  <c r="D36" i="50"/>
  <c r="L31" i="50"/>
  <c r="Z105" i="64"/>
  <c r="X31" i="5"/>
  <c r="P36" i="5"/>
  <c r="H84" i="76"/>
  <c r="J81" i="76"/>
  <c r="D126" i="27"/>
  <c r="L123" i="27"/>
  <c r="N123" i="27" s="1"/>
  <c r="F123" i="27"/>
  <c r="T92" i="108"/>
  <c r="V89" i="108"/>
  <c r="L292" i="18"/>
  <c r="D295" i="18"/>
  <c r="F292" i="18"/>
  <c r="H91" i="104"/>
  <c r="J88" i="104"/>
  <c r="N94" i="33"/>
  <c r="H98" i="33"/>
  <c r="J94" i="33"/>
  <c r="N63" i="101"/>
  <c r="H67" i="101"/>
  <c r="L67" i="101" s="1"/>
  <c r="D36" i="53"/>
  <c r="L31" i="53"/>
  <c r="L78" i="81"/>
  <c r="N78" i="81" s="1"/>
  <c r="D82" i="81"/>
  <c r="F78" i="81"/>
  <c r="H58" i="61"/>
  <c r="N55" i="61"/>
  <c r="H112" i="51"/>
  <c r="N108" i="51"/>
  <c r="J108" i="51"/>
  <c r="D124" i="85"/>
  <c r="L120" i="85"/>
  <c r="N120" i="85" s="1"/>
  <c r="F120" i="85"/>
  <c r="P40" i="55"/>
  <c r="X40" i="55" s="1"/>
  <c r="Z40" i="55" s="1"/>
  <c r="X37" i="55"/>
  <c r="Z37" i="55" s="1"/>
  <c r="D70" i="101"/>
  <c r="H127" i="69"/>
  <c r="J124" i="69"/>
  <c r="T36" i="35"/>
  <c r="Z36" i="35" s="1"/>
  <c r="Z31" i="35"/>
  <c r="H36" i="43"/>
  <c r="N36" i="43" s="1"/>
  <c r="N31" i="43"/>
  <c r="P124" i="85"/>
  <c r="X120" i="85"/>
  <c r="Z120" i="85" s="1"/>
  <c r="R120" i="85"/>
  <c r="Z31" i="17"/>
  <c r="T36" i="17"/>
  <c r="Z36" i="17" s="1"/>
  <c r="P89" i="108"/>
  <c r="X85" i="108"/>
  <c r="Z85" i="108" s="1"/>
  <c r="R85" i="108"/>
  <c r="X84" i="102"/>
  <c r="Z84" i="102" s="1"/>
  <c r="P88" i="102"/>
  <c r="R84" i="102"/>
  <c r="N31" i="44"/>
  <c r="H36" i="44"/>
  <c r="N36" i="44" s="1"/>
  <c r="L118" i="71"/>
  <c r="N118" i="71" s="1"/>
  <c r="D122" i="71"/>
  <c r="F118" i="71"/>
  <c r="T81" i="95"/>
  <c r="Z77" i="95"/>
  <c r="V77" i="95"/>
  <c r="X108" i="51"/>
  <c r="Z108" i="51" s="1"/>
  <c r="P112" i="51"/>
  <c r="R108" i="51"/>
  <c r="N72" i="80"/>
  <c r="H76" i="80"/>
  <c r="J72" i="80"/>
  <c r="L31" i="7"/>
  <c r="D36" i="7"/>
  <c r="H36" i="8"/>
  <c r="N36" i="8" s="1"/>
  <c r="N31" i="8"/>
  <c r="L31" i="35"/>
  <c r="D36" i="35"/>
  <c r="N31" i="25"/>
  <c r="H36" i="25"/>
  <c r="N36" i="25" s="1"/>
  <c r="Z31" i="25"/>
  <c r="T36" i="25"/>
  <c r="Z36" i="25" s="1"/>
  <c r="D36" i="22"/>
  <c r="L31" i="22"/>
  <c r="X273" i="12"/>
  <c r="Z273" i="12" s="1"/>
  <c r="P276" i="12"/>
  <c r="R273" i="12"/>
  <c r="P36" i="32"/>
  <c r="X31" i="32"/>
  <c r="L31" i="43"/>
  <c r="D36" i="43"/>
  <c r="Z31" i="52"/>
  <c r="T36" i="52"/>
  <c r="Z36" i="52" s="1"/>
  <c r="N87" i="88"/>
  <c r="H90" i="88"/>
  <c r="J87" i="88"/>
  <c r="P57" i="103"/>
  <c r="X57" i="103" s="1"/>
  <c r="X54" i="103"/>
  <c r="Z54" i="103" s="1"/>
  <c r="H79" i="48"/>
  <c r="N76" i="48"/>
  <c r="J76" i="48"/>
  <c r="L31" i="26"/>
  <c r="D36" i="26"/>
  <c r="T79" i="80"/>
  <c r="Z76" i="80"/>
  <c r="V76" i="80"/>
  <c r="Z99" i="9"/>
  <c r="X110" i="21"/>
  <c r="P113" i="21"/>
  <c r="R110" i="21"/>
  <c r="H36" i="41"/>
  <c r="N36" i="41" s="1"/>
  <c r="N31" i="41"/>
  <c r="P122" i="71"/>
  <c r="X118" i="71"/>
  <c r="Z118" i="71" s="1"/>
  <c r="R118" i="71"/>
  <c r="L36" i="111" l="1"/>
  <c r="L36" i="47"/>
  <c r="L36" i="26"/>
  <c r="L36" i="50"/>
  <c r="L36" i="29"/>
  <c r="X36" i="28"/>
  <c r="X36" i="50"/>
  <c r="X36" i="5"/>
  <c r="X36" i="111"/>
  <c r="X36" i="32"/>
  <c r="L36" i="13"/>
  <c r="X36" i="38"/>
  <c r="L36" i="7"/>
  <c r="X36" i="14"/>
  <c r="L36" i="5"/>
  <c r="X36" i="40"/>
  <c r="X36" i="29"/>
  <c r="L36" i="52"/>
  <c r="L36" i="49"/>
  <c r="X36" i="31"/>
  <c r="L36" i="113"/>
  <c r="X36" i="34"/>
  <c r="X36" i="16"/>
  <c r="X36" i="112"/>
  <c r="L36" i="11"/>
  <c r="L36" i="17"/>
  <c r="X36" i="20"/>
  <c r="X36" i="11"/>
  <c r="X36" i="113"/>
  <c r="X36" i="46"/>
  <c r="X36" i="44"/>
  <c r="X36" i="47"/>
  <c r="L36" i="16"/>
  <c r="X36" i="8"/>
  <c r="X36" i="49"/>
  <c r="L36" i="20"/>
  <c r="L36" i="4"/>
  <c r="L36" i="28"/>
  <c r="X36" i="37"/>
  <c r="L36" i="32"/>
  <c r="L36" i="19"/>
  <c r="X36" i="22"/>
  <c r="L36" i="10"/>
  <c r="Z31" i="107"/>
  <c r="X292" i="18"/>
  <c r="Z292" i="18" s="1"/>
  <c r="P295" i="18"/>
  <c r="R292" i="18"/>
  <c r="X315" i="3"/>
  <c r="P320" i="3"/>
  <c r="R315" i="3"/>
  <c r="V133" i="36"/>
  <c r="N90" i="84"/>
  <c r="H93" i="84"/>
  <c r="J90" i="84"/>
  <c r="L90" i="84"/>
  <c r="L133" i="36"/>
  <c r="F133" i="36"/>
  <c r="X123" i="27"/>
  <c r="Z123" i="27" s="1"/>
  <c r="P126" i="27"/>
  <c r="R123" i="27"/>
  <c r="V89" i="73"/>
  <c r="P99" i="45"/>
  <c r="X96" i="45"/>
  <c r="R96" i="45"/>
  <c r="L79" i="110"/>
  <c r="N79" i="110" s="1"/>
  <c r="F79" i="110"/>
  <c r="T127" i="85"/>
  <c r="V124" i="85"/>
  <c r="X276" i="12"/>
  <c r="Z276" i="12" s="1"/>
  <c r="R276" i="12"/>
  <c r="L122" i="71"/>
  <c r="D125" i="71"/>
  <c r="F122" i="71"/>
  <c r="L126" i="27"/>
  <c r="N126" i="27" s="1"/>
  <c r="F126" i="27"/>
  <c r="X36" i="10"/>
  <c r="L84" i="95"/>
  <c r="F84" i="95"/>
  <c r="L58" i="105"/>
  <c r="N58" i="105" s="1"/>
  <c r="D61" i="105"/>
  <c r="L61" i="105" s="1"/>
  <c r="J295" i="18"/>
  <c r="X36" i="7"/>
  <c r="X114" i="75"/>
  <c r="Z114" i="75" s="1"/>
  <c r="P117" i="75"/>
  <c r="R114" i="75"/>
  <c r="L72" i="94"/>
  <c r="N72" i="94" s="1"/>
  <c r="D75" i="94"/>
  <c r="F72" i="94"/>
  <c r="X36" i="41"/>
  <c r="R84" i="95"/>
  <c r="T143" i="24"/>
  <c r="V140" i="24"/>
  <c r="X36" i="23"/>
  <c r="Z100" i="92"/>
  <c r="X56" i="60"/>
  <c r="Z56" i="60" s="1"/>
  <c r="L36" i="40"/>
  <c r="X36" i="19"/>
  <c r="L80" i="89"/>
  <c r="N80" i="89" s="1"/>
  <c r="F80" i="89"/>
  <c r="X124" i="69"/>
  <c r="Z124" i="69" s="1"/>
  <c r="P127" i="69"/>
  <c r="R124" i="69"/>
  <c r="L31" i="87"/>
  <c r="V156" i="30"/>
  <c r="T93" i="98"/>
  <c r="V90" i="98"/>
  <c r="L114" i="75"/>
  <c r="D117" i="75"/>
  <c r="F114" i="75"/>
  <c r="D92" i="106"/>
  <c r="L89" i="106"/>
  <c r="N89" i="106" s="1"/>
  <c r="F89" i="106"/>
  <c r="X31" i="107"/>
  <c r="J84" i="76"/>
  <c r="L57" i="99"/>
  <c r="F57" i="99"/>
  <c r="N61" i="105"/>
  <c r="J61" i="105"/>
  <c r="L36" i="31"/>
  <c r="N68" i="68"/>
  <c r="P143" i="24"/>
  <c r="X140" i="24"/>
  <c r="Z140" i="24" s="1"/>
  <c r="R140" i="24"/>
  <c r="T36" i="83"/>
  <c r="V33" i="83"/>
  <c r="X77" i="70"/>
  <c r="Z77" i="70" s="1"/>
  <c r="P80" i="70"/>
  <c r="R77" i="70"/>
  <c r="F276" i="12"/>
  <c r="X36" i="53"/>
  <c r="H85" i="81"/>
  <c r="J82" i="81"/>
  <c r="T101" i="33"/>
  <c r="V98" i="33"/>
  <c r="Z90" i="88"/>
  <c r="V90" i="88"/>
  <c r="N91" i="104"/>
  <c r="J91" i="104"/>
  <c r="X89" i="106"/>
  <c r="Z89" i="106" s="1"/>
  <c r="P92" i="106"/>
  <c r="R89" i="106"/>
  <c r="H97" i="74"/>
  <c r="J94" i="74"/>
  <c r="H91" i="102"/>
  <c r="N88" i="102"/>
  <c r="J88" i="102"/>
  <c r="N76" i="80"/>
  <c r="H79" i="80"/>
  <c r="J76" i="80"/>
  <c r="L295" i="18"/>
  <c r="N295" i="18" s="1"/>
  <c r="F295" i="18"/>
  <c r="X57" i="99"/>
  <c r="R57" i="99"/>
  <c r="R72" i="79"/>
  <c r="J37" i="86"/>
  <c r="L76" i="80"/>
  <c r="D79" i="80"/>
  <c r="F76" i="80"/>
  <c r="T117" i="75"/>
  <c r="V114" i="75"/>
  <c r="L33" i="83"/>
  <c r="N33" i="83" s="1"/>
  <c r="D36" i="83"/>
  <c r="F33" i="83"/>
  <c r="L112" i="51"/>
  <c r="D115" i="51"/>
  <c r="F112" i="51"/>
  <c r="L69" i="79"/>
  <c r="N69" i="79" s="1"/>
  <c r="D72" i="79"/>
  <c r="F69" i="79"/>
  <c r="J126" i="27"/>
  <c r="L36" i="8"/>
  <c r="N130" i="42"/>
  <c r="J130" i="42"/>
  <c r="V276" i="12"/>
  <c r="J72" i="79"/>
  <c r="T267" i="15"/>
  <c r="V264" i="15"/>
  <c r="X36" i="13"/>
  <c r="X36" i="25"/>
  <c r="L36" i="37"/>
  <c r="X36" i="4"/>
  <c r="H127" i="85"/>
  <c r="N124" i="85"/>
  <c r="J124" i="85"/>
  <c r="X112" i="77"/>
  <c r="Z112" i="77" s="1"/>
  <c r="P115" i="77"/>
  <c r="R112" i="77"/>
  <c r="L36" i="22"/>
  <c r="X156" i="30"/>
  <c r="Z156" i="30" s="1"/>
  <c r="R156" i="30"/>
  <c r="H92" i="108"/>
  <c r="J89" i="108"/>
  <c r="D267" i="15"/>
  <c r="L264" i="15"/>
  <c r="N264" i="15" s="1"/>
  <c r="F264" i="15"/>
  <c r="D80" i="70"/>
  <c r="L77" i="70"/>
  <c r="N77" i="70" s="1"/>
  <c r="F77" i="70"/>
  <c r="X67" i="101"/>
  <c r="Z67" i="101" s="1"/>
  <c r="P70" i="101"/>
  <c r="R67" i="101"/>
  <c r="X88" i="104"/>
  <c r="P91" i="104"/>
  <c r="R88" i="104"/>
  <c r="N31" i="87"/>
  <c r="L57" i="103"/>
  <c r="N57" i="103" s="1"/>
  <c r="X36" i="17"/>
  <c r="X264" i="15"/>
  <c r="Z264" i="15" s="1"/>
  <c r="P267" i="15"/>
  <c r="R264" i="15"/>
  <c r="H97" i="96"/>
  <c r="N94" i="96"/>
  <c r="J94" i="96"/>
  <c r="H143" i="24"/>
  <c r="J140" i="24"/>
  <c r="L139" i="39"/>
  <c r="F139" i="39"/>
  <c r="L36" i="38"/>
  <c r="V139" i="39"/>
  <c r="J267" i="15"/>
  <c r="H93" i="98"/>
  <c r="N90" i="98"/>
  <c r="J90" i="98"/>
  <c r="L90" i="98"/>
  <c r="X36" i="83"/>
  <c r="R36" i="83"/>
  <c r="L90" i="88"/>
  <c r="N90" i="88" s="1"/>
  <c r="F90" i="88"/>
  <c r="Z68" i="68"/>
  <c r="V126" i="27"/>
  <c r="L37" i="86"/>
  <c r="N37" i="86" s="1"/>
  <c r="F37" i="86"/>
  <c r="J92" i="106"/>
  <c r="J90" i="88"/>
  <c r="X124" i="85"/>
  <c r="Z124" i="85" s="1"/>
  <c r="P127" i="85"/>
  <c r="R124" i="85"/>
  <c r="X88" i="102"/>
  <c r="Z88" i="102" s="1"/>
  <c r="P91" i="102"/>
  <c r="R88" i="102"/>
  <c r="L36" i="53"/>
  <c r="T80" i="89"/>
  <c r="Z77" i="89"/>
  <c r="V77" i="89"/>
  <c r="X77" i="89"/>
  <c r="H84" i="93"/>
  <c r="N81" i="93"/>
  <c r="J81" i="93"/>
  <c r="Z84" i="93"/>
  <c r="V84" i="93"/>
  <c r="V80" i="70"/>
  <c r="L36" i="41"/>
  <c r="X58" i="61"/>
  <c r="Z58" i="61" s="1"/>
  <c r="X36" i="35"/>
  <c r="L91" i="104"/>
  <c r="F91" i="104"/>
  <c r="L98" i="33"/>
  <c r="N98" i="33" s="1"/>
  <c r="D101" i="33"/>
  <c r="F98" i="33"/>
  <c r="T85" i="81"/>
  <c r="V82" i="81"/>
  <c r="X130" i="42"/>
  <c r="Z130" i="42" s="1"/>
  <c r="R130" i="42"/>
  <c r="N78" i="57"/>
  <c r="X79" i="48"/>
  <c r="Z79" i="48" s="1"/>
  <c r="R79" i="48"/>
  <c r="L36" i="112"/>
  <c r="N80" i="56"/>
  <c r="X33" i="83"/>
  <c r="Z33" i="83" s="1"/>
  <c r="H89" i="73"/>
  <c r="J86" i="73"/>
  <c r="Z110" i="21"/>
  <c r="T113" i="21"/>
  <c r="V110" i="21"/>
  <c r="H117" i="75"/>
  <c r="N114" i="75"/>
  <c r="J114" i="75"/>
  <c r="X84" i="76"/>
  <c r="Z84" i="76" s="1"/>
  <c r="R84" i="76"/>
  <c r="H139" i="39"/>
  <c r="N136" i="39"/>
  <c r="J136" i="39"/>
  <c r="Z79" i="80"/>
  <c r="V79" i="80"/>
  <c r="V295" i="18"/>
  <c r="X90" i="88"/>
  <c r="R90" i="88"/>
  <c r="Z88" i="104"/>
  <c r="T91" i="104"/>
  <c r="V88" i="104"/>
  <c r="J156" i="30"/>
  <c r="L130" i="42"/>
  <c r="F130" i="42"/>
  <c r="L86" i="73"/>
  <c r="N86" i="73" s="1"/>
  <c r="D89" i="73"/>
  <c r="F86" i="73"/>
  <c r="V70" i="101"/>
  <c r="X136" i="39"/>
  <c r="Z136" i="39" s="1"/>
  <c r="P139" i="39"/>
  <c r="R136" i="39"/>
  <c r="V84" i="76"/>
  <c r="N122" i="71"/>
  <c r="H125" i="71"/>
  <c r="J122" i="71"/>
  <c r="Z57" i="103"/>
  <c r="H133" i="36"/>
  <c r="J130" i="36"/>
  <c r="X112" i="51"/>
  <c r="P115" i="51"/>
  <c r="R112" i="51"/>
  <c r="D127" i="85"/>
  <c r="L124" i="85"/>
  <c r="F124" i="85"/>
  <c r="N67" i="101"/>
  <c r="H70" i="101"/>
  <c r="V130" i="42"/>
  <c r="L36" i="43"/>
  <c r="L36" i="14"/>
  <c r="N315" i="3"/>
  <c r="H320" i="3"/>
  <c r="J315" i="3"/>
  <c r="P85" i="81"/>
  <c r="X82" i="81"/>
  <c r="Z82" i="81" s="1"/>
  <c r="R82" i="81"/>
  <c r="N50" i="100"/>
  <c r="L112" i="77"/>
  <c r="D115" i="77"/>
  <c r="F112" i="77"/>
  <c r="X78" i="57"/>
  <c r="Z78" i="57" s="1"/>
  <c r="X84" i="93"/>
  <c r="R84" i="93"/>
  <c r="V93" i="84"/>
  <c r="X36" i="52"/>
  <c r="V115" i="77"/>
  <c r="D91" i="102"/>
  <c r="L88" i="102"/>
  <c r="F88" i="102"/>
  <c r="Z37" i="86"/>
  <c r="V37" i="86"/>
  <c r="V97" i="74"/>
  <c r="H276" i="12"/>
  <c r="N273" i="12"/>
  <c r="J273" i="12"/>
  <c r="L79" i="48"/>
  <c r="N79" i="48" s="1"/>
  <c r="F79" i="48"/>
  <c r="Z122" i="71"/>
  <c r="T125" i="71"/>
  <c r="V122" i="71"/>
  <c r="L36" i="46"/>
  <c r="L140" i="24"/>
  <c r="N140" i="24" s="1"/>
  <c r="D143" i="24"/>
  <c r="F140" i="24"/>
  <c r="J79" i="48"/>
  <c r="L70" i="101"/>
  <c r="X50" i="100"/>
  <c r="Z50" i="100" s="1"/>
  <c r="T92" i="106"/>
  <c r="V89" i="106"/>
  <c r="J75" i="94"/>
  <c r="X89" i="73"/>
  <c r="Z89" i="73" s="1"/>
  <c r="R89" i="73"/>
  <c r="X79" i="80"/>
  <c r="R79" i="80"/>
  <c r="N40" i="55"/>
  <c r="X37" i="86"/>
  <c r="R37" i="86"/>
  <c r="L89" i="108"/>
  <c r="N89" i="108" s="1"/>
  <c r="D92" i="108"/>
  <c r="F89" i="108"/>
  <c r="N112" i="77"/>
  <c r="H115" i="77"/>
  <c r="J112" i="77"/>
  <c r="X93" i="84"/>
  <c r="Z93" i="84" s="1"/>
  <c r="R93" i="84"/>
  <c r="P133" i="36"/>
  <c r="X130" i="36"/>
  <c r="Z130" i="36" s="1"/>
  <c r="R130" i="36"/>
  <c r="D320" i="3"/>
  <c r="L315" i="3"/>
  <c r="F315" i="3"/>
  <c r="T115" i="51"/>
  <c r="Z112" i="51"/>
  <c r="V112" i="51"/>
  <c r="X113" i="21"/>
  <c r="R113" i="21"/>
  <c r="L82" i="81"/>
  <c r="N82" i="81" s="1"/>
  <c r="D85" i="81"/>
  <c r="F82" i="81"/>
  <c r="N99" i="9"/>
  <c r="L36" i="35"/>
  <c r="P125" i="71"/>
  <c r="X122" i="71"/>
  <c r="R122" i="71"/>
  <c r="P92" i="108"/>
  <c r="X89" i="108"/>
  <c r="Z89" i="108" s="1"/>
  <c r="R89" i="108"/>
  <c r="H115" i="51"/>
  <c r="N112" i="51"/>
  <c r="J112" i="51"/>
  <c r="H101" i="33"/>
  <c r="J98" i="33"/>
  <c r="V92" i="108"/>
  <c r="L80" i="58"/>
  <c r="N80" i="58" s="1"/>
  <c r="V91" i="102"/>
  <c r="Z61" i="105"/>
  <c r="V61" i="105"/>
  <c r="L94" i="74"/>
  <c r="N94" i="74" s="1"/>
  <c r="D97" i="74"/>
  <c r="F94" i="74"/>
  <c r="L36" i="44"/>
  <c r="N84" i="95"/>
  <c r="J84" i="95"/>
  <c r="X79" i="110"/>
  <c r="Z79" i="110" s="1"/>
  <c r="R79" i="110"/>
  <c r="D84" i="93"/>
  <c r="L81" i="93"/>
  <c r="F81" i="93"/>
  <c r="J113" i="21"/>
  <c r="L113" i="21"/>
  <c r="N113" i="21" s="1"/>
  <c r="J36" i="83"/>
  <c r="L36" i="34"/>
  <c r="L94" i="96"/>
  <c r="X36" i="26"/>
  <c r="L31" i="107"/>
  <c r="L124" i="69"/>
  <c r="N124" i="69" s="1"/>
  <c r="D127" i="69"/>
  <c r="F124" i="69"/>
  <c r="P101" i="33"/>
  <c r="X98" i="33"/>
  <c r="Z98" i="33" s="1"/>
  <c r="R98" i="33"/>
  <c r="V127" i="69"/>
  <c r="X94" i="74"/>
  <c r="Z94" i="74" s="1"/>
  <c r="P97" i="74"/>
  <c r="R94" i="74"/>
  <c r="T84" i="95"/>
  <c r="X84" i="95" s="1"/>
  <c r="Z81" i="95"/>
  <c r="V81" i="95"/>
  <c r="J127" i="69"/>
  <c r="Z69" i="79"/>
  <c r="T72" i="79"/>
  <c r="X72" i="79" s="1"/>
  <c r="V69" i="79"/>
  <c r="X90" i="98"/>
  <c r="Z90" i="98" s="1"/>
  <c r="P93" i="98"/>
  <c r="R90" i="98"/>
  <c r="N96" i="45"/>
  <c r="H99" i="45"/>
  <c r="J96" i="45"/>
  <c r="L96" i="45"/>
  <c r="D156" i="30"/>
  <c r="L153" i="30"/>
  <c r="N153" i="30" s="1"/>
  <c r="F153" i="30"/>
  <c r="T99" i="45"/>
  <c r="Z96" i="45"/>
  <c r="V96" i="45"/>
  <c r="Z75" i="94"/>
  <c r="V75" i="94"/>
  <c r="L81" i="76"/>
  <c r="N81" i="76" s="1"/>
  <c r="D84" i="76"/>
  <c r="F81" i="76"/>
  <c r="Z315" i="3"/>
  <c r="T320" i="3"/>
  <c r="V315" i="3"/>
  <c r="L130" i="36"/>
  <c r="N130" i="36" s="1"/>
  <c r="X61" i="105"/>
  <c r="R61" i="105"/>
  <c r="J80" i="89"/>
  <c r="X72" i="59"/>
  <c r="Z72" i="59" s="1"/>
  <c r="L97" i="96"/>
  <c r="F97" i="96"/>
  <c r="L58" i="61"/>
  <c r="N58" i="61" s="1"/>
  <c r="L36" i="25"/>
  <c r="L36" i="23"/>
  <c r="Z94" i="96"/>
  <c r="T97" i="96"/>
  <c r="V94" i="96"/>
  <c r="X94" i="96"/>
  <c r="L84" i="76" l="1"/>
  <c r="N84" i="76" s="1"/>
  <c r="F84" i="76"/>
  <c r="J93" i="84"/>
  <c r="L93" i="84"/>
  <c r="N93" i="84" s="1"/>
  <c r="J84" i="93"/>
  <c r="L115" i="51"/>
  <c r="F115" i="51"/>
  <c r="N91" i="102"/>
  <c r="J91" i="102"/>
  <c r="Z36" i="83"/>
  <c r="V36" i="83"/>
  <c r="X93" i="98"/>
  <c r="R93" i="98"/>
  <c r="L92" i="108"/>
  <c r="F92" i="108"/>
  <c r="V92" i="106"/>
  <c r="V125" i="71"/>
  <c r="L115" i="77"/>
  <c r="N115" i="77" s="1"/>
  <c r="F115" i="77"/>
  <c r="N143" i="24"/>
  <c r="J143" i="24"/>
  <c r="L267" i="15"/>
  <c r="N267" i="15" s="1"/>
  <c r="F267" i="15"/>
  <c r="J127" i="85"/>
  <c r="V101" i="33"/>
  <c r="X99" i="45"/>
  <c r="Z99" i="45" s="1"/>
  <c r="R99" i="45"/>
  <c r="X97" i="74"/>
  <c r="Z97" i="74" s="1"/>
  <c r="R97" i="74"/>
  <c r="V115" i="51"/>
  <c r="X125" i="71"/>
  <c r="Z125" i="71" s="1"/>
  <c r="R125" i="71"/>
  <c r="L91" i="102"/>
  <c r="F91" i="102"/>
  <c r="N133" i="36"/>
  <c r="J133" i="36"/>
  <c r="J117" i="75"/>
  <c r="X91" i="104"/>
  <c r="Z91" i="104" s="1"/>
  <c r="R91" i="104"/>
  <c r="Z143" i="24"/>
  <c r="V143" i="24"/>
  <c r="L125" i="71"/>
  <c r="F125" i="71"/>
  <c r="X92" i="108"/>
  <c r="Z92" i="108" s="1"/>
  <c r="R92" i="108"/>
  <c r="V91" i="104"/>
  <c r="L320" i="3"/>
  <c r="N320" i="3" s="1"/>
  <c r="F320" i="3"/>
  <c r="N92" i="108"/>
  <c r="J92" i="108"/>
  <c r="L36" i="83"/>
  <c r="N36" i="83" s="1"/>
  <c r="F36" i="83"/>
  <c r="J97" i="74"/>
  <c r="J85" i="81"/>
  <c r="X127" i="69"/>
  <c r="Z127" i="69" s="1"/>
  <c r="R127" i="69"/>
  <c r="X117" i="75"/>
  <c r="R117" i="75"/>
  <c r="Z97" i="96"/>
  <c r="V97" i="96"/>
  <c r="X97" i="96"/>
  <c r="V99" i="45"/>
  <c r="Z72" i="79"/>
  <c r="V72" i="79"/>
  <c r="J101" i="33"/>
  <c r="N70" i="101"/>
  <c r="L89" i="73"/>
  <c r="F89" i="73"/>
  <c r="Z80" i="89"/>
  <c r="V80" i="89"/>
  <c r="X80" i="89"/>
  <c r="N93" i="98"/>
  <c r="J93" i="98"/>
  <c r="L93" i="98"/>
  <c r="X143" i="24"/>
  <c r="R143" i="24"/>
  <c r="L92" i="106"/>
  <c r="N92" i="106" s="1"/>
  <c r="F92" i="106"/>
  <c r="X320" i="3"/>
  <c r="Z320" i="3" s="1"/>
  <c r="R320" i="3"/>
  <c r="N125" i="71"/>
  <c r="J125" i="71"/>
  <c r="Z113" i="21"/>
  <c r="V113" i="21"/>
  <c r="X70" i="101"/>
  <c r="Z70" i="101" s="1"/>
  <c r="R70" i="101"/>
  <c r="X92" i="106"/>
  <c r="Z92" i="106" s="1"/>
  <c r="R92" i="106"/>
  <c r="X126" i="27"/>
  <c r="Z126" i="27" s="1"/>
  <c r="R126" i="27"/>
  <c r="X101" i="33"/>
  <c r="Z101" i="33" s="1"/>
  <c r="R101" i="33"/>
  <c r="L97" i="74"/>
  <c r="N97" i="74" s="1"/>
  <c r="F97" i="74"/>
  <c r="L85" i="81"/>
  <c r="N85" i="81" s="1"/>
  <c r="F85" i="81"/>
  <c r="X85" i="81"/>
  <c r="R85" i="81"/>
  <c r="Z84" i="95"/>
  <c r="V84" i="95"/>
  <c r="J115" i="77"/>
  <c r="X133" i="36"/>
  <c r="Z133" i="36" s="1"/>
  <c r="R133" i="36"/>
  <c r="N97" i="96"/>
  <c r="J97" i="96"/>
  <c r="Z117" i="75"/>
  <c r="V117" i="75"/>
  <c r="L117" i="75"/>
  <c r="N117" i="75" s="1"/>
  <c r="F117" i="75"/>
  <c r="V320" i="3"/>
  <c r="L156" i="30"/>
  <c r="N156" i="30" s="1"/>
  <c r="F156" i="30"/>
  <c r="N276" i="12"/>
  <c r="J276" i="12"/>
  <c r="Z85" i="81"/>
  <c r="V85" i="81"/>
  <c r="X91" i="102"/>
  <c r="Z91" i="102" s="1"/>
  <c r="R91" i="102"/>
  <c r="V267" i="15"/>
  <c r="L276" i="12"/>
  <c r="V127" i="85"/>
  <c r="J99" i="45"/>
  <c r="L99" i="45"/>
  <c r="N99" i="45" s="1"/>
  <c r="L84" i="93"/>
  <c r="N84" i="93" s="1"/>
  <c r="F84" i="93"/>
  <c r="X139" i="39"/>
  <c r="Z139" i="39" s="1"/>
  <c r="R139" i="39"/>
  <c r="N115" i="51"/>
  <c r="J115" i="51"/>
  <c r="J320" i="3"/>
  <c r="L127" i="85"/>
  <c r="N127" i="85" s="1"/>
  <c r="F127" i="85"/>
  <c r="N89" i="73"/>
  <c r="J89" i="73"/>
  <c r="X267" i="15"/>
  <c r="Z267" i="15" s="1"/>
  <c r="R267" i="15"/>
  <c r="N79" i="80"/>
  <c r="J79" i="80"/>
  <c r="L75" i="94"/>
  <c r="N75" i="94" s="1"/>
  <c r="F75" i="94"/>
  <c r="X295" i="18"/>
  <c r="Z295" i="18" s="1"/>
  <c r="R295" i="18"/>
  <c r="L127" i="69"/>
  <c r="N127" i="69" s="1"/>
  <c r="F127" i="69"/>
  <c r="L143" i="24"/>
  <c r="F143" i="24"/>
  <c r="N139" i="39"/>
  <c r="J139" i="39"/>
  <c r="X115" i="77"/>
  <c r="Z115" i="77" s="1"/>
  <c r="R115" i="77"/>
  <c r="L72" i="79"/>
  <c r="N72" i="79" s="1"/>
  <c r="F72" i="79"/>
  <c r="L79" i="80"/>
  <c r="F79" i="80"/>
  <c r="X80" i="70"/>
  <c r="Z80" i="70" s="1"/>
  <c r="R80" i="70"/>
  <c r="Z93" i="98"/>
  <c r="V93" i="98"/>
  <c r="X115" i="51"/>
  <c r="Z115" i="51" s="1"/>
  <c r="R115" i="51"/>
  <c r="L101" i="33"/>
  <c r="N101" i="33" s="1"/>
  <c r="F101" i="33"/>
  <c r="X127" i="85"/>
  <c r="Z127" i="85" s="1"/>
  <c r="R127" i="85"/>
  <c r="L80" i="70"/>
  <c r="N80" i="70" s="1"/>
  <c r="F80" i="70"/>
</calcChain>
</file>

<file path=xl/sharedStrings.xml><?xml version="1.0" encoding="utf-8"?>
<sst xmlns="http://schemas.openxmlformats.org/spreadsheetml/2006/main" count="2974" uniqueCount="314">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</sst>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"/>
    </xf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3" fillId="0" borderId="0" xfId="0" applyFont="1" applyFill="1"/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Border="1"/>
    <xf numFmtId="164" fontId="2" fillId="0" borderId="0" xfId="1" applyNumberFormat="1" applyFont="1" applyFill="1" applyAlignment="1">
      <alignment horizontal="centerContinuous"/>
    </xf>
    <xf numFmtId="166" fontId="4" fillId="0" borderId="0" xfId="0" applyNumberFormat="1" applyFont="1" applyAlignment="1">
      <alignment horizontal="left"/>
    </xf>
    <xf numFmtId="0" fontId="2" fillId="0" borderId="0" xfId="0" applyFont="1" applyFill="1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5"/>
  <sheetViews>
    <sheetView tabSelected="1" zoomScale="80" workbookViewId="0">
      <pane xSplit="3" ySplit="10" topLeftCell="D198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3653867.1400000011</v>
      </c>
      <c r="E12" s="4"/>
      <c r="F12" s="12"/>
      <c r="G12" s="4"/>
      <c r="H12" s="4">
        <f>SUM(OSRRefH13x_0)</f>
        <v>4093574.2600000007</v>
      </c>
      <c r="I12" s="4"/>
      <c r="J12" s="12"/>
      <c r="K12" s="4"/>
      <c r="L12" s="4">
        <f t="shared" ref="L12:L135" si="0">+D12-H12</f>
        <v>-439707.11999999965</v>
      </c>
      <c r="M12" s="4"/>
      <c r="N12" s="12">
        <f t="shared" ref="N12:N135" si="1">IF(H12=0,0,L12/H12)</f>
        <v>-0.10741398398376668</v>
      </c>
      <c r="O12" s="10"/>
      <c r="P12" s="4">
        <f>SUM(OSRRefP13x_0)</f>
        <v>21731698.209999997</v>
      </c>
      <c r="Q12" s="4"/>
      <c r="R12" s="12"/>
      <c r="S12" s="4"/>
      <c r="T12" s="4">
        <f>SUM(OSRRefT13x_0)</f>
        <v>22428834.640000004</v>
      </c>
      <c r="U12" s="4"/>
      <c r="V12" s="12"/>
      <c r="W12" s="4"/>
      <c r="X12" s="4">
        <f t="shared" ref="X12:X135" si="2">+P12-T12</f>
        <v>-697136.43000000715</v>
      </c>
      <c r="Y12" s="4"/>
      <c r="Z12" s="12">
        <f t="shared" ref="Z12:Z135" si="3">IF(T12=0,0,X12/T12)</f>
        <v>-3.1082151221388962E-2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>
        <f>--1043516.6</f>
        <v>1043516.6</v>
      </c>
      <c r="I14" s="2"/>
      <c r="J14" s="19"/>
      <c r="K14" s="2"/>
      <c r="L14" s="2">
        <f t="shared" si="0"/>
        <v>-297574.21999999997</v>
      </c>
      <c r="M14" s="2"/>
      <c r="N14" s="19">
        <f t="shared" si="1"/>
        <v>-0.28516481673602506</v>
      </c>
      <c r="O14" s="11"/>
      <c r="P14" s="2">
        <f>--2285976.76</f>
        <v>2285976.7599999998</v>
      </c>
      <c r="Q14" s="2"/>
      <c r="R14" s="19"/>
      <c r="S14" s="2"/>
      <c r="T14" s="2">
        <f>--2913143.85</f>
        <v>2913143.85</v>
      </c>
      <c r="U14" s="2"/>
      <c r="V14" s="19"/>
      <c r="W14" s="2"/>
      <c r="X14" s="2">
        <f t="shared" si="2"/>
        <v>-627167.09000000032</v>
      </c>
      <c r="Y14" s="2"/>
      <c r="Z14" s="19">
        <f t="shared" si="3"/>
        <v>-0.21528874724123229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>
        <f>--553527.23</f>
        <v>553527.23</v>
      </c>
      <c r="I15" s="2"/>
      <c r="J15" s="19"/>
      <c r="K15" s="2"/>
      <c r="L15" s="2">
        <f t="shared" si="0"/>
        <v>-41207.789999999979</v>
      </c>
      <c r="M15" s="2"/>
      <c r="N15" s="19">
        <f t="shared" si="1"/>
        <v>-7.4445822656276514E-2</v>
      </c>
      <c r="O15" s="11"/>
      <c r="P15" s="2">
        <f>--1193414.41</f>
        <v>1193414.4099999999</v>
      </c>
      <c r="Q15" s="2"/>
      <c r="R15" s="19"/>
      <c r="S15" s="2"/>
      <c r="T15" s="2">
        <f>--1309468.68</f>
        <v>1309468.68</v>
      </c>
      <c r="U15" s="2"/>
      <c r="V15" s="19"/>
      <c r="W15" s="2"/>
      <c r="X15" s="2">
        <f t="shared" si="2"/>
        <v>-116054.27000000002</v>
      </c>
      <c r="Y15" s="2"/>
      <c r="Z15" s="19">
        <f t="shared" si="3"/>
        <v>-8.8626991826944668E-2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>
        <f>--4636.4</f>
        <v>4636.3999999999996</v>
      </c>
      <c r="I16" s="2"/>
      <c r="J16" s="19"/>
      <c r="K16" s="2"/>
      <c r="L16" s="2">
        <f t="shared" si="0"/>
        <v>11204.94</v>
      </c>
      <c r="M16" s="2"/>
      <c r="N16" s="19">
        <f t="shared" si="1"/>
        <v>2.416732809938746</v>
      </c>
      <c r="O16" s="11"/>
      <c r="P16" s="2">
        <f>--32272.01</f>
        <v>32272.01</v>
      </c>
      <c r="Q16" s="2"/>
      <c r="R16" s="19"/>
      <c r="S16" s="2"/>
      <c r="T16" s="2">
        <f>--14580.65</f>
        <v>14580.65</v>
      </c>
      <c r="U16" s="2"/>
      <c r="V16" s="19"/>
      <c r="W16" s="2"/>
      <c r="X16" s="2">
        <f t="shared" si="2"/>
        <v>17691.36</v>
      </c>
      <c r="Y16" s="2"/>
      <c r="Z16" s="19">
        <f t="shared" si="3"/>
        <v>1.2133450840668969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>
        <f>--25647.37</f>
        <v>25647.37</v>
      </c>
      <c r="I17" s="2"/>
      <c r="J17" s="19"/>
      <c r="K17" s="2"/>
      <c r="L17" s="2">
        <f t="shared" si="0"/>
        <v>-14725.839999999998</v>
      </c>
      <c r="M17" s="2"/>
      <c r="N17" s="19">
        <f t="shared" si="1"/>
        <v>-0.57416569418228847</v>
      </c>
      <c r="O17" s="11"/>
      <c r="P17" s="2">
        <f>--41201.41</f>
        <v>41201.410000000003</v>
      </c>
      <c r="Q17" s="2"/>
      <c r="R17" s="19"/>
      <c r="S17" s="2"/>
      <c r="T17" s="2">
        <f>--68329.47</f>
        <v>68329.47</v>
      </c>
      <c r="U17" s="2"/>
      <c r="V17" s="19"/>
      <c r="W17" s="2"/>
      <c r="X17" s="2">
        <f t="shared" si="2"/>
        <v>-27128.059999999998</v>
      </c>
      <c r="Y17" s="2"/>
      <c r="Z17" s="19">
        <f t="shared" si="3"/>
        <v>-0.39701844606726788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>
        <f>--229.95</f>
        <v>229.95</v>
      </c>
      <c r="I19" s="2"/>
      <c r="J19" s="19"/>
      <c r="K19" s="2"/>
      <c r="L19" s="2">
        <f t="shared" si="0"/>
        <v>-0.37999999999999545</v>
      </c>
      <c r="M19" s="2"/>
      <c r="N19" s="19">
        <f t="shared" si="1"/>
        <v>-1.6525331593824548E-3</v>
      </c>
      <c r="O19" s="11"/>
      <c r="P19" s="2">
        <f>--1509.89</f>
        <v>1509.89</v>
      </c>
      <c r="Q19" s="2"/>
      <c r="R19" s="19"/>
      <c r="S19" s="2"/>
      <c r="T19" s="2">
        <f>--3078.39</f>
        <v>3078.39</v>
      </c>
      <c r="U19" s="2"/>
      <c r="V19" s="19"/>
      <c r="W19" s="2"/>
      <c r="X19" s="2">
        <f t="shared" si="2"/>
        <v>-1568.4999999999998</v>
      </c>
      <c r="Y19" s="2"/>
      <c r="Z19" s="19">
        <f t="shared" si="3"/>
        <v>-0.50951958653711837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>
        <f>--276.12</f>
        <v>276.12</v>
      </c>
      <c r="I20" s="2"/>
      <c r="J20" s="19"/>
      <c r="K20" s="2"/>
      <c r="L20" s="2">
        <f t="shared" si="0"/>
        <v>-168.64</v>
      </c>
      <c r="M20" s="2"/>
      <c r="N20" s="19">
        <f t="shared" si="1"/>
        <v>-0.61074894973200056</v>
      </c>
      <c r="O20" s="11"/>
      <c r="P20" s="2">
        <f>--1100.17</f>
        <v>1100.17</v>
      </c>
      <c r="Q20" s="2"/>
      <c r="R20" s="19"/>
      <c r="S20" s="2"/>
      <c r="T20" s="2">
        <f>--1486.56</f>
        <v>1486.56</v>
      </c>
      <c r="U20" s="2"/>
      <c r="V20" s="19"/>
      <c r="W20" s="2"/>
      <c r="X20" s="2">
        <f t="shared" si="2"/>
        <v>-386.38999999999987</v>
      </c>
      <c r="Y20" s="2"/>
      <c r="Z20" s="19">
        <f t="shared" si="3"/>
        <v>-0.2599222365730276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>
        <f>--19.37</f>
        <v>19.37</v>
      </c>
      <c r="I21" s="2"/>
      <c r="J21" s="19"/>
      <c r="K21" s="2"/>
      <c r="L21" s="2">
        <f t="shared" si="0"/>
        <v>-6.3900000000000006</v>
      </c>
      <c r="M21" s="2"/>
      <c r="N21" s="19">
        <f t="shared" si="1"/>
        <v>-0.32989158492514198</v>
      </c>
      <c r="O21" s="11"/>
      <c r="P21" s="2">
        <f>--255.12</f>
        <v>255.12</v>
      </c>
      <c r="Q21" s="2"/>
      <c r="R21" s="19"/>
      <c r="S21" s="2"/>
      <c r="T21" s="2">
        <f>--670.39</f>
        <v>670.39</v>
      </c>
      <c r="U21" s="2"/>
      <c r="V21" s="19"/>
      <c r="W21" s="2"/>
      <c r="X21" s="2">
        <f t="shared" si="2"/>
        <v>-415.27</v>
      </c>
      <c r="Y21" s="2"/>
      <c r="Z21" s="19">
        <f t="shared" si="3"/>
        <v>-0.61944539745521265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>
        <f>--861.8</f>
        <v>861.8</v>
      </c>
      <c r="I22" s="2"/>
      <c r="J22" s="19"/>
      <c r="K22" s="2"/>
      <c r="L22" s="2">
        <f t="shared" si="0"/>
        <v>-124.28999999999996</v>
      </c>
      <c r="M22" s="2"/>
      <c r="N22" s="19">
        <f t="shared" si="1"/>
        <v>-0.14422139707588763</v>
      </c>
      <c r="O22" s="11"/>
      <c r="P22" s="2">
        <f>--3627.9</f>
        <v>3627.9</v>
      </c>
      <c r="Q22" s="2"/>
      <c r="R22" s="19"/>
      <c r="S22" s="2"/>
      <c r="T22" s="2">
        <f>--5029.28</f>
        <v>5029.28</v>
      </c>
      <c r="U22" s="2"/>
      <c r="V22" s="19"/>
      <c r="W22" s="2"/>
      <c r="X22" s="2">
        <f t="shared" si="2"/>
        <v>-1401.3799999999997</v>
      </c>
      <c r="Y22" s="2"/>
      <c r="Z22" s="19">
        <f t="shared" si="3"/>
        <v>-0.27864425921801922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--6.49</f>
        <v>6.49</v>
      </c>
      <c r="I23" s="2"/>
      <c r="J23" s="19"/>
      <c r="K23" s="2"/>
      <c r="L23" s="2">
        <f t="shared" si="0"/>
        <v>-6.49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-33.059999999999995</v>
      </c>
      <c r="Y23" s="2"/>
      <c r="Z23" s="19">
        <f t="shared" si="3"/>
        <v>-0.49387511204063334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>
        <f>--4685.73</f>
        <v>4685.7299999999996</v>
      </c>
      <c r="I24" s="2"/>
      <c r="J24" s="19"/>
      <c r="K24" s="2"/>
      <c r="L24" s="2">
        <f t="shared" si="0"/>
        <v>621.6200000000008</v>
      </c>
      <c r="M24" s="2"/>
      <c r="N24" s="19">
        <f t="shared" si="1"/>
        <v>0.13266235997379294</v>
      </c>
      <c r="O24" s="11"/>
      <c r="P24" s="2">
        <f>--40440.45</f>
        <v>40440.449999999997</v>
      </c>
      <c r="Q24" s="2"/>
      <c r="R24" s="19"/>
      <c r="S24" s="2"/>
      <c r="T24" s="2">
        <f>--38576.97</f>
        <v>38576.97</v>
      </c>
      <c r="U24" s="2"/>
      <c r="V24" s="19"/>
      <c r="W24" s="2"/>
      <c r="X24" s="2">
        <f t="shared" si="2"/>
        <v>1863.4799999999959</v>
      </c>
      <c r="Y24" s="2"/>
      <c r="Z24" s="19">
        <f t="shared" si="3"/>
        <v>4.8305504553623466E-2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>
        <f>--10467.53</f>
        <v>10467.530000000001</v>
      </c>
      <c r="I25" s="2"/>
      <c r="J25" s="19"/>
      <c r="K25" s="2"/>
      <c r="L25" s="2">
        <f t="shared" si="0"/>
        <v>3293.7899999999991</v>
      </c>
      <c r="M25" s="2"/>
      <c r="N25" s="19">
        <f t="shared" si="1"/>
        <v>0.31466735705558035</v>
      </c>
      <c r="O25" s="11"/>
      <c r="P25" s="2">
        <f>--63689.49</f>
        <v>63689.49</v>
      </c>
      <c r="Q25" s="2"/>
      <c r="R25" s="19"/>
      <c r="S25" s="2"/>
      <c r="T25" s="2">
        <f>--52629.6</f>
        <v>52629.599999999999</v>
      </c>
      <c r="U25" s="2"/>
      <c r="V25" s="19"/>
      <c r="W25" s="2"/>
      <c r="X25" s="2">
        <f t="shared" si="2"/>
        <v>11059.89</v>
      </c>
      <c r="Y25" s="2"/>
      <c r="Z25" s="19">
        <f t="shared" si="3"/>
        <v>0.21014581148251174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>
        <f>--61066.92</f>
        <v>61066.92</v>
      </c>
      <c r="I26" s="2"/>
      <c r="J26" s="19"/>
      <c r="K26" s="2"/>
      <c r="L26" s="2">
        <f t="shared" si="0"/>
        <v>5222.9300000000076</v>
      </c>
      <c r="M26" s="2"/>
      <c r="N26" s="19">
        <f t="shared" si="1"/>
        <v>8.5527974883947117E-2</v>
      </c>
      <c r="O26" s="11"/>
      <c r="P26" s="2">
        <f>--231647.32</f>
        <v>231647.32</v>
      </c>
      <c r="Q26" s="2"/>
      <c r="R26" s="19"/>
      <c r="S26" s="2"/>
      <c r="T26" s="2">
        <f>--212258.91</f>
        <v>212258.91</v>
      </c>
      <c r="U26" s="2"/>
      <c r="V26" s="19"/>
      <c r="W26" s="2"/>
      <c r="X26" s="2">
        <f t="shared" si="2"/>
        <v>19388.410000000003</v>
      </c>
      <c r="Y26" s="2"/>
      <c r="Z26" s="19">
        <f t="shared" si="3"/>
        <v>9.1343209102506012E-2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>
        <f>--40129.85</f>
        <v>40129.85</v>
      </c>
      <c r="I27" s="2"/>
      <c r="J27" s="19"/>
      <c r="K27" s="2"/>
      <c r="L27" s="2">
        <f t="shared" si="0"/>
        <v>2905.3600000000006</v>
      </c>
      <c r="M27" s="2"/>
      <c r="N27" s="19">
        <f t="shared" si="1"/>
        <v>7.2398974827964743E-2</v>
      </c>
      <c r="O27" s="11"/>
      <c r="P27" s="2">
        <f>--232672.78</f>
        <v>232672.78</v>
      </c>
      <c r="Q27" s="2"/>
      <c r="R27" s="19"/>
      <c r="S27" s="2"/>
      <c r="T27" s="2">
        <f>--236358.8</f>
        <v>236358.8</v>
      </c>
      <c r="U27" s="2"/>
      <c r="V27" s="19"/>
      <c r="W27" s="2"/>
      <c r="X27" s="2">
        <f t="shared" si="2"/>
        <v>-3686.0199999999895</v>
      </c>
      <c r="Y27" s="2"/>
      <c r="Z27" s="19">
        <f t="shared" si="3"/>
        <v>-1.559501909808304E-2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>
        <f>--38.84</f>
        <v>38.840000000000003</v>
      </c>
      <c r="I28" s="2"/>
      <c r="J28" s="19"/>
      <c r="K28" s="2"/>
      <c r="L28" s="2">
        <f t="shared" si="0"/>
        <v>4.1899999999999977</v>
      </c>
      <c r="M28" s="2"/>
      <c r="N28" s="19">
        <f t="shared" si="1"/>
        <v>0.10787847579814618</v>
      </c>
      <c r="O28" s="11"/>
      <c r="P28" s="2">
        <f>--349.97</f>
        <v>349.97</v>
      </c>
      <c r="Q28" s="2"/>
      <c r="R28" s="19"/>
      <c r="S28" s="2"/>
      <c r="T28" s="2">
        <f>--362.36</f>
        <v>362.36</v>
      </c>
      <c r="U28" s="2"/>
      <c r="V28" s="19"/>
      <c r="W28" s="2"/>
      <c r="X28" s="2">
        <f t="shared" si="2"/>
        <v>-12.389999999999986</v>
      </c>
      <c r="Y28" s="2"/>
      <c r="Z28" s="19">
        <f t="shared" si="3"/>
        <v>-3.4192515730213008E-2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--21699.65</f>
        <v>21699.65</v>
      </c>
      <c r="E29" s="2"/>
      <c r="F29" s="19"/>
      <c r="G29" s="2"/>
      <c r="H29" s="2">
        <f>--22580.96</f>
        <v>22580.959999999999</v>
      </c>
      <c r="I29" s="2"/>
      <c r="J29" s="19"/>
      <c r="K29" s="2"/>
      <c r="L29" s="2">
        <f t="shared" si="0"/>
        <v>-881.30999999999767</v>
      </c>
      <c r="M29" s="2"/>
      <c r="N29" s="19">
        <f t="shared" si="1"/>
        <v>-3.9028898682783981E-2</v>
      </c>
      <c r="O29" s="11"/>
      <c r="P29" s="2">
        <f>--212514.87</f>
        <v>212514.87</v>
      </c>
      <c r="Q29" s="2"/>
      <c r="R29" s="19"/>
      <c r="S29" s="2"/>
      <c r="T29" s="2">
        <f>--220296.34</f>
        <v>220296.34</v>
      </c>
      <c r="U29" s="2"/>
      <c r="V29" s="19"/>
      <c r="W29" s="2"/>
      <c r="X29" s="2">
        <f t="shared" si="2"/>
        <v>-7781.4700000000012</v>
      </c>
      <c r="Y29" s="2"/>
      <c r="Z29" s="19">
        <f t="shared" si="3"/>
        <v>-3.5322738453121831E-2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>
        <f>--15.65</f>
        <v>15.65</v>
      </c>
      <c r="I30" s="2"/>
      <c r="J30" s="19"/>
      <c r="K30" s="2"/>
      <c r="L30" s="2">
        <f t="shared" si="0"/>
        <v>-0.51999999999999957</v>
      </c>
      <c r="M30" s="2"/>
      <c r="N30" s="19">
        <f t="shared" si="1"/>
        <v>-3.3226837060702848E-2</v>
      </c>
      <c r="O30" s="11"/>
      <c r="P30" s="2">
        <f>--146.15</f>
        <v>146.15</v>
      </c>
      <c r="Q30" s="2"/>
      <c r="R30" s="19"/>
      <c r="S30" s="2"/>
      <c r="T30" s="2">
        <f>--148.09</f>
        <v>148.09</v>
      </c>
      <c r="U30" s="2"/>
      <c r="V30" s="19"/>
      <c r="W30" s="2"/>
      <c r="X30" s="2">
        <f t="shared" si="2"/>
        <v>-1.9399999999999977</v>
      </c>
      <c r="Y30" s="2"/>
      <c r="Z30" s="19">
        <f t="shared" si="3"/>
        <v>-1.3100141805658706E-2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--781.82</f>
        <v>781.82</v>
      </c>
      <c r="E31" s="2"/>
      <c r="F31" s="19"/>
      <c r="G31" s="2"/>
      <c r="H31" s="2">
        <f>--652.25</f>
        <v>652.25</v>
      </c>
      <c r="I31" s="2"/>
      <c r="J31" s="19"/>
      <c r="K31" s="2"/>
      <c r="L31" s="2">
        <f t="shared" si="0"/>
        <v>129.57000000000005</v>
      </c>
      <c r="M31" s="2"/>
      <c r="N31" s="19">
        <f t="shared" si="1"/>
        <v>0.19865082407052517</v>
      </c>
      <c r="O31" s="11"/>
      <c r="P31" s="2">
        <f>--8255.25</f>
        <v>8255.25</v>
      </c>
      <c r="Q31" s="2"/>
      <c r="R31" s="19"/>
      <c r="S31" s="2"/>
      <c r="T31" s="2">
        <f>--6398.95</f>
        <v>6398.95</v>
      </c>
      <c r="U31" s="2"/>
      <c r="V31" s="19"/>
      <c r="W31" s="2"/>
      <c r="X31" s="2">
        <f t="shared" si="2"/>
        <v>1856.3000000000002</v>
      </c>
      <c r="Y31" s="2"/>
      <c r="Z31" s="19">
        <f t="shared" si="3"/>
        <v>0.29009446862375859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>
        <f>--185.14</f>
        <v>185.14</v>
      </c>
      <c r="I32" s="2"/>
      <c r="J32" s="19"/>
      <c r="K32" s="2"/>
      <c r="L32" s="2">
        <f t="shared" si="0"/>
        <v>-13.739999999999981</v>
      </c>
      <c r="M32" s="2"/>
      <c r="N32" s="19">
        <f t="shared" si="1"/>
        <v>-7.421410824241105E-2</v>
      </c>
      <c r="O32" s="11"/>
      <c r="P32" s="2">
        <f>--1438.49</f>
        <v>1438.49</v>
      </c>
      <c r="Q32" s="2"/>
      <c r="R32" s="19"/>
      <c r="S32" s="2"/>
      <c r="T32" s="2">
        <f>--1774.77</f>
        <v>1774.77</v>
      </c>
      <c r="U32" s="2"/>
      <c r="V32" s="19"/>
      <c r="W32" s="2"/>
      <c r="X32" s="2">
        <f t="shared" si="2"/>
        <v>-336.28</v>
      </c>
      <c r="Y32" s="2"/>
      <c r="Z32" s="19">
        <f t="shared" si="3"/>
        <v>-0.18947807321512081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>
        <f>--55.84</f>
        <v>55.84</v>
      </c>
      <c r="I33" s="2"/>
      <c r="J33" s="19"/>
      <c r="K33" s="2"/>
      <c r="L33" s="2">
        <f t="shared" si="0"/>
        <v>-38</v>
      </c>
      <c r="M33" s="2"/>
      <c r="N33" s="19">
        <f t="shared" si="1"/>
        <v>-0.68051575931232089</v>
      </c>
      <c r="O33" s="11"/>
      <c r="P33" s="2">
        <f>--414.1</f>
        <v>414.1</v>
      </c>
      <c r="Q33" s="2"/>
      <c r="R33" s="19"/>
      <c r="S33" s="2"/>
      <c r="T33" s="2">
        <f>--473.67</f>
        <v>473.67</v>
      </c>
      <c r="U33" s="2"/>
      <c r="V33" s="19"/>
      <c r="W33" s="2"/>
      <c r="X33" s="2">
        <f t="shared" si="2"/>
        <v>-59.569999999999993</v>
      </c>
      <c r="Y33" s="2"/>
      <c r="Z33" s="19">
        <f t="shared" si="3"/>
        <v>-0.12576266176874193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>
        <f>--170910.81</f>
        <v>170910.81</v>
      </c>
      <c r="I34" s="2"/>
      <c r="J34" s="19"/>
      <c r="K34" s="2"/>
      <c r="L34" s="2">
        <f t="shared" si="0"/>
        <v>21917</v>
      </c>
      <c r="M34" s="2"/>
      <c r="N34" s="19">
        <f t="shared" si="1"/>
        <v>0.12823647608948785</v>
      </c>
      <c r="O34" s="11"/>
      <c r="P34" s="2">
        <f>--1484618.99</f>
        <v>1484618.99</v>
      </c>
      <c r="Q34" s="2"/>
      <c r="R34" s="19"/>
      <c r="S34" s="2"/>
      <c r="T34" s="2">
        <f>--1368023.97</f>
        <v>1368023.97</v>
      </c>
      <c r="U34" s="2"/>
      <c r="V34" s="19"/>
      <c r="W34" s="2"/>
      <c r="X34" s="2">
        <f t="shared" si="2"/>
        <v>116595.02000000002</v>
      </c>
      <c r="Y34" s="2"/>
      <c r="Z34" s="19">
        <f t="shared" si="3"/>
        <v>8.5228784404998412E-2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>
        <f>--100302.3</f>
        <v>100302.3</v>
      </c>
      <c r="I35" s="2"/>
      <c r="J35" s="19"/>
      <c r="K35" s="2"/>
      <c r="L35" s="2">
        <f t="shared" si="0"/>
        <v>4139.3699999999953</v>
      </c>
      <c r="M35" s="2"/>
      <c r="N35" s="19">
        <f t="shared" si="1"/>
        <v>4.1268943982341336E-2</v>
      </c>
      <c r="O35" s="11"/>
      <c r="P35" s="2">
        <f>--400568.48</f>
        <v>400568.48</v>
      </c>
      <c r="Q35" s="2"/>
      <c r="R35" s="19"/>
      <c r="S35" s="2"/>
      <c r="T35" s="2">
        <f>--416134.16</f>
        <v>416134.16</v>
      </c>
      <c r="U35" s="2"/>
      <c r="V35" s="19"/>
      <c r="W35" s="2"/>
      <c r="X35" s="2">
        <f t="shared" si="2"/>
        <v>-15565.679999999993</v>
      </c>
      <c r="Y35" s="2"/>
      <c r="Z35" s="19">
        <f t="shared" si="3"/>
        <v>-3.7405436746649194E-2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>
        <f>--23930.76</f>
        <v>23930.76</v>
      </c>
      <c r="I36" s="2"/>
      <c r="J36" s="19"/>
      <c r="K36" s="2"/>
      <c r="L36" s="2">
        <f t="shared" si="0"/>
        <v>9112.3600000000042</v>
      </c>
      <c r="M36" s="2"/>
      <c r="N36" s="19">
        <f t="shared" si="1"/>
        <v>0.38078021759442676</v>
      </c>
      <c r="O36" s="11"/>
      <c r="P36" s="2">
        <f>--232995.22</f>
        <v>232995.22</v>
      </c>
      <c r="Q36" s="2"/>
      <c r="R36" s="19"/>
      <c r="S36" s="2"/>
      <c r="T36" s="2">
        <f>--183148.97</f>
        <v>183148.97</v>
      </c>
      <c r="U36" s="2"/>
      <c r="V36" s="19"/>
      <c r="W36" s="2"/>
      <c r="X36" s="2">
        <f t="shared" si="2"/>
        <v>49846.25</v>
      </c>
      <c r="Y36" s="2"/>
      <c r="Z36" s="19">
        <f t="shared" si="3"/>
        <v>0.27216232774882654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>
        <f>--280.58</f>
        <v>280.58</v>
      </c>
      <c r="I37" s="2"/>
      <c r="J37" s="19"/>
      <c r="K37" s="2"/>
      <c r="L37" s="2">
        <f t="shared" si="0"/>
        <v>8029.67</v>
      </c>
      <c r="M37" s="2"/>
      <c r="N37" s="19">
        <f t="shared" si="1"/>
        <v>28.618112481288762</v>
      </c>
      <c r="O37" s="11"/>
      <c r="P37" s="2">
        <f>--22630.71</f>
        <v>22630.71</v>
      </c>
      <c r="Q37" s="2"/>
      <c r="R37" s="19"/>
      <c r="S37" s="2"/>
      <c r="T37" s="2">
        <f>--2454.25</f>
        <v>2454.25</v>
      </c>
      <c r="U37" s="2"/>
      <c r="V37" s="19"/>
      <c r="W37" s="2"/>
      <c r="X37" s="2">
        <f t="shared" si="2"/>
        <v>20176.46</v>
      </c>
      <c r="Y37" s="2"/>
      <c r="Z37" s="19">
        <f t="shared" si="3"/>
        <v>8.2210288275440551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>
        <f>--14130.01</f>
        <v>14130.01</v>
      </c>
      <c r="I38" s="2"/>
      <c r="J38" s="19"/>
      <c r="K38" s="2"/>
      <c r="L38" s="2">
        <f t="shared" si="0"/>
        <v>-7780.05</v>
      </c>
      <c r="M38" s="2"/>
      <c r="N38" s="19">
        <f t="shared" si="1"/>
        <v>-0.55060470587069643</v>
      </c>
      <c r="O38" s="11"/>
      <c r="P38" s="2">
        <f>--53086.16</f>
        <v>53086.16</v>
      </c>
      <c r="Q38" s="2"/>
      <c r="R38" s="19"/>
      <c r="S38" s="2"/>
      <c r="T38" s="2">
        <f>--59857.07</f>
        <v>59857.07</v>
      </c>
      <c r="U38" s="2"/>
      <c r="V38" s="19"/>
      <c r="W38" s="2"/>
      <c r="X38" s="2">
        <f t="shared" si="2"/>
        <v>-6770.9099999999962</v>
      </c>
      <c r="Y38" s="2"/>
      <c r="Z38" s="19">
        <f t="shared" si="3"/>
        <v>-0.11311796584764333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>
        <f>--7692.77</f>
        <v>7692.77</v>
      </c>
      <c r="I39" s="2"/>
      <c r="J39" s="19"/>
      <c r="K39" s="2"/>
      <c r="L39" s="2">
        <f t="shared" si="0"/>
        <v>1039.4399999999987</v>
      </c>
      <c r="M39" s="2"/>
      <c r="N39" s="19">
        <f t="shared" si="1"/>
        <v>0.13511907934333128</v>
      </c>
      <c r="O39" s="11"/>
      <c r="P39" s="2">
        <f>--69738.03</f>
        <v>69738.03</v>
      </c>
      <c r="Q39" s="2"/>
      <c r="R39" s="19"/>
      <c r="S39" s="2"/>
      <c r="T39" s="2">
        <f>--75947.26</f>
        <v>75947.259999999995</v>
      </c>
      <c r="U39" s="2"/>
      <c r="V39" s="19"/>
      <c r="W39" s="2"/>
      <c r="X39" s="2">
        <f t="shared" si="2"/>
        <v>-6209.2299999999959</v>
      </c>
      <c r="Y39" s="2"/>
      <c r="Z39" s="19">
        <f t="shared" si="3"/>
        <v>-8.1757129881973312E-2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>
        <f>--380.08</f>
        <v>380.08</v>
      </c>
      <c r="I40" s="2"/>
      <c r="J40" s="19"/>
      <c r="K40" s="2"/>
      <c r="L40" s="2">
        <f t="shared" si="0"/>
        <v>-196.98</v>
      </c>
      <c r="M40" s="2"/>
      <c r="N40" s="19">
        <f t="shared" si="1"/>
        <v>-0.51825931382866763</v>
      </c>
      <c r="O40" s="11"/>
      <c r="P40" s="2">
        <f>--1977.04</f>
        <v>1977.04</v>
      </c>
      <c r="Q40" s="2"/>
      <c r="R40" s="19"/>
      <c r="S40" s="2"/>
      <c r="T40" s="2">
        <f>--2272.36</f>
        <v>2272.36</v>
      </c>
      <c r="U40" s="2"/>
      <c r="V40" s="19"/>
      <c r="W40" s="2"/>
      <c r="X40" s="2">
        <f t="shared" si="2"/>
        <v>-295.32000000000016</v>
      </c>
      <c r="Y40" s="2"/>
      <c r="Z40" s="19">
        <f t="shared" si="3"/>
        <v>-0.12996180182717534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--43102.12</f>
        <v>43102.12</v>
      </c>
      <c r="E41" s="2"/>
      <c r="F41" s="19"/>
      <c r="G41" s="2"/>
      <c r="H41" s="2">
        <f>--44158.36</f>
        <v>44158.36</v>
      </c>
      <c r="I41" s="2"/>
      <c r="J41" s="19"/>
      <c r="K41" s="2"/>
      <c r="L41" s="2">
        <f t="shared" si="0"/>
        <v>-1056.239999999998</v>
      </c>
      <c r="M41" s="2"/>
      <c r="N41" s="19">
        <f t="shared" si="1"/>
        <v>-2.3919366570678755E-2</v>
      </c>
      <c r="O41" s="11"/>
      <c r="P41" s="2">
        <f>--475198.87</f>
        <v>475198.87</v>
      </c>
      <c r="Q41" s="2"/>
      <c r="R41" s="19"/>
      <c r="S41" s="2"/>
      <c r="T41" s="2">
        <f>--515797.73</f>
        <v>515797.73</v>
      </c>
      <c r="U41" s="2"/>
      <c r="V41" s="19"/>
      <c r="W41" s="2"/>
      <c r="X41" s="2">
        <f t="shared" si="2"/>
        <v>-40598.859999999986</v>
      </c>
      <c r="Y41" s="2"/>
      <c r="Z41" s="19">
        <f t="shared" si="3"/>
        <v>-7.8710815574934742E-2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--120705.79</f>
        <v>120705.79</v>
      </c>
      <c r="E42" s="2"/>
      <c r="F42" s="19"/>
      <c r="G42" s="2"/>
      <c r="H42" s="2">
        <f>--118024.7</f>
        <v>118024.7</v>
      </c>
      <c r="I42" s="2"/>
      <c r="J42" s="19"/>
      <c r="K42" s="2"/>
      <c r="L42" s="2">
        <f t="shared" si="0"/>
        <v>2681.0899999999965</v>
      </c>
      <c r="M42" s="2"/>
      <c r="N42" s="19">
        <f t="shared" si="1"/>
        <v>2.2716346663028981E-2</v>
      </c>
      <c r="O42" s="11"/>
      <c r="P42" s="2">
        <f>--657002.44</f>
        <v>657002.43999999994</v>
      </c>
      <c r="Q42" s="2"/>
      <c r="R42" s="19"/>
      <c r="S42" s="2"/>
      <c r="T42" s="2">
        <f>--792014.39</f>
        <v>792014.39</v>
      </c>
      <c r="U42" s="2"/>
      <c r="V42" s="19"/>
      <c r="W42" s="2"/>
      <c r="X42" s="2">
        <f t="shared" si="2"/>
        <v>-135011.95000000007</v>
      </c>
      <c r="Y42" s="2"/>
      <c r="Z42" s="19">
        <f t="shared" si="3"/>
        <v>-0.17046653659916466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--9828.09</f>
        <v>9828.09</v>
      </c>
      <c r="E43" s="2"/>
      <c r="F43" s="19"/>
      <c r="G43" s="2"/>
      <c r="H43" s="2">
        <f>--6277.59</f>
        <v>6277.59</v>
      </c>
      <c r="I43" s="2"/>
      <c r="J43" s="19"/>
      <c r="K43" s="2"/>
      <c r="L43" s="2">
        <f t="shared" si="0"/>
        <v>3550.5</v>
      </c>
      <c r="M43" s="2"/>
      <c r="N43" s="19">
        <f t="shared" si="1"/>
        <v>0.56558328912847122</v>
      </c>
      <c r="O43" s="11"/>
      <c r="P43" s="2">
        <f>--116598.92</f>
        <v>116598.92</v>
      </c>
      <c r="Q43" s="2"/>
      <c r="R43" s="19"/>
      <c r="S43" s="2"/>
      <c r="T43" s="2">
        <f>--97731.64</f>
        <v>97731.64</v>
      </c>
      <c r="U43" s="2"/>
      <c r="V43" s="19"/>
      <c r="W43" s="2"/>
      <c r="X43" s="2">
        <f t="shared" si="2"/>
        <v>18867.28</v>
      </c>
      <c r="Y43" s="2"/>
      <c r="Z43" s="19">
        <f t="shared" si="3"/>
        <v>0.19305191235919092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--31360</f>
        <v>31360</v>
      </c>
      <c r="E44" s="2"/>
      <c r="F44" s="19"/>
      <c r="G44" s="2"/>
      <c r="H44" s="2">
        <f>--38537.82</f>
        <v>38537.82</v>
      </c>
      <c r="I44" s="2"/>
      <c r="J44" s="19"/>
      <c r="K44" s="2"/>
      <c r="L44" s="2">
        <f t="shared" si="0"/>
        <v>-7177.82</v>
      </c>
      <c r="M44" s="2"/>
      <c r="N44" s="19">
        <f t="shared" si="1"/>
        <v>-0.18625391887761164</v>
      </c>
      <c r="O44" s="11"/>
      <c r="P44" s="2">
        <f>--304187.44</f>
        <v>304187.44</v>
      </c>
      <c r="Q44" s="2"/>
      <c r="R44" s="19"/>
      <c r="S44" s="2"/>
      <c r="T44" s="2">
        <f>--355602.56</f>
        <v>355602.56</v>
      </c>
      <c r="U44" s="2"/>
      <c r="V44" s="19"/>
      <c r="W44" s="2"/>
      <c r="X44" s="2">
        <f t="shared" si="2"/>
        <v>-51415.119999999995</v>
      </c>
      <c r="Y44" s="2"/>
      <c r="Z44" s="19">
        <f t="shared" si="3"/>
        <v>-0.14458591074259983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>0</f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>--7736.89</f>
        <v>7736.89</v>
      </c>
      <c r="E46" s="2"/>
      <c r="F46" s="19"/>
      <c r="G46" s="2"/>
      <c r="H46" s="2">
        <f>--9176.5</f>
        <v>9176.5</v>
      </c>
      <c r="I46" s="2"/>
      <c r="J46" s="19"/>
      <c r="K46" s="2"/>
      <c r="L46" s="2">
        <f t="shared" si="0"/>
        <v>-1439.6099999999997</v>
      </c>
      <c r="M46" s="2"/>
      <c r="N46" s="19">
        <f t="shared" si="1"/>
        <v>-0.15688007410232657</v>
      </c>
      <c r="O46" s="11"/>
      <c r="P46" s="2">
        <f>--95636.1</f>
        <v>95636.1</v>
      </c>
      <c r="Q46" s="2"/>
      <c r="R46" s="19"/>
      <c r="S46" s="2"/>
      <c r="T46" s="2">
        <f>--130787.25</f>
        <v>130787.25</v>
      </c>
      <c r="U46" s="2"/>
      <c r="V46" s="19"/>
      <c r="W46" s="2"/>
      <c r="X46" s="2">
        <f t="shared" si="2"/>
        <v>-35151.149999999994</v>
      </c>
      <c r="Y46" s="2"/>
      <c r="Z46" s="19">
        <f t="shared" si="3"/>
        <v>-0.2687658774077748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--27620.8</f>
        <v>27620.799999999999</v>
      </c>
      <c r="E47" s="2"/>
      <c r="F47" s="19"/>
      <c r="G47" s="2"/>
      <c r="H47" s="2">
        <f>--14044.16</f>
        <v>14044.16</v>
      </c>
      <c r="I47" s="2"/>
      <c r="J47" s="19"/>
      <c r="K47" s="2"/>
      <c r="L47" s="2">
        <f t="shared" si="0"/>
        <v>13576.64</v>
      </c>
      <c r="M47" s="2"/>
      <c r="N47" s="19">
        <f t="shared" si="1"/>
        <v>0.9667107181917608</v>
      </c>
      <c r="O47" s="11"/>
      <c r="P47" s="2">
        <f>--274290.28</f>
        <v>274290.28000000003</v>
      </c>
      <c r="Q47" s="2"/>
      <c r="R47" s="19"/>
      <c r="S47" s="2"/>
      <c r="T47" s="2">
        <f>--197547.97</f>
        <v>197547.97</v>
      </c>
      <c r="U47" s="2"/>
      <c r="V47" s="19"/>
      <c r="W47" s="2"/>
      <c r="X47" s="2">
        <f t="shared" si="2"/>
        <v>76742.310000000027</v>
      </c>
      <c r="Y47" s="2"/>
      <c r="Z47" s="19">
        <f t="shared" si="3"/>
        <v>0.38847430322872983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--164816.22</f>
        <v>164816.22</v>
      </c>
      <c r="E48" s="2"/>
      <c r="F48" s="19"/>
      <c r="G48" s="2"/>
      <c r="H48" s="2">
        <f>--241429.54</f>
        <v>241429.54</v>
      </c>
      <c r="I48" s="2"/>
      <c r="J48" s="19"/>
      <c r="K48" s="2"/>
      <c r="L48" s="2">
        <f t="shared" si="0"/>
        <v>-76613.320000000007</v>
      </c>
      <c r="M48" s="2"/>
      <c r="N48" s="19">
        <f t="shared" si="1"/>
        <v>-0.31733200502308045</v>
      </c>
      <c r="O48" s="11"/>
      <c r="P48" s="2">
        <f>--1507332.48</f>
        <v>1507332.48</v>
      </c>
      <c r="Q48" s="2"/>
      <c r="R48" s="19"/>
      <c r="S48" s="2"/>
      <c r="T48" s="2">
        <f>--1343775.45</f>
        <v>1343775.45</v>
      </c>
      <c r="U48" s="2"/>
      <c r="V48" s="19"/>
      <c r="W48" s="2"/>
      <c r="X48" s="2">
        <f t="shared" si="2"/>
        <v>163557.03000000003</v>
      </c>
      <c r="Y48" s="2"/>
      <c r="Z48" s="19">
        <f t="shared" si="3"/>
        <v>0.12171455431783638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--14047.94</f>
        <v>14047.94</v>
      </c>
      <c r="E49" s="2"/>
      <c r="F49" s="19"/>
      <c r="G49" s="2"/>
      <c r="H49" s="2">
        <f>--10620.68</f>
        <v>10620.68</v>
      </c>
      <c r="I49" s="2"/>
      <c r="J49" s="19"/>
      <c r="K49" s="2"/>
      <c r="L49" s="2">
        <f t="shared" si="0"/>
        <v>3427.26</v>
      </c>
      <c r="M49" s="2"/>
      <c r="N49" s="19">
        <f t="shared" si="1"/>
        <v>0.32269685180233282</v>
      </c>
      <c r="O49" s="11"/>
      <c r="P49" s="2">
        <f>--85178.62</f>
        <v>85178.62</v>
      </c>
      <c r="Q49" s="2"/>
      <c r="R49" s="19"/>
      <c r="S49" s="2"/>
      <c r="T49" s="2">
        <f>--88625.1</f>
        <v>88625.1</v>
      </c>
      <c r="U49" s="2"/>
      <c r="V49" s="19"/>
      <c r="W49" s="2"/>
      <c r="X49" s="2">
        <f t="shared" si="2"/>
        <v>-3446.4800000000105</v>
      </c>
      <c r="Y49" s="2"/>
      <c r="Z49" s="19">
        <f t="shared" si="3"/>
        <v>-3.8888305908822786E-2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 t="shared" ref="D50:D51" si="4"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--129</f>
        <v>129</v>
      </c>
      <c r="Q50" s="2"/>
      <c r="R50" s="19"/>
      <c r="S50" s="2"/>
      <c r="T50" s="2">
        <f>--1484.99</f>
        <v>1484.99</v>
      </c>
      <c r="U50" s="2"/>
      <c r="V50" s="19"/>
      <c r="W50" s="2"/>
      <c r="X50" s="2">
        <f t="shared" si="2"/>
        <v>-1355.99</v>
      </c>
      <c r="Y50" s="2"/>
      <c r="Z50" s="19">
        <f t="shared" si="3"/>
        <v>-0.91313072815305152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 t="shared" si="4"/>
        <v>0</v>
      </c>
      <c r="E51" s="2"/>
      <c r="F51" s="19"/>
      <c r="G51" s="2"/>
      <c r="H51" s="2">
        <f>--416.99</f>
        <v>416.99</v>
      </c>
      <c r="I51" s="2"/>
      <c r="J51" s="19"/>
      <c r="K51" s="2"/>
      <c r="L51" s="2">
        <f t="shared" si="0"/>
        <v>-416.99</v>
      </c>
      <c r="M51" s="2"/>
      <c r="N51" s="19">
        <f t="shared" si="1"/>
        <v>-1</v>
      </c>
      <c r="O51" s="11"/>
      <c r="P51" s="2">
        <f>--4407.94</f>
        <v>4407.9399999999996</v>
      </c>
      <c r="Q51" s="2"/>
      <c r="R51" s="19"/>
      <c r="S51" s="2"/>
      <c r="T51" s="2">
        <f>--10245.8</f>
        <v>10245.799999999999</v>
      </c>
      <c r="U51" s="2"/>
      <c r="V51" s="19"/>
      <c r="W51" s="2"/>
      <c r="X51" s="2">
        <f t="shared" si="2"/>
        <v>-5837.86</v>
      </c>
      <c r="Y51" s="2"/>
      <c r="Z51" s="19">
        <f t="shared" si="3"/>
        <v>-0.56978078822541922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--7359.63</f>
        <v>7359.63</v>
      </c>
      <c r="E52" s="2"/>
      <c r="F52" s="19"/>
      <c r="G52" s="2"/>
      <c r="H52" s="2">
        <f>--6685.81</f>
        <v>6685.81</v>
      </c>
      <c r="I52" s="2"/>
      <c r="J52" s="19"/>
      <c r="K52" s="2"/>
      <c r="L52" s="2">
        <f t="shared" si="0"/>
        <v>673.81999999999971</v>
      </c>
      <c r="M52" s="2"/>
      <c r="N52" s="19">
        <f t="shared" si="1"/>
        <v>0.10078359989290747</v>
      </c>
      <c r="O52" s="11"/>
      <c r="P52" s="2">
        <f>--41136.87</f>
        <v>41136.870000000003</v>
      </c>
      <c r="Q52" s="2"/>
      <c r="R52" s="19"/>
      <c r="S52" s="2"/>
      <c r="T52" s="2">
        <f>--50605.96</f>
        <v>50605.96</v>
      </c>
      <c r="U52" s="2"/>
      <c r="V52" s="19"/>
      <c r="W52" s="2"/>
      <c r="X52" s="2">
        <f t="shared" si="2"/>
        <v>-9469.0899999999965</v>
      </c>
      <c r="Y52" s="2"/>
      <c r="Z52" s="19">
        <f t="shared" si="3"/>
        <v>-0.1871141264783831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--118.97</f>
        <v>118.97</v>
      </c>
      <c r="E53" s="2"/>
      <c r="F53" s="19"/>
      <c r="G53" s="2"/>
      <c r="H53" s="2">
        <f>--228</f>
        <v>228</v>
      </c>
      <c r="I53" s="2"/>
      <c r="J53" s="19"/>
      <c r="K53" s="2"/>
      <c r="L53" s="2">
        <f t="shared" si="0"/>
        <v>-109.03</v>
      </c>
      <c r="M53" s="2"/>
      <c r="N53" s="19">
        <f t="shared" si="1"/>
        <v>-0.47820175438596491</v>
      </c>
      <c r="O53" s="11"/>
      <c r="P53" s="2">
        <f>--1055.88</f>
        <v>1055.8800000000001</v>
      </c>
      <c r="Q53" s="2"/>
      <c r="R53" s="19"/>
      <c r="S53" s="2"/>
      <c r="T53" s="2">
        <f>--1512.85</f>
        <v>1512.85</v>
      </c>
      <c r="U53" s="2"/>
      <c r="V53" s="19"/>
      <c r="W53" s="2"/>
      <c r="X53" s="2">
        <f t="shared" si="2"/>
        <v>-456.9699999999998</v>
      </c>
      <c r="Y53" s="2"/>
      <c r="Z53" s="19">
        <f t="shared" si="3"/>
        <v>-0.30205902766302001</v>
      </c>
    </row>
    <row r="54" spans="1:26" s="24" customFormat="1" hidden="1" outlineLevel="1" x14ac:dyDescent="0.25">
      <c r="A54" s="44"/>
      <c r="B54" s="11" t="str">
        <f>CONCATENATE("          ", "4092", " - ", "TAXABLE SALES-GRAD MERCH")</f>
        <v xml:space="preserve">          4092 - TAXABLE SALES-GRAD MERCH</v>
      </c>
      <c r="C54" s="11"/>
      <c r="D54" s="2">
        <f>0</f>
        <v>0</v>
      </c>
      <c r="E54" s="2"/>
      <c r="F54" s="19"/>
      <c r="G54" s="2"/>
      <c r="H54" s="2">
        <f>--129.8</f>
        <v>129.80000000000001</v>
      </c>
      <c r="I54" s="2"/>
      <c r="J54" s="19"/>
      <c r="K54" s="2"/>
      <c r="L54" s="2">
        <f t="shared" si="0"/>
        <v>-129.80000000000001</v>
      </c>
      <c r="M54" s="2"/>
      <c r="N54" s="19">
        <f t="shared" si="1"/>
        <v>-1</v>
      </c>
      <c r="O54" s="11"/>
      <c r="P54" s="2">
        <f>--7659.37</f>
        <v>7659.37</v>
      </c>
      <c r="Q54" s="2"/>
      <c r="R54" s="19"/>
      <c r="S54" s="2"/>
      <c r="T54" s="2">
        <f>--7090.86</f>
        <v>7090.86</v>
      </c>
      <c r="U54" s="2"/>
      <c r="V54" s="19"/>
      <c r="W54" s="2"/>
      <c r="X54" s="2">
        <f t="shared" si="2"/>
        <v>568.51000000000022</v>
      </c>
      <c r="Y54" s="2"/>
      <c r="Z54" s="19">
        <f t="shared" si="3"/>
        <v>8.0175042237471933E-2</v>
      </c>
    </row>
    <row r="55" spans="1:26" s="24" customFormat="1" hidden="1" outlineLevel="1" x14ac:dyDescent="0.25">
      <c r="A55" s="44"/>
      <c r="B55" s="11" t="str">
        <f>CONCATENATE("          ", "4095", " - ", "TAXABLE SALES-CUSTOMER SERVICE")</f>
        <v xml:space="preserve">          4095 - TAXABLE SALES-CUSTOMER SERVICE</v>
      </c>
      <c r="C55" s="11"/>
      <c r="D55" s="2">
        <f>--11.93</f>
        <v>11.93</v>
      </c>
      <c r="E55" s="2"/>
      <c r="F55" s="19"/>
      <c r="G55" s="2"/>
      <c r="H55" s="2">
        <f>--294.23</f>
        <v>294.23</v>
      </c>
      <c r="I55" s="2"/>
      <c r="J55" s="19"/>
      <c r="K55" s="2"/>
      <c r="L55" s="2">
        <f t="shared" si="0"/>
        <v>-282.3</v>
      </c>
      <c r="M55" s="2"/>
      <c r="N55" s="19">
        <f t="shared" si="1"/>
        <v>-0.95945348876729086</v>
      </c>
      <c r="O55" s="11"/>
      <c r="P55" s="2">
        <f>--309.26</f>
        <v>309.26</v>
      </c>
      <c r="Q55" s="2"/>
      <c r="R55" s="19"/>
      <c r="S55" s="2"/>
      <c r="T55" s="2">
        <f>--1627.01</f>
        <v>1627.01</v>
      </c>
      <c r="U55" s="2"/>
      <c r="V55" s="19"/>
      <c r="W55" s="2"/>
      <c r="X55" s="2">
        <f t="shared" si="2"/>
        <v>-1317.75</v>
      </c>
      <c r="Y55" s="2"/>
      <c r="Z55" s="19">
        <f t="shared" si="3"/>
        <v>-0.80992126661790642</v>
      </c>
    </row>
    <row r="56" spans="1:26" s="24" customFormat="1" hidden="1" outlineLevel="1" x14ac:dyDescent="0.25">
      <c r="A56" s="44"/>
      <c r="B56" s="11" t="str">
        <f>CONCATENATE("          ", "4100", " - ", "NON-TAXABLE SALES")</f>
        <v xml:space="preserve">          4100 - NON-TAXABLE SALES</v>
      </c>
      <c r="C56" s="11"/>
      <c r="D56" s="2">
        <f>--239135.61</f>
        <v>239135.61</v>
      </c>
      <c r="E56" s="2"/>
      <c r="F56" s="19"/>
      <c r="G56" s="2"/>
      <c r="H56" s="2">
        <f>--374034.12</f>
        <v>374034.12</v>
      </c>
      <c r="I56" s="2"/>
      <c r="J56" s="19"/>
      <c r="K56" s="2"/>
      <c r="L56" s="2">
        <f t="shared" si="0"/>
        <v>-134898.51</v>
      </c>
      <c r="M56" s="2"/>
      <c r="N56" s="19">
        <f t="shared" si="1"/>
        <v>-0.36065830037109986</v>
      </c>
      <c r="O56" s="11"/>
      <c r="P56" s="2">
        <f>--741865.16</f>
        <v>741865.16</v>
      </c>
      <c r="Q56" s="2"/>
      <c r="R56" s="19"/>
      <c r="S56" s="2"/>
      <c r="T56" s="2">
        <f>--964889.04</f>
        <v>964889.04</v>
      </c>
      <c r="U56" s="2"/>
      <c r="V56" s="19"/>
      <c r="W56" s="2"/>
      <c r="X56" s="2">
        <f t="shared" si="2"/>
        <v>-223023.88</v>
      </c>
      <c r="Y56" s="2"/>
      <c r="Z56" s="19">
        <f t="shared" si="3"/>
        <v>-0.23113940645444578</v>
      </c>
    </row>
    <row r="57" spans="1:26" s="24" customFormat="1" hidden="1" outlineLevel="1" x14ac:dyDescent="0.25">
      <c r="A57" s="44"/>
      <c r="B57" s="11" t="str">
        <f>CONCATENATE("          ", "4101", " - ", "NON-TAXABLE SALES-NEW TEXT")</f>
        <v xml:space="preserve">          4101 - NON-TAXABLE SALES-NEW TEXT</v>
      </c>
      <c r="C57" s="11"/>
      <c r="D57" s="2">
        <f>--37117.66</f>
        <v>37117.660000000003</v>
      </c>
      <c r="E57" s="2"/>
      <c r="F57" s="19"/>
      <c r="G57" s="2"/>
      <c r="H57" s="2">
        <f>--53494.81</f>
        <v>53494.81</v>
      </c>
      <c r="I57" s="2"/>
      <c r="J57" s="19"/>
      <c r="K57" s="2"/>
      <c r="L57" s="2">
        <f t="shared" si="0"/>
        <v>-16377.149999999994</v>
      </c>
      <c r="M57" s="2"/>
      <c r="N57" s="19">
        <f t="shared" si="1"/>
        <v>-0.30614465216345277</v>
      </c>
      <c r="O57" s="11"/>
      <c r="P57" s="2">
        <f>--132405.23</f>
        <v>132405.23000000001</v>
      </c>
      <c r="Q57" s="2"/>
      <c r="R57" s="19"/>
      <c r="S57" s="2"/>
      <c r="T57" s="2">
        <f>--247756.04</f>
        <v>247756.04</v>
      </c>
      <c r="U57" s="2"/>
      <c r="V57" s="19"/>
      <c r="W57" s="2"/>
      <c r="X57" s="2">
        <f t="shared" si="2"/>
        <v>-115350.81</v>
      </c>
      <c r="Y57" s="2"/>
      <c r="Z57" s="19">
        <f t="shared" si="3"/>
        <v>-0.46558223161784468</v>
      </c>
    </row>
    <row r="58" spans="1:26" s="24" customFormat="1" hidden="1" outlineLevel="1" x14ac:dyDescent="0.25">
      <c r="A58" s="44"/>
      <c r="B58" s="11" t="str">
        <f>CONCATENATE("          ", "4102", " - ", "NON-TAXABLE SALES-USED TEXT")</f>
        <v xml:space="preserve">          4102 - NON-TAXABLE SALES-USED TEXT</v>
      </c>
      <c r="C58" s="11"/>
      <c r="D58" s="2">
        <f>--28414.21</f>
        <v>28414.21</v>
      </c>
      <c r="E58" s="2"/>
      <c r="F58" s="19"/>
      <c r="G58" s="2"/>
      <c r="H58" s="2">
        <f>--27386.23</f>
        <v>27386.23</v>
      </c>
      <c r="I58" s="2"/>
      <c r="J58" s="19"/>
      <c r="K58" s="2"/>
      <c r="L58" s="2">
        <f t="shared" si="0"/>
        <v>1027.9799999999996</v>
      </c>
      <c r="M58" s="2"/>
      <c r="N58" s="19">
        <f t="shared" si="1"/>
        <v>3.7536382335210054E-2</v>
      </c>
      <c r="O58" s="11"/>
      <c r="P58" s="2">
        <f>--66616.8</f>
        <v>66616.800000000003</v>
      </c>
      <c r="Q58" s="2"/>
      <c r="R58" s="19"/>
      <c r="S58" s="2"/>
      <c r="T58" s="2">
        <f>--81341.89</f>
        <v>81341.89</v>
      </c>
      <c r="U58" s="2"/>
      <c r="V58" s="19"/>
      <c r="W58" s="2"/>
      <c r="X58" s="2">
        <f t="shared" si="2"/>
        <v>-14725.089999999997</v>
      </c>
      <c r="Y58" s="2"/>
      <c r="Z58" s="19">
        <f t="shared" si="3"/>
        <v>-0.18102714357878821</v>
      </c>
    </row>
    <row r="59" spans="1:26" s="24" customFormat="1" hidden="1" outlineLevel="1" x14ac:dyDescent="0.25">
      <c r="A59" s="44"/>
      <c r="B59" s="11" t="str">
        <f>CONCATENATE("          ", "4103", " - ", "NON-TAXABLE SALES-RENTAL TEXT")</f>
        <v xml:space="preserve">          4103 - NON-TAXABLE SALES-RENTAL TEXT</v>
      </c>
      <c r="C59" s="11"/>
      <c r="D59" s="2">
        <f>--334.99</f>
        <v>334.99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334.99</v>
      </c>
      <c r="M59" s="2"/>
      <c r="N59" s="19">
        <f t="shared" si="1"/>
        <v>0</v>
      </c>
      <c r="O59" s="11"/>
      <c r="P59" s="2">
        <f>--664.97</f>
        <v>664.97</v>
      </c>
      <c r="Q59" s="2"/>
      <c r="R59" s="19"/>
      <c r="S59" s="2"/>
      <c r="T59" s="2">
        <f>--509.85</f>
        <v>509.85</v>
      </c>
      <c r="U59" s="2"/>
      <c r="V59" s="19"/>
      <c r="W59" s="2"/>
      <c r="X59" s="2">
        <f t="shared" si="2"/>
        <v>155.12</v>
      </c>
      <c r="Y59" s="2"/>
      <c r="Z59" s="19">
        <f t="shared" si="3"/>
        <v>0.30424634696479358</v>
      </c>
    </row>
    <row r="60" spans="1:26" s="24" customFormat="1" hidden="1" outlineLevel="1" x14ac:dyDescent="0.25">
      <c r="A60" s="44"/>
      <c r="B60" s="11" t="str">
        <f>CONCATENATE("          ", "4104", " - ", "NON-TAXABLE SALES-DIGITAL TEXT")</f>
        <v xml:space="preserve">          4104 - NON-TAXABLE SALES-DIGITAL TEXT</v>
      </c>
      <c r="C60" s="11"/>
      <c r="D60" s="2">
        <f>--169179.13</f>
        <v>169179.13</v>
      </c>
      <c r="E60" s="2"/>
      <c r="F60" s="19"/>
      <c r="G60" s="2"/>
      <c r="H60" s="2">
        <f>--168068.46</f>
        <v>168068.46</v>
      </c>
      <c r="I60" s="2"/>
      <c r="J60" s="19"/>
      <c r="K60" s="2"/>
      <c r="L60" s="2">
        <f t="shared" si="0"/>
        <v>1110.6700000000128</v>
      </c>
      <c r="M60" s="2"/>
      <c r="N60" s="19">
        <f t="shared" si="1"/>
        <v>6.6084380138903684E-3</v>
      </c>
      <c r="O60" s="11"/>
      <c r="P60" s="2">
        <f>--502067.96</f>
        <v>502067.96</v>
      </c>
      <c r="Q60" s="2"/>
      <c r="R60" s="19"/>
      <c r="S60" s="2"/>
      <c r="T60" s="2">
        <f>--509033.58</f>
        <v>509033.58</v>
      </c>
      <c r="U60" s="2"/>
      <c r="V60" s="19"/>
      <c r="W60" s="2"/>
      <c r="X60" s="2">
        <f t="shared" si="2"/>
        <v>-6965.6199999999953</v>
      </c>
      <c r="Y60" s="2"/>
      <c r="Z60" s="19">
        <f t="shared" si="3"/>
        <v>-1.3684008823150715E-2</v>
      </c>
    </row>
    <row r="61" spans="1:26" s="24" customFormat="1" hidden="1" outlineLevel="1" x14ac:dyDescent="0.25">
      <c r="A61" s="44"/>
      <c r="B61" s="11" t="str">
        <f>CONCATENATE("          ", "4111", " - ", "NON-TAXABLE SALES-NO VALUE TEX")</f>
        <v xml:space="preserve">          4111 - NON-TAXABLE SALES-NO VALUE TEX</v>
      </c>
      <c r="C61" s="11"/>
      <c r="D61" s="2">
        <f>--4684.53</f>
        <v>4684.53</v>
      </c>
      <c r="E61" s="2"/>
      <c r="F61" s="19"/>
      <c r="G61" s="2"/>
      <c r="H61" s="2">
        <f>--3767.61</f>
        <v>3767.61</v>
      </c>
      <c r="I61" s="2"/>
      <c r="J61" s="19"/>
      <c r="K61" s="2"/>
      <c r="L61" s="2">
        <f t="shared" si="0"/>
        <v>916.91999999999962</v>
      </c>
      <c r="M61" s="2"/>
      <c r="N61" s="19">
        <f t="shared" si="1"/>
        <v>0.24336913852548422</v>
      </c>
      <c r="O61" s="11"/>
      <c r="P61" s="2">
        <f>--12708.5</f>
        <v>12708.5</v>
      </c>
      <c r="Q61" s="2"/>
      <c r="R61" s="19"/>
      <c r="S61" s="2"/>
      <c r="T61" s="2">
        <f>--14922.09</f>
        <v>14922.09</v>
      </c>
      <c r="U61" s="2"/>
      <c r="V61" s="19"/>
      <c r="W61" s="2"/>
      <c r="X61" s="2">
        <f t="shared" si="2"/>
        <v>-2213.59</v>
      </c>
      <c r="Y61" s="2"/>
      <c r="Z61" s="19">
        <f t="shared" si="3"/>
        <v>-0.14834316104513512</v>
      </c>
    </row>
    <row r="62" spans="1:26" s="24" customFormat="1" hidden="1" outlineLevel="1" x14ac:dyDescent="0.25">
      <c r="A62" s="44"/>
      <c r="B62" s="11" t="str">
        <f>CONCATENATE("          ", "4113", " - ", "NON-TAXABLE SALES-TRADE BOOKS")</f>
        <v xml:space="preserve">          4113 - NON-TAXABLE SALES-TRADE BOOKS</v>
      </c>
      <c r="C62" s="11"/>
      <c r="D62" s="2">
        <f t="shared" ref="D62:D63" si="5"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--1146.72</f>
        <v>1146.72</v>
      </c>
      <c r="Q62" s="2"/>
      <c r="R62" s="19"/>
      <c r="S62" s="2"/>
      <c r="T62" s="2">
        <f>--38.23</f>
        <v>38.229999999999997</v>
      </c>
      <c r="U62" s="2"/>
      <c r="V62" s="19"/>
      <c r="W62" s="2"/>
      <c r="X62" s="2">
        <f t="shared" si="2"/>
        <v>1108.49</v>
      </c>
      <c r="Y62" s="2"/>
      <c r="Z62" s="19">
        <f t="shared" si="3"/>
        <v>28.995291655767723</v>
      </c>
    </row>
    <row r="63" spans="1:26" s="24" customFormat="1" hidden="1" outlineLevel="1" x14ac:dyDescent="0.25">
      <c r="A63" s="44"/>
      <c r="B63" s="11" t="str">
        <f>CONCATENATE("          ", "4118", " - ", "NON-TAXABLE SALES-STUDY GUIDES")</f>
        <v xml:space="preserve">          4118 - NON-TAXABLE SALES-STUDY GUIDES</v>
      </c>
      <c r="C63" s="11"/>
      <c r="D63" s="2">
        <f t="shared" si="5"/>
        <v>0</v>
      </c>
      <c r="E63" s="2"/>
      <c r="F63" s="19"/>
      <c r="G63" s="2"/>
      <c r="H63" s="2">
        <f>--87.71</f>
        <v>87.71</v>
      </c>
      <c r="I63" s="2"/>
      <c r="J63" s="19"/>
      <c r="K63" s="2"/>
      <c r="L63" s="2">
        <f t="shared" si="0"/>
        <v>-87.71</v>
      </c>
      <c r="M63" s="2"/>
      <c r="N63" s="19">
        <f t="shared" si="1"/>
        <v>-1</v>
      </c>
      <c r="O63" s="11"/>
      <c r="P63" s="2">
        <f>--41.91</f>
        <v>41.91</v>
      </c>
      <c r="Q63" s="2"/>
      <c r="R63" s="19"/>
      <c r="S63" s="2"/>
      <c r="T63" s="2">
        <f>--220.35</f>
        <v>220.35</v>
      </c>
      <c r="U63" s="2"/>
      <c r="V63" s="19"/>
      <c r="W63" s="2"/>
      <c r="X63" s="2">
        <f t="shared" si="2"/>
        <v>-178.44</v>
      </c>
      <c r="Y63" s="2"/>
      <c r="Z63" s="19">
        <f t="shared" si="3"/>
        <v>-0.80980258679373729</v>
      </c>
    </row>
    <row r="64" spans="1:26" s="24" customFormat="1" hidden="1" outlineLevel="1" x14ac:dyDescent="0.25">
      <c r="A64" s="44"/>
      <c r="B64" s="11" t="str">
        <f>CONCATENATE("          ", "4125", " - ", "NON-TAXABLE SALES-TEST FORMS")</f>
        <v xml:space="preserve">          4125 - NON-TAXABLE SALES-TEST FORMS</v>
      </c>
      <c r="C64" s="11"/>
      <c r="D64" s="2">
        <f>--98.5</f>
        <v>98.5</v>
      </c>
      <c r="E64" s="2"/>
      <c r="F64" s="19"/>
      <c r="G64" s="2"/>
      <c r="H64" s="2">
        <f>--99.83</f>
        <v>99.83</v>
      </c>
      <c r="I64" s="2"/>
      <c r="J64" s="19"/>
      <c r="K64" s="2"/>
      <c r="L64" s="2">
        <f t="shared" si="0"/>
        <v>-1.3299999999999983</v>
      </c>
      <c r="M64" s="2"/>
      <c r="N64" s="19">
        <f t="shared" si="1"/>
        <v>-1.3322648502454156E-2</v>
      </c>
      <c r="O64" s="11"/>
      <c r="P64" s="2">
        <f>--222.68</f>
        <v>222.68</v>
      </c>
      <c r="Q64" s="2"/>
      <c r="R64" s="19"/>
      <c r="S64" s="2"/>
      <c r="T64" s="2">
        <f>--271.87</f>
        <v>271.87</v>
      </c>
      <c r="U64" s="2"/>
      <c r="V64" s="19"/>
      <c r="W64" s="2"/>
      <c r="X64" s="2">
        <f t="shared" si="2"/>
        <v>-49.19</v>
      </c>
      <c r="Y64" s="2"/>
      <c r="Z64" s="19">
        <f t="shared" si="3"/>
        <v>-0.18093206311840215</v>
      </c>
    </row>
    <row r="65" spans="1:26" s="24" customFormat="1" hidden="1" outlineLevel="1" x14ac:dyDescent="0.25">
      <c r="A65" s="44"/>
      <c r="B65" s="11" t="str">
        <f>CONCATENATE("          ", "4126", " - ", "NON-TAXABLE SALES-WRITING INST")</f>
        <v xml:space="preserve">          4126 - NON-TAXABLE SALES-WRITING INST</v>
      </c>
      <c r="C65" s="11"/>
      <c r="D65" s="2">
        <f>--1047.53</f>
        <v>1047.53</v>
      </c>
      <c r="E65" s="2"/>
      <c r="F65" s="19"/>
      <c r="G65" s="2"/>
      <c r="H65" s="2">
        <f>--1102.77</f>
        <v>1102.77</v>
      </c>
      <c r="I65" s="2"/>
      <c r="J65" s="19"/>
      <c r="K65" s="2"/>
      <c r="L65" s="2">
        <f t="shared" si="0"/>
        <v>-55.240000000000009</v>
      </c>
      <c r="M65" s="2"/>
      <c r="N65" s="19">
        <f t="shared" si="1"/>
        <v>-5.0092040951422334E-2</v>
      </c>
      <c r="O65" s="11"/>
      <c r="P65" s="2">
        <f>--2556.64</f>
        <v>2556.64</v>
      </c>
      <c r="Q65" s="2"/>
      <c r="R65" s="19"/>
      <c r="S65" s="2"/>
      <c r="T65" s="2">
        <f>--3108.2</f>
        <v>3108.2</v>
      </c>
      <c r="U65" s="2"/>
      <c r="V65" s="19"/>
      <c r="W65" s="2"/>
      <c r="X65" s="2">
        <f t="shared" si="2"/>
        <v>-551.55999999999995</v>
      </c>
      <c r="Y65" s="2"/>
      <c r="Z65" s="19">
        <f t="shared" si="3"/>
        <v>-0.17745318834051862</v>
      </c>
    </row>
    <row r="66" spans="1:26" s="24" customFormat="1" hidden="1" outlineLevel="1" x14ac:dyDescent="0.25">
      <c r="A66" s="44"/>
      <c r="B66" s="11" t="str">
        <f>CONCATENATE("          ", "4127", " - ", "NON-TAXABLE SALES-SCHOOL SUPPL")</f>
        <v xml:space="preserve">          4127 - NON-TAXABLE SALES-SCHOOL SUPPL</v>
      </c>
      <c r="C66" s="11"/>
      <c r="D66" s="2">
        <f>--1531.2</f>
        <v>1531.2</v>
      </c>
      <c r="E66" s="2"/>
      <c r="F66" s="19"/>
      <c r="G66" s="2"/>
      <c r="H66" s="2">
        <f>--1570.59</f>
        <v>1570.59</v>
      </c>
      <c r="I66" s="2"/>
      <c r="J66" s="19"/>
      <c r="K66" s="2"/>
      <c r="L66" s="2">
        <f t="shared" si="0"/>
        <v>-39.389999999999873</v>
      </c>
      <c r="M66" s="2"/>
      <c r="N66" s="19">
        <f t="shared" si="1"/>
        <v>-2.507974710140767E-2</v>
      </c>
      <c r="O66" s="11"/>
      <c r="P66" s="2">
        <f>--4134.6</f>
        <v>4134.6000000000004</v>
      </c>
      <c r="Q66" s="2"/>
      <c r="R66" s="19"/>
      <c r="S66" s="2"/>
      <c r="T66" s="2">
        <f>--11017.12</f>
        <v>11017.12</v>
      </c>
      <c r="U66" s="2"/>
      <c r="V66" s="19"/>
      <c r="W66" s="2"/>
      <c r="X66" s="2">
        <f t="shared" si="2"/>
        <v>-6882.52</v>
      </c>
      <c r="Y66" s="2"/>
      <c r="Z66" s="19">
        <f t="shared" si="3"/>
        <v>-0.62471135832232016</v>
      </c>
    </row>
    <row r="67" spans="1:26" s="24" customFormat="1" hidden="1" outlineLevel="1" x14ac:dyDescent="0.25">
      <c r="A67" s="44"/>
      <c r="B67" s="11" t="str">
        <f>CONCATENATE("          ", "4128", " - ", "NON-TAXABLE SALES-ART/TECH")</f>
        <v xml:space="preserve">          4128 - NON-TAXABLE SALES-ART/TECH</v>
      </c>
      <c r="C67" s="11"/>
      <c r="D67" s="2">
        <f>--182.3</f>
        <v>182.3</v>
      </c>
      <c r="E67" s="2"/>
      <c r="F67" s="19"/>
      <c r="G67" s="2"/>
      <c r="H67" s="2">
        <f>--119.98</f>
        <v>119.98</v>
      </c>
      <c r="I67" s="2"/>
      <c r="J67" s="19"/>
      <c r="K67" s="2"/>
      <c r="L67" s="2">
        <f t="shared" si="0"/>
        <v>62.320000000000007</v>
      </c>
      <c r="M67" s="2"/>
      <c r="N67" s="19">
        <f t="shared" si="1"/>
        <v>0.51941990331721954</v>
      </c>
      <c r="O67" s="11"/>
      <c r="P67" s="2">
        <f>--531.02</f>
        <v>531.02</v>
      </c>
      <c r="Q67" s="2"/>
      <c r="R67" s="19"/>
      <c r="S67" s="2"/>
      <c r="T67" s="2">
        <f>--776.97</f>
        <v>776.97</v>
      </c>
      <c r="U67" s="2"/>
      <c r="V67" s="19"/>
      <c r="W67" s="2"/>
      <c r="X67" s="2">
        <f t="shared" si="2"/>
        <v>-245.95000000000005</v>
      </c>
      <c r="Y67" s="2"/>
      <c r="Z67" s="19">
        <f t="shared" si="3"/>
        <v>-0.31655018855296863</v>
      </c>
    </row>
    <row r="68" spans="1:26" s="24" customFormat="1" hidden="1" outlineLevel="1" x14ac:dyDescent="0.25">
      <c r="A68" s="44"/>
      <c r="B68" s="11" t="str">
        <f>CONCATENATE("          ", "4131", " - ", "NON-TAXABLE SALES-FOOD")</f>
        <v xml:space="preserve">          4131 - NON-TAXABLE SALES-FOOD</v>
      </c>
      <c r="C68" s="11"/>
      <c r="D68" s="2">
        <f>--3944.61</f>
        <v>3944.61</v>
      </c>
      <c r="E68" s="2"/>
      <c r="F68" s="19"/>
      <c r="G68" s="2"/>
      <c r="H68" s="2">
        <f>--4307.81</f>
        <v>4307.8100000000004</v>
      </c>
      <c r="I68" s="2"/>
      <c r="J68" s="19"/>
      <c r="K68" s="2"/>
      <c r="L68" s="2">
        <f t="shared" si="0"/>
        <v>-363.20000000000027</v>
      </c>
      <c r="M68" s="2"/>
      <c r="N68" s="19">
        <f t="shared" si="1"/>
        <v>-8.4311982190486634E-2</v>
      </c>
      <c r="O68" s="11"/>
      <c r="P68" s="2">
        <f>--43030.34</f>
        <v>43030.34</v>
      </c>
      <c r="Q68" s="2"/>
      <c r="R68" s="19"/>
      <c r="S68" s="2"/>
      <c r="T68" s="2">
        <f>--43367.53</f>
        <v>43367.53</v>
      </c>
      <c r="U68" s="2"/>
      <c r="V68" s="19"/>
      <c r="W68" s="2"/>
      <c r="X68" s="2">
        <f t="shared" si="2"/>
        <v>-337.19000000000233</v>
      </c>
      <c r="Y68" s="2"/>
      <c r="Z68" s="19">
        <f t="shared" si="3"/>
        <v>-7.7751718855097888E-3</v>
      </c>
    </row>
    <row r="69" spans="1:26" s="24" customFormat="1" hidden="1" outlineLevel="1" x14ac:dyDescent="0.25">
      <c r="A69" s="44"/>
      <c r="B69" s="11" t="str">
        <f>CONCATENATE("          ", "4132", " - ", "NON-TAXABLE SALES-JUICE")</f>
        <v xml:space="preserve">          4132 - NON-TAXABLE SALES-JUICE</v>
      </c>
      <c r="C69" s="11"/>
      <c r="D69" s="2">
        <f>--92164.81</f>
        <v>92164.81</v>
      </c>
      <c r="E69" s="2"/>
      <c r="F69" s="19"/>
      <c r="G69" s="2"/>
      <c r="H69" s="2">
        <f>--80267.37</f>
        <v>80267.37</v>
      </c>
      <c r="I69" s="2"/>
      <c r="J69" s="19"/>
      <c r="K69" s="2"/>
      <c r="L69" s="2">
        <f t="shared" si="0"/>
        <v>11897.440000000002</v>
      </c>
      <c r="M69" s="2"/>
      <c r="N69" s="19">
        <f t="shared" si="1"/>
        <v>0.14822262147121554</v>
      </c>
      <c r="O69" s="11"/>
      <c r="P69" s="2">
        <f>--842731.73</f>
        <v>842731.73</v>
      </c>
      <c r="Q69" s="2"/>
      <c r="R69" s="19"/>
      <c r="S69" s="2"/>
      <c r="T69" s="2">
        <f>--760172.9</f>
        <v>760172.9</v>
      </c>
      <c r="U69" s="2"/>
      <c r="V69" s="19"/>
      <c r="W69" s="2"/>
      <c r="X69" s="2">
        <f t="shared" si="2"/>
        <v>82558.829999999958</v>
      </c>
      <c r="Y69" s="2"/>
      <c r="Z69" s="19">
        <f t="shared" si="3"/>
        <v>0.10860533176070859</v>
      </c>
    </row>
    <row r="70" spans="1:26" s="24" customFormat="1" hidden="1" outlineLevel="1" x14ac:dyDescent="0.25">
      <c r="A70" s="44"/>
      <c r="B70" s="11" t="str">
        <f>CONCATENATE("          ", "4133", " - ", "NON-TAXABLE SALES-CANDY")</f>
        <v xml:space="preserve">          4133 - NON-TAXABLE SALES-CANDY</v>
      </c>
      <c r="C70" s="11"/>
      <c r="D70" s="2">
        <f>--1437.99</f>
        <v>1437.99</v>
      </c>
      <c r="E70" s="2"/>
      <c r="F70" s="19"/>
      <c r="G70" s="2"/>
      <c r="H70" s="2">
        <f>--1451.09</f>
        <v>1451.09</v>
      </c>
      <c r="I70" s="2"/>
      <c r="J70" s="19"/>
      <c r="K70" s="2"/>
      <c r="L70" s="2">
        <f t="shared" si="0"/>
        <v>-13.099999999999909</v>
      </c>
      <c r="M70" s="2"/>
      <c r="N70" s="19">
        <f t="shared" si="1"/>
        <v>-9.0276964213108143E-3</v>
      </c>
      <c r="O70" s="11"/>
      <c r="P70" s="2">
        <f>--13559.77</f>
        <v>13559.77</v>
      </c>
      <c r="Q70" s="2"/>
      <c r="R70" s="19"/>
      <c r="S70" s="2"/>
      <c r="T70" s="2">
        <f>--11917.8</f>
        <v>11917.8</v>
      </c>
      <c r="U70" s="2"/>
      <c r="V70" s="19"/>
      <c r="W70" s="2"/>
      <c r="X70" s="2">
        <f t="shared" si="2"/>
        <v>1641.9700000000012</v>
      </c>
      <c r="Y70" s="2"/>
      <c r="Z70" s="19">
        <f t="shared" si="3"/>
        <v>0.1377745892698318</v>
      </c>
    </row>
    <row r="71" spans="1:26" s="24" customFormat="1" hidden="1" outlineLevel="1" x14ac:dyDescent="0.25">
      <c r="A71" s="44"/>
      <c r="B71" s="11" t="str">
        <f>CONCATENATE("          ", "4134", " - ", "NON-TAXABLE SALES-SODA")</f>
        <v xml:space="preserve">          4134 - NON-TAXABLE SALES-SODA</v>
      </c>
      <c r="C71" s="11"/>
      <c r="D71" s="2">
        <f>--8.02</f>
        <v>8.02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8.02</v>
      </c>
      <c r="M71" s="2"/>
      <c r="N71" s="19">
        <f t="shared" si="1"/>
        <v>0</v>
      </c>
      <c r="O71" s="11"/>
      <c r="P71" s="2">
        <f>--8.41</f>
        <v>8.41</v>
      </c>
      <c r="Q71" s="2"/>
      <c r="R71" s="19"/>
      <c r="S71" s="2"/>
      <c r="T71" s="2">
        <f>--163.41</f>
        <v>163.41</v>
      </c>
      <c r="U71" s="2"/>
      <c r="V71" s="19"/>
      <c r="W71" s="2"/>
      <c r="X71" s="2">
        <f t="shared" si="2"/>
        <v>-155</v>
      </c>
      <c r="Y71" s="2"/>
      <c r="Z71" s="19">
        <f t="shared" si="3"/>
        <v>-0.94853436142218961</v>
      </c>
    </row>
    <row r="72" spans="1:26" s="24" customFormat="1" hidden="1" outlineLevel="1" x14ac:dyDescent="0.25">
      <c r="A72" s="44"/>
      <c r="B72" s="11" t="str">
        <f>CONCATENATE("          ", "4135", " - ", "NON-TAXABLE SALES")</f>
        <v xml:space="preserve">          4135 - NON-TAXABLE SALES</v>
      </c>
      <c r="C72" s="11"/>
      <c r="D72" s="2">
        <f>--21.54</f>
        <v>21.54</v>
      </c>
      <c r="E72" s="2"/>
      <c r="F72" s="19"/>
      <c r="G72" s="2"/>
      <c r="H72" s="2">
        <f>--32.31</f>
        <v>32.31</v>
      </c>
      <c r="I72" s="2"/>
      <c r="J72" s="19"/>
      <c r="K72" s="2"/>
      <c r="L72" s="2">
        <f t="shared" si="0"/>
        <v>-10.770000000000003</v>
      </c>
      <c r="M72" s="2"/>
      <c r="N72" s="19">
        <f t="shared" si="1"/>
        <v>-0.33333333333333343</v>
      </c>
      <c r="O72" s="11"/>
      <c r="P72" s="2">
        <f>--139.86</f>
        <v>139.86000000000001</v>
      </c>
      <c r="Q72" s="2"/>
      <c r="R72" s="19"/>
      <c r="S72" s="2"/>
      <c r="T72" s="2">
        <f>--204.91</f>
        <v>204.91</v>
      </c>
      <c r="U72" s="2"/>
      <c r="V72" s="19"/>
      <c r="W72" s="2"/>
      <c r="X72" s="2">
        <f t="shared" si="2"/>
        <v>-65.049999999999983</v>
      </c>
      <c r="Y72" s="2"/>
      <c r="Z72" s="19">
        <f t="shared" si="3"/>
        <v>-0.31745644429261621</v>
      </c>
    </row>
    <row r="73" spans="1:26" s="24" customFormat="1" hidden="1" outlineLevel="1" x14ac:dyDescent="0.25">
      <c r="A73" s="44"/>
      <c r="B73" s="11" t="str">
        <f>CONCATENATE("          ", "4137", " - ", "NON-TAXABLE SALES-WATER")</f>
        <v xml:space="preserve">          4137 - NON-TAXABLE SALES-WATER</v>
      </c>
      <c r="C73" s="11"/>
      <c r="D73" s="2">
        <f>--768.57</f>
        <v>768.57</v>
      </c>
      <c r="E73" s="2"/>
      <c r="F73" s="19"/>
      <c r="G73" s="2"/>
      <c r="H73" s="2">
        <f>--777.36</f>
        <v>777.36</v>
      </c>
      <c r="I73" s="2"/>
      <c r="J73" s="19"/>
      <c r="K73" s="2"/>
      <c r="L73" s="2">
        <f t="shared" si="0"/>
        <v>-8.7899999999999636</v>
      </c>
      <c r="M73" s="2"/>
      <c r="N73" s="19">
        <f t="shared" si="1"/>
        <v>-1.1307502315529438E-2</v>
      </c>
      <c r="O73" s="11"/>
      <c r="P73" s="2">
        <f>--7831.74</f>
        <v>7831.74</v>
      </c>
      <c r="Q73" s="2"/>
      <c r="R73" s="19"/>
      <c r="S73" s="2"/>
      <c r="T73" s="2">
        <f>--7713.96</f>
        <v>7713.96</v>
      </c>
      <c r="U73" s="2"/>
      <c r="V73" s="19"/>
      <c r="W73" s="2"/>
      <c r="X73" s="2">
        <f t="shared" si="2"/>
        <v>117.77999999999975</v>
      </c>
      <c r="Y73" s="2"/>
      <c r="Z73" s="19">
        <f t="shared" si="3"/>
        <v>1.5268422444503179E-2</v>
      </c>
    </row>
    <row r="74" spans="1:26" s="24" customFormat="1" hidden="1" outlineLevel="1" x14ac:dyDescent="0.25">
      <c r="A74" s="44"/>
      <c r="B74" s="11" t="str">
        <f>CONCATENATE("          ", "4140", " - ", "NON-TAXABLE SALES-LOGO CLOTHIN")</f>
        <v xml:space="preserve">          4140 - NON-TAXABLE SALES-LOGO CLOTHIN</v>
      </c>
      <c r="C74" s="11"/>
      <c r="D74" s="2">
        <f>--3758.83</f>
        <v>3758.83</v>
      </c>
      <c r="E74" s="2"/>
      <c r="F74" s="19"/>
      <c r="G74" s="2"/>
      <c r="H74" s="2">
        <f>--3145.88</f>
        <v>3145.88</v>
      </c>
      <c r="I74" s="2"/>
      <c r="J74" s="19"/>
      <c r="K74" s="2"/>
      <c r="L74" s="2">
        <f t="shared" si="0"/>
        <v>612.94999999999982</v>
      </c>
      <c r="M74" s="2"/>
      <c r="N74" s="19">
        <f t="shared" si="1"/>
        <v>0.19484214273907455</v>
      </c>
      <c r="O74" s="11"/>
      <c r="P74" s="2">
        <f>--42582.67</f>
        <v>42582.67</v>
      </c>
      <c r="Q74" s="2"/>
      <c r="R74" s="19"/>
      <c r="S74" s="2"/>
      <c r="T74" s="2">
        <f>--23533.95</f>
        <v>23533.95</v>
      </c>
      <c r="U74" s="2"/>
      <c r="V74" s="19"/>
      <c r="W74" s="2"/>
      <c r="X74" s="2">
        <f t="shared" si="2"/>
        <v>19048.719999999998</v>
      </c>
      <c r="Y74" s="2"/>
      <c r="Z74" s="19">
        <f t="shared" si="3"/>
        <v>0.80941448418136341</v>
      </c>
    </row>
    <row r="75" spans="1:26" s="24" customFormat="1" hidden="1" outlineLevel="1" x14ac:dyDescent="0.25">
      <c r="A75" s="44"/>
      <c r="B75" s="11" t="str">
        <f>CONCATENATE("          ", "4141", " - ", "NON-TAXABLE SALES-LOGO GIFTS")</f>
        <v xml:space="preserve">          4141 - NON-TAXABLE SALES-LOGO GIFTS</v>
      </c>
      <c r="C75" s="11"/>
      <c r="D75" s="2">
        <f>--1719.12</f>
        <v>1719.12</v>
      </c>
      <c r="E75" s="2"/>
      <c r="F75" s="19"/>
      <c r="G75" s="2"/>
      <c r="H75" s="2">
        <f>--972.25</f>
        <v>972.25</v>
      </c>
      <c r="I75" s="2"/>
      <c r="J75" s="19"/>
      <c r="K75" s="2"/>
      <c r="L75" s="2">
        <f t="shared" si="0"/>
        <v>746.86999999999989</v>
      </c>
      <c r="M75" s="2"/>
      <c r="N75" s="19">
        <f t="shared" si="1"/>
        <v>0.76818719465158125</v>
      </c>
      <c r="O75" s="11"/>
      <c r="P75" s="2">
        <f>--4249</f>
        <v>4249</v>
      </c>
      <c r="Q75" s="2"/>
      <c r="R75" s="19"/>
      <c r="S75" s="2"/>
      <c r="T75" s="2">
        <f>--4344.58</f>
        <v>4344.58</v>
      </c>
      <c r="U75" s="2"/>
      <c r="V75" s="19"/>
      <c r="W75" s="2"/>
      <c r="X75" s="2">
        <f t="shared" si="2"/>
        <v>-95.579999999999927</v>
      </c>
      <c r="Y75" s="2"/>
      <c r="Z75" s="19">
        <f t="shared" si="3"/>
        <v>-2.1999825069396794E-2</v>
      </c>
    </row>
    <row r="76" spans="1:26" s="24" customFormat="1" hidden="1" outlineLevel="1" x14ac:dyDescent="0.25">
      <c r="A76" s="44"/>
      <c r="B76" s="11" t="str">
        <f>CONCATENATE("          ", "4142", " - ", "NON-TAXABLE SALES-EVERYDAY GIF")</f>
        <v xml:space="preserve">          4142 - NON-TAXABLE SALES-EVERYDAY GIF</v>
      </c>
      <c r="C76" s="11"/>
      <c r="D76" s="2">
        <f>--1947.91</f>
        <v>1947.91</v>
      </c>
      <c r="E76" s="2"/>
      <c r="F76" s="19"/>
      <c r="G76" s="2"/>
      <c r="H76" s="2">
        <f>--969.05</f>
        <v>969.05</v>
      </c>
      <c r="I76" s="2"/>
      <c r="J76" s="19"/>
      <c r="K76" s="2"/>
      <c r="L76" s="2">
        <f t="shared" si="0"/>
        <v>978.86000000000013</v>
      </c>
      <c r="M76" s="2"/>
      <c r="N76" s="19">
        <f t="shared" si="1"/>
        <v>1.0101233166503278</v>
      </c>
      <c r="O76" s="11"/>
      <c r="P76" s="2">
        <f>--12435.29</f>
        <v>12435.29</v>
      </c>
      <c r="Q76" s="2"/>
      <c r="R76" s="19"/>
      <c r="S76" s="2"/>
      <c r="T76" s="2">
        <f>--12814.8</f>
        <v>12814.8</v>
      </c>
      <c r="U76" s="2"/>
      <c r="V76" s="19"/>
      <c r="W76" s="2"/>
      <c r="X76" s="2">
        <f t="shared" si="2"/>
        <v>-379.5099999999984</v>
      </c>
      <c r="Y76" s="2"/>
      <c r="Z76" s="19">
        <f t="shared" si="3"/>
        <v>-2.9614976433498644E-2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--374.48</f>
        <v>374.48</v>
      </c>
      <c r="E77" s="2"/>
      <c r="F77" s="19"/>
      <c r="G77" s="2"/>
      <c r="H77" s="2">
        <f>--39.85</f>
        <v>39.85</v>
      </c>
      <c r="I77" s="2"/>
      <c r="J77" s="19"/>
      <c r="K77" s="2"/>
      <c r="L77" s="2">
        <f t="shared" si="0"/>
        <v>334.63</v>
      </c>
      <c r="M77" s="2"/>
      <c r="N77" s="19">
        <f t="shared" si="1"/>
        <v>8.3972396486825591</v>
      </c>
      <c r="O77" s="11"/>
      <c r="P77" s="2">
        <f>--967.33</f>
        <v>967.33</v>
      </c>
      <c r="Q77" s="2"/>
      <c r="R77" s="19"/>
      <c r="S77" s="2"/>
      <c r="T77" s="2">
        <f>--400.39</f>
        <v>400.39</v>
      </c>
      <c r="U77" s="2"/>
      <c r="V77" s="19"/>
      <c r="W77" s="2"/>
      <c r="X77" s="2">
        <f t="shared" si="2"/>
        <v>566.94000000000005</v>
      </c>
      <c r="Y77" s="2"/>
      <c r="Z77" s="19">
        <f t="shared" si="3"/>
        <v>1.4159694298059393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>
        <f>--79.8</f>
        <v>79.8</v>
      </c>
      <c r="I78" s="2"/>
      <c r="J78" s="19"/>
      <c r="K78" s="2"/>
      <c r="L78" s="2">
        <f t="shared" si="0"/>
        <v>-79.8</v>
      </c>
      <c r="M78" s="2"/>
      <c r="N78" s="19">
        <f t="shared" si="1"/>
        <v>-1</v>
      </c>
      <c r="O78" s="11"/>
      <c r="P78" s="2">
        <f>--140</f>
        <v>140</v>
      </c>
      <c r="Q78" s="2"/>
      <c r="R78" s="19"/>
      <c r="S78" s="2"/>
      <c r="T78" s="2">
        <f>--1827.2</f>
        <v>1827.2</v>
      </c>
      <c r="U78" s="2"/>
      <c r="V78" s="19"/>
      <c r="W78" s="2"/>
      <c r="X78" s="2">
        <f t="shared" si="2"/>
        <v>-1687.2</v>
      </c>
      <c r="Y78" s="2"/>
      <c r="Z78" s="19">
        <f t="shared" si="3"/>
        <v>-0.92338003502626975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--17086.55</f>
        <v>17086.55</v>
      </c>
      <c r="E79" s="2"/>
      <c r="F79" s="19"/>
      <c r="G79" s="2"/>
      <c r="H79" s="2">
        <f>--18820.04</f>
        <v>18820.04</v>
      </c>
      <c r="I79" s="2"/>
      <c r="J79" s="19"/>
      <c r="K79" s="2"/>
      <c r="L79" s="2">
        <f t="shared" si="0"/>
        <v>-1733.4900000000016</v>
      </c>
      <c r="M79" s="2"/>
      <c r="N79" s="19">
        <f t="shared" si="1"/>
        <v>-9.2108730905991781E-2</v>
      </c>
      <c r="O79" s="11"/>
      <c r="P79" s="2">
        <f>--163554.5</f>
        <v>163554.5</v>
      </c>
      <c r="Q79" s="2"/>
      <c r="R79" s="19"/>
      <c r="S79" s="2"/>
      <c r="T79" s="2">
        <f>--168304.04</f>
        <v>168304.04</v>
      </c>
      <c r="U79" s="2"/>
      <c r="V79" s="19"/>
      <c r="W79" s="2"/>
      <c r="X79" s="2">
        <f t="shared" si="2"/>
        <v>-4749.5400000000081</v>
      </c>
      <c r="Y79" s="2"/>
      <c r="Z79" s="19">
        <f t="shared" si="3"/>
        <v>-2.8219999947713719E-2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--11.5</f>
        <v>11.5</v>
      </c>
      <c r="E80" s="2"/>
      <c r="F80" s="19"/>
      <c r="G80" s="2"/>
      <c r="H80" s="2">
        <f>--31</f>
        <v>31</v>
      </c>
      <c r="I80" s="2"/>
      <c r="J80" s="19"/>
      <c r="K80" s="2"/>
      <c r="L80" s="2">
        <f t="shared" si="0"/>
        <v>-19.5</v>
      </c>
      <c r="M80" s="2"/>
      <c r="N80" s="19">
        <f t="shared" si="1"/>
        <v>-0.62903225806451613</v>
      </c>
      <c r="O80" s="11"/>
      <c r="P80" s="2">
        <f>--318.9</f>
        <v>318.89999999999998</v>
      </c>
      <c r="Q80" s="2"/>
      <c r="R80" s="19"/>
      <c r="S80" s="2"/>
      <c r="T80" s="2">
        <f>--439.5</f>
        <v>439.5</v>
      </c>
      <c r="U80" s="2"/>
      <c r="V80" s="19"/>
      <c r="W80" s="2"/>
      <c r="X80" s="2">
        <f t="shared" si="2"/>
        <v>-120.60000000000002</v>
      </c>
      <c r="Y80" s="2"/>
      <c r="Z80" s="19">
        <f t="shared" si="3"/>
        <v>-0.27440273037542667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--762392.53</f>
        <v>762392.53</v>
      </c>
      <c r="E81" s="2"/>
      <c r="F81" s="19"/>
      <c r="G81" s="2"/>
      <c r="H81" s="2">
        <f>--712370.25</f>
        <v>712370.25</v>
      </c>
      <c r="I81" s="2"/>
      <c r="J81" s="19"/>
      <c r="K81" s="2"/>
      <c r="L81" s="2">
        <f t="shared" si="0"/>
        <v>50022.280000000028</v>
      </c>
      <c r="M81" s="2"/>
      <c r="N81" s="19">
        <f t="shared" si="1"/>
        <v>7.0219496111748103E-2</v>
      </c>
      <c r="O81" s="11"/>
      <c r="P81" s="2">
        <f>--8132521.01</f>
        <v>8132521.0099999998</v>
      </c>
      <c r="Q81" s="2"/>
      <c r="R81" s="19"/>
      <c r="S81" s="2"/>
      <c r="T81" s="2">
        <f>--7828913.66</f>
        <v>7828913.6600000001</v>
      </c>
      <c r="U81" s="2"/>
      <c r="V81" s="19"/>
      <c r="W81" s="2"/>
      <c r="X81" s="2">
        <f t="shared" si="2"/>
        <v>303607.34999999963</v>
      </c>
      <c r="Y81" s="2"/>
      <c r="Z81" s="19">
        <f t="shared" si="3"/>
        <v>3.8780265460227288E-2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--4794.1</f>
        <v>4794.1000000000004</v>
      </c>
      <c r="E82" s="2"/>
      <c r="F82" s="19"/>
      <c r="G82" s="2"/>
      <c r="H82" s="2">
        <f>--4850.4</f>
        <v>4850.3999999999996</v>
      </c>
      <c r="I82" s="2"/>
      <c r="J82" s="19"/>
      <c r="K82" s="2"/>
      <c r="L82" s="2">
        <f t="shared" si="0"/>
        <v>-56.299999999999272</v>
      </c>
      <c r="M82" s="2"/>
      <c r="N82" s="19">
        <f t="shared" si="1"/>
        <v>-1.1607290120402292E-2</v>
      </c>
      <c r="O82" s="11"/>
      <c r="P82" s="2">
        <f>--39428.9</f>
        <v>39428.9</v>
      </c>
      <c r="Q82" s="2"/>
      <c r="R82" s="19"/>
      <c r="S82" s="2"/>
      <c r="T82" s="2">
        <f>--45353.92</f>
        <v>45353.919999999998</v>
      </c>
      <c r="U82" s="2"/>
      <c r="V82" s="19"/>
      <c r="W82" s="2"/>
      <c r="X82" s="2">
        <f t="shared" si="2"/>
        <v>-5925.0199999999968</v>
      </c>
      <c r="Y82" s="2"/>
      <c r="Z82" s="19">
        <f t="shared" si="3"/>
        <v>-0.13063964482011692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--44623.25</f>
        <v>44623.25</v>
      </c>
      <c r="E83" s="2"/>
      <c r="F83" s="19"/>
      <c r="G83" s="2"/>
      <c r="H83" s="2">
        <f>--45518.15</f>
        <v>45518.15</v>
      </c>
      <c r="I83" s="2"/>
      <c r="J83" s="19"/>
      <c r="K83" s="2"/>
      <c r="L83" s="2">
        <f t="shared" si="0"/>
        <v>-894.90000000000146</v>
      </c>
      <c r="M83" s="2"/>
      <c r="N83" s="19">
        <f t="shared" si="1"/>
        <v>-1.9660289357102637E-2</v>
      </c>
      <c r="O83" s="11"/>
      <c r="P83" s="2">
        <f>--276939.79</f>
        <v>276939.78999999998</v>
      </c>
      <c r="Q83" s="2"/>
      <c r="R83" s="19"/>
      <c r="S83" s="2"/>
      <c r="T83" s="2">
        <f>--245454.41</f>
        <v>245454.41</v>
      </c>
      <c r="U83" s="2"/>
      <c r="V83" s="19"/>
      <c r="W83" s="2"/>
      <c r="X83" s="2">
        <f t="shared" si="2"/>
        <v>31485.379999999976</v>
      </c>
      <c r="Y83" s="2"/>
      <c r="Z83" s="19">
        <f t="shared" si="3"/>
        <v>0.12827384115852705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>--58440.71</f>
        <v>58440.71</v>
      </c>
      <c r="E84" s="2"/>
      <c r="F84" s="19"/>
      <c r="G84" s="2"/>
      <c r="H84" s="2">
        <f>--59825.5</f>
        <v>59825.5</v>
      </c>
      <c r="I84" s="2"/>
      <c r="J84" s="19"/>
      <c r="K84" s="2"/>
      <c r="L84" s="2">
        <f t="shared" si="0"/>
        <v>-1384.7900000000009</v>
      </c>
      <c r="M84" s="2"/>
      <c r="N84" s="19">
        <f t="shared" si="1"/>
        <v>-2.3147152969887438E-2</v>
      </c>
      <c r="O84" s="11"/>
      <c r="P84" s="2">
        <f>--546895.06</f>
        <v>546895.06000000006</v>
      </c>
      <c r="Q84" s="2"/>
      <c r="R84" s="19"/>
      <c r="S84" s="2"/>
      <c r="T84" s="2">
        <f>--512235.59</f>
        <v>512235.59</v>
      </c>
      <c r="U84" s="2"/>
      <c r="V84" s="19"/>
      <c r="W84" s="2"/>
      <c r="X84" s="2">
        <f t="shared" si="2"/>
        <v>34659.47000000003</v>
      </c>
      <c r="Y84" s="2"/>
      <c r="Z84" s="19">
        <f t="shared" si="3"/>
        <v>6.7663143047128033E-2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>--44520.71</f>
        <v>44520.71</v>
      </c>
      <c r="E85" s="2"/>
      <c r="F85" s="19"/>
      <c r="G85" s="2"/>
      <c r="H85" s="2">
        <f>--41641.16</f>
        <v>41641.160000000003</v>
      </c>
      <c r="I85" s="2"/>
      <c r="J85" s="19"/>
      <c r="K85" s="2"/>
      <c r="L85" s="2">
        <f t="shared" si="0"/>
        <v>2879.5499999999956</v>
      </c>
      <c r="M85" s="2"/>
      <c r="N85" s="19">
        <f t="shared" si="1"/>
        <v>6.9151531801707619E-2</v>
      </c>
      <c r="O85" s="11"/>
      <c r="P85" s="2">
        <f>--363136.65</f>
        <v>363136.65</v>
      </c>
      <c r="Q85" s="2"/>
      <c r="R85" s="19"/>
      <c r="S85" s="2"/>
      <c r="T85" s="2">
        <f>--354025.02</f>
        <v>354025.02</v>
      </c>
      <c r="U85" s="2"/>
      <c r="V85" s="19"/>
      <c r="W85" s="2"/>
      <c r="X85" s="2">
        <f t="shared" si="2"/>
        <v>9111.6300000000047</v>
      </c>
      <c r="Y85" s="2"/>
      <c r="Z85" s="19">
        <f t="shared" si="3"/>
        <v>2.573724874021617E-2</v>
      </c>
    </row>
    <row r="86" spans="1:26" s="24" customFormat="1" hidden="1" outlineLevel="1" x14ac:dyDescent="0.25">
      <c r="A86" s="44"/>
      <c r="B86" s="11" t="str">
        <f>CONCATENATE("          ", "4159", " - ", "NON-TAXABLE SALES-FOOD")</f>
        <v xml:space="preserve">          4159 - NON-TAXABLE SALES-FOOD</v>
      </c>
      <c r="C86" s="11"/>
      <c r="D86" s="2">
        <f>0</f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--1054.9</f>
        <v>1054.9000000000001</v>
      </c>
      <c r="U86" s="2"/>
      <c r="V86" s="19"/>
      <c r="W86" s="2"/>
      <c r="X86" s="2">
        <f t="shared" si="2"/>
        <v>-1054.9000000000001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"4181", " - ", "NON-TAXABLE SALES-ELECTRONICS")</f>
        <v xml:space="preserve">          4181 - NON-TAXABLE SALES-ELECTRONICS</v>
      </c>
      <c r="C87" s="11"/>
      <c r="D87" s="2">
        <f>--343.91</f>
        <v>343.91</v>
      </c>
      <c r="E87" s="2"/>
      <c r="F87" s="19"/>
      <c r="G87" s="2"/>
      <c r="H87" s="2">
        <f>--2774.02</f>
        <v>2774.02</v>
      </c>
      <c r="I87" s="2"/>
      <c r="J87" s="19"/>
      <c r="K87" s="2"/>
      <c r="L87" s="2">
        <f t="shared" si="0"/>
        <v>-2430.11</v>
      </c>
      <c r="M87" s="2"/>
      <c r="N87" s="19">
        <f t="shared" si="1"/>
        <v>-0.87602468619548535</v>
      </c>
      <c r="O87" s="11"/>
      <c r="P87" s="2">
        <f>--1806.42</f>
        <v>1806.42</v>
      </c>
      <c r="Q87" s="2"/>
      <c r="R87" s="19"/>
      <c r="S87" s="2"/>
      <c r="T87" s="2">
        <f>--9040.48</f>
        <v>9040.48</v>
      </c>
      <c r="U87" s="2"/>
      <c r="V87" s="19"/>
      <c r="W87" s="2"/>
      <c r="X87" s="2">
        <f t="shared" si="2"/>
        <v>-7234.0599999999995</v>
      </c>
      <c r="Y87" s="2"/>
      <c r="Z87" s="19">
        <f t="shared" si="3"/>
        <v>-0.80018538838645736</v>
      </c>
    </row>
    <row r="88" spans="1:26" s="24" customFormat="1" hidden="1" outlineLevel="1" x14ac:dyDescent="0.25">
      <c r="A88" s="44"/>
      <c r="B88" s="11" t="str">
        <f>CONCATENATE("          ", "4182", " - ", "NON-TAXABLE SALES-COMPUTER HAR")</f>
        <v xml:space="preserve">          4182 - NON-TAXABLE SALES-COMPUTER HAR</v>
      </c>
      <c r="C88" s="11"/>
      <c r="D88" s="2">
        <f>--16176.97</f>
        <v>16176.97</v>
      </c>
      <c r="E88" s="2"/>
      <c r="F88" s="19"/>
      <c r="G88" s="2"/>
      <c r="H88" s="2">
        <f>--12767</f>
        <v>12767</v>
      </c>
      <c r="I88" s="2"/>
      <c r="J88" s="19"/>
      <c r="K88" s="2"/>
      <c r="L88" s="2">
        <f t="shared" si="0"/>
        <v>3409.9699999999993</v>
      </c>
      <c r="M88" s="2"/>
      <c r="N88" s="19">
        <f t="shared" si="1"/>
        <v>0.26709250411216412</v>
      </c>
      <c r="O88" s="11"/>
      <c r="P88" s="2">
        <f>--86971.97</f>
        <v>86971.97</v>
      </c>
      <c r="Q88" s="2"/>
      <c r="R88" s="19"/>
      <c r="S88" s="2"/>
      <c r="T88" s="2">
        <f>--179388.85</f>
        <v>179388.85</v>
      </c>
      <c r="U88" s="2"/>
      <c r="V88" s="19"/>
      <c r="W88" s="2"/>
      <c r="X88" s="2">
        <f t="shared" si="2"/>
        <v>-92416.88</v>
      </c>
      <c r="Y88" s="2"/>
      <c r="Z88" s="19">
        <f t="shared" si="3"/>
        <v>-0.51517627767835072</v>
      </c>
    </row>
    <row r="89" spans="1:26" s="24" customFormat="1" hidden="1" outlineLevel="1" x14ac:dyDescent="0.25">
      <c r="A89" s="44"/>
      <c r="B89" s="11" t="str">
        <f>CONCATENATE("          ", "4183", " - ", "NON-TAXABLE SALES-COMPUTER EQU")</f>
        <v xml:space="preserve">          4183 - NON-TAXABLE SALES-COMPUTER EQU</v>
      </c>
      <c r="C89" s="11"/>
      <c r="D89" s="2">
        <f>--777.81</f>
        <v>777.81</v>
      </c>
      <c r="E89" s="2"/>
      <c r="F89" s="19"/>
      <c r="G89" s="2"/>
      <c r="H89" s="2">
        <f>--843.49</f>
        <v>843.49</v>
      </c>
      <c r="I89" s="2"/>
      <c r="J89" s="19"/>
      <c r="K89" s="2"/>
      <c r="L89" s="2">
        <f t="shared" si="0"/>
        <v>-65.680000000000064</v>
      </c>
      <c r="M89" s="2"/>
      <c r="N89" s="19">
        <f t="shared" si="1"/>
        <v>-7.7866957521725289E-2</v>
      </c>
      <c r="O89" s="11"/>
      <c r="P89" s="2">
        <f>--4349.44</f>
        <v>4349.4399999999996</v>
      </c>
      <c r="Q89" s="2"/>
      <c r="R89" s="19"/>
      <c r="S89" s="2"/>
      <c r="T89" s="2">
        <f>--6273.97</f>
        <v>6273.97</v>
      </c>
      <c r="U89" s="2"/>
      <c r="V89" s="19"/>
      <c r="W89" s="2"/>
      <c r="X89" s="2">
        <f t="shared" si="2"/>
        <v>-1924.5300000000007</v>
      </c>
      <c r="Y89" s="2"/>
      <c r="Z89" s="19">
        <f t="shared" si="3"/>
        <v>-0.30674835869473405</v>
      </c>
    </row>
    <row r="90" spans="1:26" s="24" customFormat="1" hidden="1" outlineLevel="1" x14ac:dyDescent="0.25">
      <c r="A90" s="44"/>
      <c r="B90" s="11" t="str">
        <f>CONCATENATE("          ", "4184", " - ", "NON-TAXABLE SALES-SOFTWARE LIC")</f>
        <v xml:space="preserve">          4184 - NON-TAXABLE SALES-SOFTWARE LIC</v>
      </c>
      <c r="C90" s="11"/>
      <c r="D90" s="2">
        <f>0</f>
        <v>0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--2728</f>
        <v>2728</v>
      </c>
      <c r="Q90" s="2"/>
      <c r="R90" s="19"/>
      <c r="S90" s="2"/>
      <c r="T90" s="2">
        <f>--486</f>
        <v>486</v>
      </c>
      <c r="U90" s="2"/>
      <c r="V90" s="19"/>
      <c r="W90" s="2"/>
      <c r="X90" s="2">
        <f t="shared" si="2"/>
        <v>2242</v>
      </c>
      <c r="Y90" s="2"/>
      <c r="Z90" s="19">
        <f t="shared" si="3"/>
        <v>4.6131687242798352</v>
      </c>
    </row>
    <row r="91" spans="1:26" s="24" customFormat="1" hidden="1" outlineLevel="1" x14ac:dyDescent="0.25">
      <c r="A91" s="44"/>
      <c r="B91" s="11" t="str">
        <f>CONCATENATE("          ", "4185", " - ", "NON-TAXABLE SALES-SOFTWARE")</f>
        <v xml:space="preserve">          4185 - NON-TAXABLE SALES-SOFTWARE</v>
      </c>
      <c r="C91" s="11"/>
      <c r="D91" s="2">
        <f>--1925.98</f>
        <v>1925.98</v>
      </c>
      <c r="E91" s="2"/>
      <c r="F91" s="19"/>
      <c r="G91" s="2"/>
      <c r="H91" s="2">
        <f>--149.99</f>
        <v>149.99</v>
      </c>
      <c r="I91" s="2"/>
      <c r="J91" s="19"/>
      <c r="K91" s="2"/>
      <c r="L91" s="2">
        <f t="shared" si="0"/>
        <v>1775.99</v>
      </c>
      <c r="M91" s="2"/>
      <c r="N91" s="19">
        <f t="shared" si="1"/>
        <v>11.840722714847656</v>
      </c>
      <c r="O91" s="11"/>
      <c r="P91" s="2">
        <f>--11327.82</f>
        <v>11327.82</v>
      </c>
      <c r="Q91" s="2"/>
      <c r="R91" s="19"/>
      <c r="S91" s="2"/>
      <c r="T91" s="2">
        <f>--3074.9</f>
        <v>3074.9</v>
      </c>
      <c r="U91" s="2"/>
      <c r="V91" s="19"/>
      <c r="W91" s="2"/>
      <c r="X91" s="2">
        <f t="shared" si="2"/>
        <v>8252.92</v>
      </c>
      <c r="Y91" s="2"/>
      <c r="Z91" s="19">
        <f t="shared" si="3"/>
        <v>2.6839637061367849</v>
      </c>
    </row>
    <row r="92" spans="1:26" s="24" customFormat="1" hidden="1" outlineLevel="1" x14ac:dyDescent="0.25">
      <c r="A92" s="44"/>
      <c r="B92" s="11" t="str">
        <f>CONCATENATE("          ", "4186", " - ", "NON-TAXABLE SALES-COMPUTER SUP")</f>
        <v xml:space="preserve">          4186 - NON-TAXABLE SALES-COMPUTER SUP</v>
      </c>
      <c r="C92" s="11"/>
      <c r="D92" s="2">
        <f>--326.92</f>
        <v>326.92</v>
      </c>
      <c r="E92" s="2"/>
      <c r="F92" s="19"/>
      <c r="G92" s="2"/>
      <c r="H92" s="2">
        <f>--1007.32</f>
        <v>1007.32</v>
      </c>
      <c r="I92" s="2"/>
      <c r="J92" s="19"/>
      <c r="K92" s="2"/>
      <c r="L92" s="2">
        <f t="shared" si="0"/>
        <v>-680.40000000000009</v>
      </c>
      <c r="M92" s="2"/>
      <c r="N92" s="19">
        <f t="shared" si="1"/>
        <v>-0.67545566453559946</v>
      </c>
      <c r="O92" s="11"/>
      <c r="P92" s="2">
        <f>--1949.31</f>
        <v>1949.31</v>
      </c>
      <c r="Q92" s="2"/>
      <c r="R92" s="19"/>
      <c r="S92" s="2"/>
      <c r="T92" s="2">
        <f>--3884.37</f>
        <v>3884.37</v>
      </c>
      <c r="U92" s="2"/>
      <c r="V92" s="19"/>
      <c r="W92" s="2"/>
      <c r="X92" s="2">
        <f t="shared" si="2"/>
        <v>-1935.06</v>
      </c>
      <c r="Y92" s="2"/>
      <c r="Z92" s="19">
        <f t="shared" si="3"/>
        <v>-0.49816572571613932</v>
      </c>
    </row>
    <row r="93" spans="1:26" s="24" customFormat="1" hidden="1" outlineLevel="1" x14ac:dyDescent="0.25">
      <c r="A93" s="44"/>
      <c r="B93" s="11" t="str">
        <f>CONCATENATE("          ", "4188", " - ", "NON-TAXABLE SALES-MUSIC")</f>
        <v xml:space="preserve">          4188 - NON-TAXABLE SALES-MUSIC</v>
      </c>
      <c r="C93" s="11"/>
      <c r="D93" s="2">
        <f>0</f>
        <v>0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--219.96</f>
        <v>219.96</v>
      </c>
      <c r="Q93" s="2"/>
      <c r="R93" s="19"/>
      <c r="S93" s="2"/>
      <c r="T93" s="2">
        <f>--199.98</f>
        <v>199.98</v>
      </c>
      <c r="U93" s="2"/>
      <c r="V93" s="19"/>
      <c r="W93" s="2"/>
      <c r="X93" s="2">
        <f t="shared" si="2"/>
        <v>19.980000000000018</v>
      </c>
      <c r="Y93" s="2"/>
      <c r="Z93" s="19">
        <f t="shared" si="3"/>
        <v>9.9909990999100001E-2</v>
      </c>
    </row>
    <row r="94" spans="1:26" s="24" customFormat="1" hidden="1" outlineLevel="1" x14ac:dyDescent="0.25">
      <c r="A94" s="44"/>
      <c r="B94" s="11" t="str">
        <f>CONCATENATE("          ", "4201", " - ", "SALES RETURN TAXABLE-NEW TEXT")</f>
        <v xml:space="preserve">          4201 - SALES RETURN TAXABLE-NEW TEXT</v>
      </c>
      <c r="C94" s="11"/>
      <c r="D94" s="2">
        <f>-37895.48</f>
        <v>-37895.480000000003</v>
      </c>
      <c r="E94" s="2"/>
      <c r="F94" s="19"/>
      <c r="G94" s="2"/>
      <c r="H94" s="2">
        <f>-52388.4</f>
        <v>-52388.4</v>
      </c>
      <c r="I94" s="2"/>
      <c r="J94" s="19"/>
      <c r="K94" s="2"/>
      <c r="L94" s="2">
        <f t="shared" si="0"/>
        <v>14492.919999999998</v>
      </c>
      <c r="M94" s="2"/>
      <c r="N94" s="19">
        <f t="shared" si="1"/>
        <v>-0.27664368447977028</v>
      </c>
      <c r="O94" s="11"/>
      <c r="P94" s="2">
        <f>-116625.85</f>
        <v>-116625.85</v>
      </c>
      <c r="Q94" s="2"/>
      <c r="R94" s="19"/>
      <c r="S94" s="2"/>
      <c r="T94" s="2">
        <f>-166409.27</f>
        <v>-166409.26999999999</v>
      </c>
      <c r="U94" s="2"/>
      <c r="V94" s="19"/>
      <c r="W94" s="2"/>
      <c r="X94" s="2">
        <f t="shared" si="2"/>
        <v>49783.419999999984</v>
      </c>
      <c r="Y94" s="2"/>
      <c r="Z94" s="19">
        <f t="shared" si="3"/>
        <v>-0.29916254064452052</v>
      </c>
    </row>
    <row r="95" spans="1:26" s="24" customFormat="1" hidden="1" outlineLevel="1" x14ac:dyDescent="0.25">
      <c r="A95" s="44"/>
      <c r="B95" s="11" t="str">
        <f>CONCATENATE("          ", "4202", " - ", "SALES RETURN TAXABLE-USED TEXT")</f>
        <v xml:space="preserve">          4202 - SALES RETURN TAXABLE-USED TEXT</v>
      </c>
      <c r="C95" s="11"/>
      <c r="D95" s="2">
        <f>-16170.8</f>
        <v>-16170.8</v>
      </c>
      <c r="E95" s="2"/>
      <c r="F95" s="19"/>
      <c r="G95" s="2"/>
      <c r="H95" s="2">
        <f>-12515.4</f>
        <v>-12515.4</v>
      </c>
      <c r="I95" s="2"/>
      <c r="J95" s="19"/>
      <c r="K95" s="2"/>
      <c r="L95" s="2">
        <f t="shared" si="0"/>
        <v>-3655.3999999999996</v>
      </c>
      <c r="M95" s="2"/>
      <c r="N95" s="19">
        <f t="shared" si="1"/>
        <v>0.29207216709014494</v>
      </c>
      <c r="O95" s="11"/>
      <c r="P95" s="2">
        <f>-43379.15</f>
        <v>-43379.15</v>
      </c>
      <c r="Q95" s="2"/>
      <c r="R95" s="19"/>
      <c r="S95" s="2"/>
      <c r="T95" s="2">
        <f>-42477.35</f>
        <v>-42477.35</v>
      </c>
      <c r="U95" s="2"/>
      <c r="V95" s="19"/>
      <c r="W95" s="2"/>
      <c r="X95" s="2">
        <f t="shared" si="2"/>
        <v>-901.80000000000291</v>
      </c>
      <c r="Y95" s="2"/>
      <c r="Z95" s="19">
        <f t="shared" si="3"/>
        <v>2.1230137944104398E-2</v>
      </c>
    </row>
    <row r="96" spans="1:26" s="24" customFormat="1" hidden="1" outlineLevel="1" x14ac:dyDescent="0.25">
      <c r="A96" s="44"/>
      <c r="B96" s="11" t="str">
        <f>CONCATENATE("          ", "4203", " - ", "SALES RETURN TAXABLE-RENTAL TE")</f>
        <v xml:space="preserve">          4203 - SALES RETURN TAXABLE-RENTAL TE</v>
      </c>
      <c r="C96" s="11"/>
      <c r="D96" s="2">
        <f>0</f>
        <v>0</v>
      </c>
      <c r="E96" s="2"/>
      <c r="F96" s="19"/>
      <c r="G96" s="2"/>
      <c r="H96" s="2">
        <f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-144.99</f>
        <v>-144.99</v>
      </c>
      <c r="Q96" s="2"/>
      <c r="R96" s="19"/>
      <c r="S96" s="2"/>
      <c r="T96" s="2">
        <f>-1699.5</f>
        <v>-1699.5</v>
      </c>
      <c r="U96" s="2"/>
      <c r="V96" s="19"/>
      <c r="W96" s="2"/>
      <c r="X96" s="2">
        <f t="shared" si="2"/>
        <v>1554.51</v>
      </c>
      <c r="Y96" s="2"/>
      <c r="Z96" s="19">
        <f t="shared" si="3"/>
        <v>-0.9146866725507502</v>
      </c>
    </row>
    <row r="97" spans="1:26" s="24" customFormat="1" hidden="1" outlineLevel="1" x14ac:dyDescent="0.25">
      <c r="A97" s="44"/>
      <c r="B97" s="11" t="str">
        <f>CONCATENATE("          ", "4204", " - ", "SALES RETURN TAXABLE-DIGITAL T")</f>
        <v xml:space="preserve">          4204 - SALES RETURN TAXABLE-DIGITAL T</v>
      </c>
      <c r="C97" s="11"/>
      <c r="D97" s="2">
        <f>-4891.98</f>
        <v>-4891.9799999999996</v>
      </c>
      <c r="E97" s="2"/>
      <c r="F97" s="19"/>
      <c r="G97" s="2"/>
      <c r="H97" s="2">
        <f>-9964.33</f>
        <v>-9964.33</v>
      </c>
      <c r="I97" s="2"/>
      <c r="J97" s="19"/>
      <c r="K97" s="2"/>
      <c r="L97" s="2">
        <f t="shared" si="0"/>
        <v>5072.3500000000004</v>
      </c>
      <c r="M97" s="2"/>
      <c r="N97" s="19">
        <f t="shared" si="1"/>
        <v>-0.50905078414705263</v>
      </c>
      <c r="O97" s="11"/>
      <c r="P97" s="2">
        <f>-16261.44</f>
        <v>-16261.44</v>
      </c>
      <c r="Q97" s="2"/>
      <c r="R97" s="19"/>
      <c r="S97" s="2"/>
      <c r="T97" s="2">
        <f>-26008.18</f>
        <v>-26008.18</v>
      </c>
      <c r="U97" s="2"/>
      <c r="V97" s="19"/>
      <c r="W97" s="2"/>
      <c r="X97" s="2">
        <f t="shared" si="2"/>
        <v>9746.74</v>
      </c>
      <c r="Y97" s="2"/>
      <c r="Z97" s="19">
        <f t="shared" si="3"/>
        <v>-0.37475671115779724</v>
      </c>
    </row>
    <row r="98" spans="1:26" s="24" customFormat="1" hidden="1" outlineLevel="1" x14ac:dyDescent="0.25">
      <c r="A98" s="44"/>
      <c r="B98" s="11" t="str">
        <f>CONCATENATE("          ", "4213", " - ", "NON-TAXABLE SALES-TRADE BOOKS")</f>
        <v xml:space="preserve">          4213 - NON-TAXABLE SALES-TRADE BOOKS</v>
      </c>
      <c r="C98" s="11"/>
      <c r="D98" s="2">
        <f>-13.95</f>
        <v>-13.95</v>
      </c>
      <c r="E98" s="2"/>
      <c r="F98" s="19"/>
      <c r="G98" s="2"/>
      <c r="H98" s="2">
        <f>-24.94</f>
        <v>-24.94</v>
      </c>
      <c r="I98" s="2"/>
      <c r="J98" s="19"/>
      <c r="K98" s="2"/>
      <c r="L98" s="2">
        <f t="shared" si="0"/>
        <v>10.990000000000002</v>
      </c>
      <c r="M98" s="2"/>
      <c r="N98" s="19">
        <f t="shared" si="1"/>
        <v>-0.44065757818765044</v>
      </c>
      <c r="O98" s="11"/>
      <c r="P98" s="2">
        <f>-116.66</f>
        <v>-116.66</v>
      </c>
      <c r="Q98" s="2"/>
      <c r="R98" s="19"/>
      <c r="S98" s="2"/>
      <c r="T98" s="2">
        <f>-121.9</f>
        <v>-121.9</v>
      </c>
      <c r="U98" s="2"/>
      <c r="V98" s="19"/>
      <c r="W98" s="2"/>
      <c r="X98" s="2">
        <f t="shared" si="2"/>
        <v>5.2400000000000091</v>
      </c>
      <c r="Y98" s="2"/>
      <c r="Z98" s="19">
        <f t="shared" si="3"/>
        <v>-4.2986054142740024E-2</v>
      </c>
    </row>
    <row r="99" spans="1:26" s="24" customFormat="1" hidden="1" outlineLevel="1" x14ac:dyDescent="0.25">
      <c r="A99" s="44"/>
      <c r="B99" s="11" t="str">
        <f>CONCATENATE("          ", "4214", " - ", "SALES RETURN TAXABLE-REMAINDER")</f>
        <v xml:space="preserve">          4214 - SALES RETURN TAXABLE-REMAINDER</v>
      </c>
      <c r="C99" s="11"/>
      <c r="D99" s="2">
        <f t="shared" ref="D99:D100" si="6">0</f>
        <v>0</v>
      </c>
      <c r="E99" s="2"/>
      <c r="F99" s="19"/>
      <c r="G99" s="2"/>
      <c r="H99" s="2">
        <f t="shared" ref="H99:H100" si="7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-11.94</f>
        <v>-11.94</v>
      </c>
      <c r="Q99" s="2"/>
      <c r="R99" s="19"/>
      <c r="S99" s="2"/>
      <c r="T99" s="2">
        <f>-3.95</f>
        <v>-3.95</v>
      </c>
      <c r="U99" s="2"/>
      <c r="V99" s="19"/>
      <c r="W99" s="2"/>
      <c r="X99" s="2">
        <f t="shared" si="2"/>
        <v>-7.9899999999999993</v>
      </c>
      <c r="Y99" s="2"/>
      <c r="Z99" s="19">
        <f t="shared" si="3"/>
        <v>2.022784810126582</v>
      </c>
    </row>
    <row r="100" spans="1:26" s="24" customFormat="1" hidden="1" outlineLevel="1" x14ac:dyDescent="0.25">
      <c r="A100" s="44"/>
      <c r="B100" s="11" t="str">
        <f>CONCATENATE("          ", "4217", " - ", "NON-TAXABLE SALES-DORM/HOUSEWA")</f>
        <v xml:space="preserve">          4217 - NON-TAXABLE SALES-DORM/HOUSEWA</v>
      </c>
      <c r="C100" s="11"/>
      <c r="D100" s="2">
        <f t="shared" si="6"/>
        <v>0</v>
      </c>
      <c r="E100" s="2"/>
      <c r="F100" s="19"/>
      <c r="G100" s="2"/>
      <c r="H100" s="2">
        <f t="shared" si="7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-2.98</f>
        <v>-2.98</v>
      </c>
      <c r="Q100" s="2"/>
      <c r="R100" s="19"/>
      <c r="S100" s="2"/>
      <c r="T100" s="2">
        <f>-1.5</f>
        <v>-1.5</v>
      </c>
      <c r="U100" s="2"/>
      <c r="V100" s="19"/>
      <c r="W100" s="2"/>
      <c r="X100" s="2">
        <f t="shared" si="2"/>
        <v>-1.48</v>
      </c>
      <c r="Y100" s="2"/>
      <c r="Z100" s="19">
        <f t="shared" si="3"/>
        <v>0.98666666666666669</v>
      </c>
    </row>
    <row r="101" spans="1:26" s="24" customFormat="1" hidden="1" outlineLevel="1" x14ac:dyDescent="0.25">
      <c r="A101" s="44"/>
      <c r="B101" s="11" t="str">
        <f>CONCATENATE("          ", "4218", " - ", "SALES RETURN TAXABLE-STUDY GUI")</f>
        <v xml:space="preserve">          4218 - SALES RETURN TAXABLE-STUDY GUI</v>
      </c>
      <c r="C101" s="11"/>
      <c r="D101" s="2">
        <f>-6.5</f>
        <v>-6.5</v>
      </c>
      <c r="E101" s="2"/>
      <c r="F101" s="19"/>
      <c r="G101" s="2"/>
      <c r="H101" s="2">
        <f>-20.85</f>
        <v>-20.85</v>
      </c>
      <c r="I101" s="2"/>
      <c r="J101" s="19"/>
      <c r="K101" s="2"/>
      <c r="L101" s="2">
        <f t="shared" si="0"/>
        <v>14.350000000000001</v>
      </c>
      <c r="M101" s="2"/>
      <c r="N101" s="19">
        <f t="shared" si="1"/>
        <v>-0.68824940047961636</v>
      </c>
      <c r="O101" s="11"/>
      <c r="P101" s="2">
        <f>-39.25</f>
        <v>-39.25</v>
      </c>
      <c r="Q101" s="2"/>
      <c r="R101" s="19"/>
      <c r="S101" s="2"/>
      <c r="T101" s="2">
        <f>-60.65</f>
        <v>-60.65</v>
      </c>
      <c r="U101" s="2"/>
      <c r="V101" s="19"/>
      <c r="W101" s="2"/>
      <c r="X101" s="2">
        <f t="shared" si="2"/>
        <v>21.4</v>
      </c>
      <c r="Y101" s="2"/>
      <c r="Z101" s="19">
        <f t="shared" si="3"/>
        <v>-0.3528441879637263</v>
      </c>
    </row>
    <row r="102" spans="1:26" s="24" customFormat="1" hidden="1" outlineLevel="1" x14ac:dyDescent="0.25">
      <c r="A102" s="44"/>
      <c r="B102" s="11" t="str">
        <f>CONCATENATE("          ", "4225", " - ", "SALES RETURN TAXABLE-TEST FORM")</f>
        <v xml:space="preserve">          4225 - SALES RETURN TAXABLE-TEST FORM</v>
      </c>
      <c r="C102" s="11"/>
      <c r="D102" s="2">
        <f>-14.74</f>
        <v>-14.74</v>
      </c>
      <c r="E102" s="2"/>
      <c r="F102" s="19"/>
      <c r="G102" s="2"/>
      <c r="H102" s="2">
        <f>-22.32</f>
        <v>-22.32</v>
      </c>
      <c r="I102" s="2"/>
      <c r="J102" s="19"/>
      <c r="K102" s="2"/>
      <c r="L102" s="2">
        <f t="shared" si="0"/>
        <v>7.58</v>
      </c>
      <c r="M102" s="2"/>
      <c r="N102" s="19">
        <f t="shared" si="1"/>
        <v>-0.3396057347670251</v>
      </c>
      <c r="O102" s="11"/>
      <c r="P102" s="2">
        <f>-95.71</f>
        <v>-95.71</v>
      </c>
      <c r="Q102" s="2"/>
      <c r="R102" s="19"/>
      <c r="S102" s="2"/>
      <c r="T102" s="2">
        <f>-84.74</f>
        <v>-84.74</v>
      </c>
      <c r="U102" s="2"/>
      <c r="V102" s="19"/>
      <c r="W102" s="2"/>
      <c r="X102" s="2">
        <f t="shared" si="2"/>
        <v>-10.969999999999999</v>
      </c>
      <c r="Y102" s="2"/>
      <c r="Z102" s="19">
        <f t="shared" si="3"/>
        <v>0.129454802926599</v>
      </c>
    </row>
    <row r="103" spans="1:26" s="24" customFormat="1" hidden="1" outlineLevel="1" x14ac:dyDescent="0.25">
      <c r="A103" s="44"/>
      <c r="B103" s="11" t="str">
        <f>CONCATENATE("          ", "4226", " - ", "SALES RETURN TAXABLE-WRITING I")</f>
        <v xml:space="preserve">          4226 - SALES RETURN TAXABLE-WRITING I</v>
      </c>
      <c r="C103" s="11"/>
      <c r="D103" s="2">
        <f>-149.55</f>
        <v>-149.55000000000001</v>
      </c>
      <c r="E103" s="2"/>
      <c r="F103" s="19"/>
      <c r="G103" s="2"/>
      <c r="H103" s="2">
        <f>-27.76</f>
        <v>-27.76</v>
      </c>
      <c r="I103" s="2"/>
      <c r="J103" s="19"/>
      <c r="K103" s="2"/>
      <c r="L103" s="2">
        <f t="shared" si="0"/>
        <v>-121.79</v>
      </c>
      <c r="M103" s="2"/>
      <c r="N103" s="19">
        <f t="shared" si="1"/>
        <v>4.3872478386167151</v>
      </c>
      <c r="O103" s="11"/>
      <c r="P103" s="2">
        <f>-680.91</f>
        <v>-680.91</v>
      </c>
      <c r="Q103" s="2"/>
      <c r="R103" s="19"/>
      <c r="S103" s="2"/>
      <c r="T103" s="2">
        <f>-312.3</f>
        <v>-312.3</v>
      </c>
      <c r="U103" s="2"/>
      <c r="V103" s="19"/>
      <c r="W103" s="2"/>
      <c r="X103" s="2">
        <f t="shared" si="2"/>
        <v>-368.60999999999996</v>
      </c>
      <c r="Y103" s="2"/>
      <c r="Z103" s="19">
        <f t="shared" si="3"/>
        <v>1.1803073967339095</v>
      </c>
    </row>
    <row r="104" spans="1:26" s="24" customFormat="1" hidden="1" outlineLevel="1" x14ac:dyDescent="0.25">
      <c r="A104" s="44"/>
      <c r="B104" s="11" t="str">
        <f>CONCATENATE("          ", "4227", " - ", "SALES RETURN TAXABLE-SCHOOL SU")</f>
        <v xml:space="preserve">          4227 - SALES RETURN TAXABLE-SCHOOL SU</v>
      </c>
      <c r="C104" s="11"/>
      <c r="D104" s="2">
        <f>-962.28</f>
        <v>-962.28</v>
      </c>
      <c r="E104" s="2"/>
      <c r="F104" s="19"/>
      <c r="G104" s="2"/>
      <c r="H104" s="2">
        <f>-1186.6</f>
        <v>-1186.5999999999999</v>
      </c>
      <c r="I104" s="2"/>
      <c r="J104" s="19"/>
      <c r="K104" s="2"/>
      <c r="L104" s="2">
        <f t="shared" si="0"/>
        <v>224.31999999999994</v>
      </c>
      <c r="M104" s="2"/>
      <c r="N104" s="19">
        <f t="shared" si="1"/>
        <v>-0.18904432833305237</v>
      </c>
      <c r="O104" s="11"/>
      <c r="P104" s="2">
        <f>-6910.86</f>
        <v>-6910.86</v>
      </c>
      <c r="Q104" s="2"/>
      <c r="R104" s="19"/>
      <c r="S104" s="2"/>
      <c r="T104" s="2">
        <f>-3880.97</f>
        <v>-3880.97</v>
      </c>
      <c r="U104" s="2"/>
      <c r="V104" s="19"/>
      <c r="W104" s="2"/>
      <c r="X104" s="2">
        <f t="shared" si="2"/>
        <v>-3029.89</v>
      </c>
      <c r="Y104" s="2"/>
      <c r="Z104" s="19">
        <f t="shared" si="3"/>
        <v>0.78070430845896777</v>
      </c>
    </row>
    <row r="105" spans="1:26" s="24" customFormat="1" hidden="1" outlineLevel="1" x14ac:dyDescent="0.25">
      <c r="A105" s="44"/>
      <c r="B105" s="11" t="str">
        <f>CONCATENATE("          ", "4228", " - ", "SALES RETURN TAXABLE-ART/TECH")</f>
        <v xml:space="preserve">          4228 - SALES RETURN TAXABLE-ART/TECH</v>
      </c>
      <c r="C105" s="11"/>
      <c r="D105" s="2">
        <f>-766.07</f>
        <v>-766.07</v>
      </c>
      <c r="E105" s="2"/>
      <c r="F105" s="19"/>
      <c r="G105" s="2"/>
      <c r="H105" s="2">
        <f>-1234.7</f>
        <v>-1234.7</v>
      </c>
      <c r="I105" s="2"/>
      <c r="J105" s="19"/>
      <c r="K105" s="2"/>
      <c r="L105" s="2">
        <f t="shared" si="0"/>
        <v>468.63</v>
      </c>
      <c r="M105" s="2"/>
      <c r="N105" s="19">
        <f t="shared" si="1"/>
        <v>-0.37954968818336438</v>
      </c>
      <c r="O105" s="11"/>
      <c r="P105" s="2">
        <f>-3914.69</f>
        <v>-3914.69</v>
      </c>
      <c r="Q105" s="2"/>
      <c r="R105" s="19"/>
      <c r="S105" s="2"/>
      <c r="T105" s="2">
        <f>-5833.5</f>
        <v>-5833.5</v>
      </c>
      <c r="U105" s="2"/>
      <c r="V105" s="19"/>
      <c r="W105" s="2"/>
      <c r="X105" s="2">
        <f t="shared" si="2"/>
        <v>1918.81</v>
      </c>
      <c r="Y105" s="2"/>
      <c r="Z105" s="19">
        <f t="shared" si="3"/>
        <v>-0.32892945915830973</v>
      </c>
    </row>
    <row r="106" spans="1:26" s="24" customFormat="1" hidden="1" outlineLevel="1" x14ac:dyDescent="0.25">
      <c r="A106" s="44"/>
      <c r="B106" s="11" t="str">
        <f>CONCATENATE("          ", "4233", " - ", "SALES RETURN TAXABLE-CANDY")</f>
        <v xml:space="preserve">          4233 - SALES RETURN TAXABLE-CANDY</v>
      </c>
      <c r="C106" s="11"/>
      <c r="D106" s="2">
        <f>0</f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-1.29</f>
        <v>-1.29</v>
      </c>
      <c r="Q106" s="2"/>
      <c r="R106" s="19"/>
      <c r="S106" s="2"/>
      <c r="T106" s="2">
        <f>-3.58</f>
        <v>-3.58</v>
      </c>
      <c r="U106" s="2"/>
      <c r="V106" s="19"/>
      <c r="W106" s="2"/>
      <c r="X106" s="2">
        <f t="shared" si="2"/>
        <v>2.29</v>
      </c>
      <c r="Y106" s="2"/>
      <c r="Z106" s="19">
        <f t="shared" si="3"/>
        <v>-0.63966480446927376</v>
      </c>
    </row>
    <row r="107" spans="1:26" s="24" customFormat="1" hidden="1" outlineLevel="1" x14ac:dyDescent="0.25">
      <c r="A107" s="44"/>
      <c r="B107" s="11" t="str">
        <f>CONCATENATE("          ", "4240", " - ", "SALES RETURN TAXABLE-LOGO CLOT")</f>
        <v xml:space="preserve">          4240 - SALES RETURN TAXABLE-LOGO CLOT</v>
      </c>
      <c r="C107" s="11"/>
      <c r="D107" s="2">
        <f>-12286.81</f>
        <v>-12286.81</v>
      </c>
      <c r="E107" s="2"/>
      <c r="F107" s="19"/>
      <c r="G107" s="2"/>
      <c r="H107" s="2">
        <f>-9903.76</f>
        <v>-9903.76</v>
      </c>
      <c r="I107" s="2"/>
      <c r="J107" s="19"/>
      <c r="K107" s="2"/>
      <c r="L107" s="2">
        <f t="shared" si="0"/>
        <v>-2383.0499999999993</v>
      </c>
      <c r="M107" s="2"/>
      <c r="N107" s="19">
        <f t="shared" si="1"/>
        <v>0.24062073394347189</v>
      </c>
      <c r="O107" s="11"/>
      <c r="P107" s="2">
        <f>-61608.75</f>
        <v>-61608.75</v>
      </c>
      <c r="Q107" s="2"/>
      <c r="R107" s="19"/>
      <c r="S107" s="2"/>
      <c r="T107" s="2">
        <f>-58611.84</f>
        <v>-58611.839999999997</v>
      </c>
      <c r="U107" s="2"/>
      <c r="V107" s="19"/>
      <c r="W107" s="2"/>
      <c r="X107" s="2">
        <f t="shared" si="2"/>
        <v>-2996.9100000000035</v>
      </c>
      <c r="Y107" s="2"/>
      <c r="Z107" s="19">
        <f t="shared" si="3"/>
        <v>5.1131477872047755E-2</v>
      </c>
    </row>
    <row r="108" spans="1:26" s="24" customFormat="1" hidden="1" outlineLevel="1" x14ac:dyDescent="0.25">
      <c r="A108" s="44"/>
      <c r="B108" s="11" t="str">
        <f>CONCATENATE("          ", "4241", " - ", "SALES RETURN TAXABLE-LOGO GIFT")</f>
        <v xml:space="preserve">          4241 - SALES RETURN TAXABLE-LOGO GIFT</v>
      </c>
      <c r="C108" s="11"/>
      <c r="D108" s="2">
        <f>-805.34</f>
        <v>-805.34</v>
      </c>
      <c r="E108" s="2"/>
      <c r="F108" s="19"/>
      <c r="G108" s="2"/>
      <c r="H108" s="2">
        <f>-1041.57</f>
        <v>-1041.57</v>
      </c>
      <c r="I108" s="2"/>
      <c r="J108" s="19"/>
      <c r="K108" s="2"/>
      <c r="L108" s="2">
        <f t="shared" si="0"/>
        <v>236.2299999999999</v>
      </c>
      <c r="M108" s="2"/>
      <c r="N108" s="19">
        <f t="shared" si="1"/>
        <v>-0.22680184721142113</v>
      </c>
      <c r="O108" s="11"/>
      <c r="P108" s="2">
        <f>-4954.21</f>
        <v>-4954.21</v>
      </c>
      <c r="Q108" s="2"/>
      <c r="R108" s="19"/>
      <c r="S108" s="2"/>
      <c r="T108" s="2">
        <f>-5742.21</f>
        <v>-5742.21</v>
      </c>
      <c r="U108" s="2"/>
      <c r="V108" s="19"/>
      <c r="W108" s="2"/>
      <c r="X108" s="2">
        <f t="shared" si="2"/>
        <v>788</v>
      </c>
      <c r="Y108" s="2"/>
      <c r="Z108" s="19">
        <f t="shared" si="3"/>
        <v>-0.1372293942576116</v>
      </c>
    </row>
    <row r="109" spans="1:26" s="24" customFormat="1" hidden="1" outlineLevel="1" x14ac:dyDescent="0.25">
      <c r="A109" s="44"/>
      <c r="B109" s="11" t="str">
        <f>CONCATENATE("          ", "4242", " - ", "SALES RETURN TAXABLE-EVERYDAY")</f>
        <v xml:space="preserve">          4242 - SALES RETURN TAXABLE-EVERYDAY</v>
      </c>
      <c r="C109" s="11"/>
      <c r="D109" s="2">
        <f>-754.91</f>
        <v>-754.91</v>
      </c>
      <c r="E109" s="2"/>
      <c r="F109" s="19"/>
      <c r="G109" s="2"/>
      <c r="H109" s="2">
        <f>-237.92</f>
        <v>-237.92</v>
      </c>
      <c r="I109" s="2"/>
      <c r="J109" s="19"/>
      <c r="K109" s="2"/>
      <c r="L109" s="2">
        <f t="shared" si="0"/>
        <v>-516.99</v>
      </c>
      <c r="M109" s="2"/>
      <c r="N109" s="19">
        <f t="shared" si="1"/>
        <v>2.1729572965702757</v>
      </c>
      <c r="O109" s="11"/>
      <c r="P109" s="2">
        <f>-3544.33</f>
        <v>-3544.33</v>
      </c>
      <c r="Q109" s="2"/>
      <c r="R109" s="19"/>
      <c r="S109" s="2"/>
      <c r="T109" s="2">
        <f>-1955.01</f>
        <v>-1955.01</v>
      </c>
      <c r="U109" s="2"/>
      <c r="V109" s="19"/>
      <c r="W109" s="2"/>
      <c r="X109" s="2">
        <f t="shared" si="2"/>
        <v>-1589.32</v>
      </c>
      <c r="Y109" s="2"/>
      <c r="Z109" s="19">
        <f t="shared" si="3"/>
        <v>0.81294724835167076</v>
      </c>
    </row>
    <row r="110" spans="1:26" s="24" customFormat="1" hidden="1" outlineLevel="1" x14ac:dyDescent="0.25">
      <c r="A110" s="44"/>
      <c r="B110" s="11" t="str">
        <f>CONCATENATE("          ", "4243", " - ", "SALES RETURN TAXABLE-CARDS")</f>
        <v xml:space="preserve">          4243 - SALES RETURN TAXABLE-CARDS</v>
      </c>
      <c r="C110" s="11"/>
      <c r="D110" s="2">
        <f>-344.74</f>
        <v>-344.74</v>
      </c>
      <c r="E110" s="2"/>
      <c r="F110" s="19"/>
      <c r="G110" s="2"/>
      <c r="H110" s="2">
        <f>0</f>
        <v>0</v>
      </c>
      <c r="I110" s="2"/>
      <c r="J110" s="19"/>
      <c r="K110" s="2"/>
      <c r="L110" s="2">
        <f t="shared" si="0"/>
        <v>-344.74</v>
      </c>
      <c r="M110" s="2"/>
      <c r="N110" s="19">
        <f t="shared" si="1"/>
        <v>0</v>
      </c>
      <c r="O110" s="11"/>
      <c r="P110" s="2">
        <f>-1224.21</f>
        <v>-1224.21</v>
      </c>
      <c r="Q110" s="2"/>
      <c r="R110" s="19"/>
      <c r="S110" s="2"/>
      <c r="T110" s="2">
        <f>-25.94</f>
        <v>-25.94</v>
      </c>
      <c r="U110" s="2"/>
      <c r="V110" s="19"/>
      <c r="W110" s="2"/>
      <c r="X110" s="2">
        <f t="shared" si="2"/>
        <v>-1198.27</v>
      </c>
      <c r="Y110" s="2"/>
      <c r="Z110" s="19">
        <f t="shared" si="3"/>
        <v>46.193909020817266</v>
      </c>
    </row>
    <row r="111" spans="1:26" s="24" customFormat="1" hidden="1" outlineLevel="1" x14ac:dyDescent="0.25">
      <c r="A111" s="44"/>
      <c r="B111" s="11" t="str">
        <f>CONCATENATE("          ", "4244", " - ", "SALES RETURN TAXABLE-ACCESSORI")</f>
        <v xml:space="preserve">          4244 - SALES RETURN TAXABLE-ACCESSORI</v>
      </c>
      <c r="C111" s="11"/>
      <c r="D111" s="2">
        <f>-370.28</f>
        <v>-370.28</v>
      </c>
      <c r="E111" s="2"/>
      <c r="F111" s="19"/>
      <c r="G111" s="2"/>
      <c r="H111" s="2">
        <f>-268.5</f>
        <v>-268.5</v>
      </c>
      <c r="I111" s="2"/>
      <c r="J111" s="19"/>
      <c r="K111" s="2"/>
      <c r="L111" s="2">
        <f t="shared" si="0"/>
        <v>-101.77999999999997</v>
      </c>
      <c r="M111" s="2"/>
      <c r="N111" s="19">
        <f t="shared" si="1"/>
        <v>0.3790689013035381</v>
      </c>
      <c r="O111" s="11"/>
      <c r="P111" s="2">
        <f>-2102.05</f>
        <v>-2102.0500000000002</v>
      </c>
      <c r="Q111" s="2"/>
      <c r="R111" s="19"/>
      <c r="S111" s="2"/>
      <c r="T111" s="2">
        <f>-3012.87</f>
        <v>-3012.87</v>
      </c>
      <c r="U111" s="2"/>
      <c r="V111" s="19"/>
      <c r="W111" s="2"/>
      <c r="X111" s="2">
        <f t="shared" si="2"/>
        <v>910.81999999999971</v>
      </c>
      <c r="Y111" s="2"/>
      <c r="Z111" s="19">
        <f t="shared" si="3"/>
        <v>-0.3023097578056802</v>
      </c>
    </row>
    <row r="112" spans="1:26" s="24" customFormat="1" hidden="1" outlineLevel="1" x14ac:dyDescent="0.25">
      <c r="A112" s="44"/>
      <c r="B112" s="11" t="str">
        <f>CONCATENATE("          ", "4245", " - ", "SALES RETURN TAXABLE-SPECIAL O")</f>
        <v xml:space="preserve">          4245 - SALES RETURN TAXABLE-SPECIAL O</v>
      </c>
      <c r="C112" s="11"/>
      <c r="D112" s="2">
        <f>-1623.09</f>
        <v>-1623.09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-1623.09</v>
      </c>
      <c r="M112" s="2"/>
      <c r="N112" s="19">
        <f t="shared" si="1"/>
        <v>0</v>
      </c>
      <c r="O112" s="11"/>
      <c r="P112" s="2">
        <f>-1715.05</f>
        <v>-1715.05</v>
      </c>
      <c r="Q112" s="2"/>
      <c r="R112" s="19"/>
      <c r="S112" s="2"/>
      <c r="T112" s="2">
        <f>-225.7</f>
        <v>-225.7</v>
      </c>
      <c r="U112" s="2"/>
      <c r="V112" s="19"/>
      <c r="W112" s="2"/>
      <c r="X112" s="2">
        <f t="shared" si="2"/>
        <v>-1489.35</v>
      </c>
      <c r="Y112" s="2"/>
      <c r="Z112" s="19">
        <f t="shared" si="3"/>
        <v>6.5988037217545417</v>
      </c>
    </row>
    <row r="113" spans="1:26" s="24" customFormat="1" hidden="1" outlineLevel="1" x14ac:dyDescent="0.25">
      <c r="A113" s="44"/>
      <c r="B113" s="11" t="str">
        <f>CONCATENATE("          ", "4281", " - ", "SALES RETURN TAXABLE-ELECTRONI")</f>
        <v xml:space="preserve">          4281 - SALES RETURN TAXABLE-ELECTRONI</v>
      </c>
      <c r="C113" s="11"/>
      <c r="D113" s="2">
        <f>-642.85</f>
        <v>-642.85</v>
      </c>
      <c r="E113" s="2"/>
      <c r="F113" s="19"/>
      <c r="G113" s="2"/>
      <c r="H113" s="2">
        <f>-563.37</f>
        <v>-563.37</v>
      </c>
      <c r="I113" s="2"/>
      <c r="J113" s="19"/>
      <c r="K113" s="2"/>
      <c r="L113" s="2">
        <f t="shared" si="0"/>
        <v>-79.480000000000018</v>
      </c>
      <c r="M113" s="2"/>
      <c r="N113" s="19">
        <f t="shared" si="1"/>
        <v>0.14107957470223834</v>
      </c>
      <c r="O113" s="11"/>
      <c r="P113" s="2">
        <f>-6504.81</f>
        <v>-6504.81</v>
      </c>
      <c r="Q113" s="2"/>
      <c r="R113" s="19"/>
      <c r="S113" s="2"/>
      <c r="T113" s="2">
        <f>-6091.13</f>
        <v>-6091.13</v>
      </c>
      <c r="U113" s="2"/>
      <c r="V113" s="19"/>
      <c r="W113" s="2"/>
      <c r="X113" s="2">
        <f t="shared" si="2"/>
        <v>-413.68000000000029</v>
      </c>
      <c r="Y113" s="2"/>
      <c r="Z113" s="19">
        <f t="shared" si="3"/>
        <v>6.7915148749082735E-2</v>
      </c>
    </row>
    <row r="114" spans="1:26" s="24" customFormat="1" hidden="1" outlineLevel="1" x14ac:dyDescent="0.25">
      <c r="A114" s="44"/>
      <c r="B114" s="11" t="str">
        <f>CONCATENATE("          ", "4282", " - ", "SALES RETURN TAXABLE-COMPUTER")</f>
        <v xml:space="preserve">          4282 - SALES RETURN TAXABLE-COMPUTER</v>
      </c>
      <c r="C114" s="11"/>
      <c r="D114" s="2">
        <f>-15229.61</f>
        <v>-15229.61</v>
      </c>
      <c r="E114" s="2"/>
      <c r="F114" s="19"/>
      <c r="G114" s="2"/>
      <c r="H114" s="2">
        <f>-6494</f>
        <v>-6494</v>
      </c>
      <c r="I114" s="2"/>
      <c r="J114" s="19"/>
      <c r="K114" s="2"/>
      <c r="L114" s="2">
        <f t="shared" si="0"/>
        <v>-8735.61</v>
      </c>
      <c r="M114" s="2"/>
      <c r="N114" s="19">
        <f t="shared" si="1"/>
        <v>1.3451817061903297</v>
      </c>
      <c r="O114" s="11"/>
      <c r="P114" s="2">
        <f>-202883.19</f>
        <v>-202883.19</v>
      </c>
      <c r="Q114" s="2"/>
      <c r="R114" s="19"/>
      <c r="S114" s="2"/>
      <c r="T114" s="2">
        <f>-51540.97</f>
        <v>-51540.97</v>
      </c>
      <c r="U114" s="2"/>
      <c r="V114" s="19"/>
      <c r="W114" s="2"/>
      <c r="X114" s="2">
        <f t="shared" si="2"/>
        <v>-151342.22</v>
      </c>
      <c r="Y114" s="2"/>
      <c r="Z114" s="19">
        <f t="shared" si="3"/>
        <v>2.9363479189468107</v>
      </c>
    </row>
    <row r="115" spans="1:26" s="24" customFormat="1" hidden="1" outlineLevel="1" x14ac:dyDescent="0.25">
      <c r="A115" s="44"/>
      <c r="B115" s="11" t="str">
        <f>CONCATENATE("          ", "4283", " - ", "SALES RETURN TAXABLE-COMPUTER")</f>
        <v xml:space="preserve">          4283 - SALES RETURN TAXABLE-COMPUTER</v>
      </c>
      <c r="C115" s="11"/>
      <c r="D115" s="2">
        <f>-1632.57</f>
        <v>-1632.57</v>
      </c>
      <c r="E115" s="2"/>
      <c r="F115" s="19"/>
      <c r="G115" s="2"/>
      <c r="H115" s="2">
        <f>-1022.1</f>
        <v>-1022.1</v>
      </c>
      <c r="I115" s="2"/>
      <c r="J115" s="19"/>
      <c r="K115" s="2"/>
      <c r="L115" s="2">
        <f t="shared" si="0"/>
        <v>-610.46999999999991</v>
      </c>
      <c r="M115" s="2"/>
      <c r="N115" s="19">
        <f t="shared" si="1"/>
        <v>0.59727032579982375</v>
      </c>
      <c r="O115" s="11"/>
      <c r="P115" s="2">
        <f>-4914.72</f>
        <v>-4914.72</v>
      </c>
      <c r="Q115" s="2"/>
      <c r="R115" s="19"/>
      <c r="S115" s="2"/>
      <c r="T115" s="2">
        <f>-5027.57</f>
        <v>-5027.57</v>
      </c>
      <c r="U115" s="2"/>
      <c r="V115" s="19"/>
      <c r="W115" s="2"/>
      <c r="X115" s="2">
        <f t="shared" si="2"/>
        <v>112.84999999999945</v>
      </c>
      <c r="Y115" s="2"/>
      <c r="Z115" s="19">
        <f t="shared" si="3"/>
        <v>-2.244623147962126E-2</v>
      </c>
    </row>
    <row r="116" spans="1:26" s="24" customFormat="1" hidden="1" outlineLevel="1" x14ac:dyDescent="0.25">
      <c r="A116" s="44"/>
      <c r="B116" s="11" t="str">
        <f>CONCATENATE("          ", "4284", " - ", "SALES RETURN TAXABLE-SOFTWARE")</f>
        <v xml:space="preserve">          4284 - SALES RETURN TAXABLE-SOFTWARE</v>
      </c>
      <c r="C116" s="11"/>
      <c r="D116" s="2">
        <f t="shared" ref="D116:D117" si="8">0</f>
        <v>0</v>
      </c>
      <c r="E116" s="2"/>
      <c r="F116" s="19"/>
      <c r="G116" s="2"/>
      <c r="H116" s="2">
        <f t="shared" ref="H116:H117" si="9"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-129</f>
        <v>-129</v>
      </c>
      <c r="Q116" s="2"/>
      <c r="R116" s="19"/>
      <c r="S116" s="2"/>
      <c r="T116" s="2">
        <f t="shared" ref="T116:T117" si="10">0</f>
        <v>0</v>
      </c>
      <c r="U116" s="2"/>
      <c r="V116" s="19"/>
      <c r="W116" s="2"/>
      <c r="X116" s="2">
        <f t="shared" si="2"/>
        <v>-129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"4285", " - ", "SALES RETURN TAXABLE-SOFTWARE")</f>
        <v xml:space="preserve">          4285 - SALES RETURN TAXABLE-SOFTWARE</v>
      </c>
      <c r="C117" s="11"/>
      <c r="D117" s="2">
        <f t="shared" si="8"/>
        <v>0</v>
      </c>
      <c r="E117" s="2"/>
      <c r="F117" s="19"/>
      <c r="G117" s="2"/>
      <c r="H117" s="2">
        <f t="shared" si="9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-655.98</f>
        <v>-655.98</v>
      </c>
      <c r="Q117" s="2"/>
      <c r="R117" s="19"/>
      <c r="S117" s="2"/>
      <c r="T117" s="2">
        <f t="shared" si="10"/>
        <v>0</v>
      </c>
      <c r="U117" s="2"/>
      <c r="V117" s="19"/>
      <c r="W117" s="2"/>
      <c r="X117" s="2">
        <f t="shared" si="2"/>
        <v>-655.98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"4286", " - ", "SALES RETURN TAXABLE-COMPUTER")</f>
        <v xml:space="preserve">          4286 - SALES RETURN TAXABLE-COMPUTER</v>
      </c>
      <c r="C118" s="11"/>
      <c r="D118" s="2">
        <f>-304.12</f>
        <v>-304.12</v>
      </c>
      <c r="E118" s="2"/>
      <c r="F118" s="19"/>
      <c r="G118" s="2"/>
      <c r="H118" s="2">
        <f>-647.83</f>
        <v>-647.83000000000004</v>
      </c>
      <c r="I118" s="2"/>
      <c r="J118" s="19"/>
      <c r="K118" s="2"/>
      <c r="L118" s="2">
        <f t="shared" si="0"/>
        <v>343.71000000000004</v>
      </c>
      <c r="M118" s="2"/>
      <c r="N118" s="19">
        <f t="shared" si="1"/>
        <v>-0.53055585570288499</v>
      </c>
      <c r="O118" s="11"/>
      <c r="P118" s="2">
        <f>-3292.01</f>
        <v>-3292.01</v>
      </c>
      <c r="Q118" s="2"/>
      <c r="R118" s="19"/>
      <c r="S118" s="2"/>
      <c r="T118" s="2">
        <f>-3585.58</f>
        <v>-3585.58</v>
      </c>
      <c r="U118" s="2"/>
      <c r="V118" s="19"/>
      <c r="W118" s="2"/>
      <c r="X118" s="2">
        <f t="shared" si="2"/>
        <v>293.56999999999971</v>
      </c>
      <c r="Y118" s="2"/>
      <c r="Z118" s="19">
        <f t="shared" si="3"/>
        <v>-8.1875177795503018E-2</v>
      </c>
    </row>
    <row r="119" spans="1:26" s="24" customFormat="1" hidden="1" outlineLevel="1" x14ac:dyDescent="0.25">
      <c r="A119" s="44"/>
      <c r="B119" s="11" t="str">
        <f>CONCATENATE("          ", "4288", " - ", "TAXABLE SALES RETURN-MUSIC")</f>
        <v xml:space="preserve">          4288 - TAXABLE SALES RETURN-MUSIC</v>
      </c>
      <c r="C119" s="11"/>
      <c r="D119" s="2">
        <f t="shared" ref="D119:D121" si="11">0</f>
        <v>0</v>
      </c>
      <c r="E119" s="2"/>
      <c r="F119" s="19"/>
      <c r="G119" s="2"/>
      <c r="H119" s="2">
        <f t="shared" ref="H119:H121" si="12">0</f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-3.99</f>
        <v>-3.99</v>
      </c>
      <c r="Q119" s="2"/>
      <c r="R119" s="19"/>
      <c r="S119" s="2"/>
      <c r="T119" s="2">
        <f>0</f>
        <v>0</v>
      </c>
      <c r="U119" s="2"/>
      <c r="V119" s="19"/>
      <c r="W119" s="2"/>
      <c r="X119" s="2">
        <f t="shared" si="2"/>
        <v>-3.99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"4292", " - ", "SALES RETURN TAXABLE-GRAD MERC")</f>
        <v xml:space="preserve">          4292 - SALES RETURN TAXABLE-GRAD MERC</v>
      </c>
      <c r="C120" s="11"/>
      <c r="D120" s="2">
        <f t="shared" si="11"/>
        <v>0</v>
      </c>
      <c r="E120" s="2"/>
      <c r="F120" s="19"/>
      <c r="G120" s="2"/>
      <c r="H120" s="2">
        <f t="shared" si="12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-419.05</f>
        <v>-419.05</v>
      </c>
      <c r="Q120" s="2"/>
      <c r="R120" s="19"/>
      <c r="S120" s="2"/>
      <c r="T120" s="2">
        <f>-548.24</f>
        <v>-548.24</v>
      </c>
      <c r="U120" s="2"/>
      <c r="V120" s="19"/>
      <c r="W120" s="2"/>
      <c r="X120" s="2">
        <f t="shared" si="2"/>
        <v>129.19</v>
      </c>
      <c r="Y120" s="2"/>
      <c r="Z120" s="19">
        <f t="shared" si="3"/>
        <v>-0.23564497300452356</v>
      </c>
    </row>
    <row r="121" spans="1:26" s="24" customFormat="1" hidden="1" outlineLevel="1" x14ac:dyDescent="0.25">
      <c r="A121" s="44"/>
      <c r="B121" s="11" t="str">
        <f>CONCATENATE("          ", "4295", " - ", "SALES RETURN TAXABLE-CUSTOMER")</f>
        <v xml:space="preserve">          4295 - SALES RETURN TAXABLE-CUSTOMER</v>
      </c>
      <c r="C121" s="11"/>
      <c r="D121" s="2">
        <f t="shared" si="11"/>
        <v>0</v>
      </c>
      <c r="E121" s="2"/>
      <c r="F121" s="19"/>
      <c r="G121" s="2"/>
      <c r="H121" s="2">
        <f t="shared" si="12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--0.99</f>
        <v>0.99</v>
      </c>
      <c r="Q121" s="2"/>
      <c r="R121" s="19"/>
      <c r="S121" s="2"/>
      <c r="T121" s="2">
        <f>-126.72</f>
        <v>-126.72</v>
      </c>
      <c r="U121" s="2"/>
      <c r="V121" s="19"/>
      <c r="W121" s="2"/>
      <c r="X121" s="2">
        <f t="shared" si="2"/>
        <v>127.71</v>
      </c>
      <c r="Y121" s="2"/>
      <c r="Z121" s="19">
        <f t="shared" si="3"/>
        <v>-1.0078125</v>
      </c>
    </row>
    <row r="122" spans="1:26" s="24" customFormat="1" hidden="1" outlineLevel="1" x14ac:dyDescent="0.25">
      <c r="A122" s="44"/>
      <c r="B122" s="11" t="str">
        <f>CONCATENATE("          ", "4301", " - ", "SALES RETURN NON TAXABLE-NEW T")</f>
        <v xml:space="preserve">          4301 - SALES RETURN NON TAXABLE-NEW T</v>
      </c>
      <c r="C122" s="11"/>
      <c r="D122" s="2">
        <f>-2910.64</f>
        <v>-2910.64</v>
      </c>
      <c r="E122" s="2"/>
      <c r="F122" s="19"/>
      <c r="G122" s="2"/>
      <c r="H122" s="2">
        <f>-4939.03</f>
        <v>-4939.03</v>
      </c>
      <c r="I122" s="2"/>
      <c r="J122" s="19"/>
      <c r="K122" s="2"/>
      <c r="L122" s="2">
        <f t="shared" si="0"/>
        <v>2028.3899999999999</v>
      </c>
      <c r="M122" s="2"/>
      <c r="N122" s="19">
        <f t="shared" si="1"/>
        <v>-0.41068590391230664</v>
      </c>
      <c r="O122" s="11"/>
      <c r="P122" s="2">
        <f>-15221.62</f>
        <v>-15221.62</v>
      </c>
      <c r="Q122" s="2"/>
      <c r="R122" s="19"/>
      <c r="S122" s="2"/>
      <c r="T122" s="2">
        <f>-35074.1</f>
        <v>-35074.1</v>
      </c>
      <c r="U122" s="2"/>
      <c r="V122" s="19"/>
      <c r="W122" s="2"/>
      <c r="X122" s="2">
        <f t="shared" si="2"/>
        <v>19852.479999999996</v>
      </c>
      <c r="Y122" s="2"/>
      <c r="Z122" s="19">
        <f t="shared" si="3"/>
        <v>-0.56601537886930808</v>
      </c>
    </row>
    <row r="123" spans="1:26" s="24" customFormat="1" hidden="1" outlineLevel="1" x14ac:dyDescent="0.25">
      <c r="A123" s="44"/>
      <c r="B123" s="11" t="str">
        <f>CONCATENATE("          ", "4302", " - ", "SALES RETURN NON TAXABLE-TEXT")</f>
        <v xml:space="preserve">          4302 - SALES RETURN NON TAXABLE-TEXT</v>
      </c>
      <c r="C123" s="11"/>
      <c r="D123" s="2">
        <f>-614.47</f>
        <v>-614.47</v>
      </c>
      <c r="E123" s="2"/>
      <c r="F123" s="19"/>
      <c r="G123" s="2"/>
      <c r="H123" s="2">
        <f>-1055.72</f>
        <v>-1055.72</v>
      </c>
      <c r="I123" s="2"/>
      <c r="J123" s="19"/>
      <c r="K123" s="2"/>
      <c r="L123" s="2">
        <f t="shared" si="0"/>
        <v>441.25</v>
      </c>
      <c r="M123" s="2"/>
      <c r="N123" s="19">
        <f t="shared" si="1"/>
        <v>-0.41796120183381957</v>
      </c>
      <c r="O123" s="11"/>
      <c r="P123" s="2">
        <f>-1312.37</f>
        <v>-1312.37</v>
      </c>
      <c r="Q123" s="2"/>
      <c r="R123" s="19"/>
      <c r="S123" s="2"/>
      <c r="T123" s="2">
        <f>-3569.16</f>
        <v>-3569.16</v>
      </c>
      <c r="U123" s="2"/>
      <c r="V123" s="19"/>
      <c r="W123" s="2"/>
      <c r="X123" s="2">
        <f t="shared" si="2"/>
        <v>2256.79</v>
      </c>
      <c r="Y123" s="2"/>
      <c r="Z123" s="19">
        <f t="shared" si="3"/>
        <v>-0.63230283876318238</v>
      </c>
    </row>
    <row r="124" spans="1:26" s="24" customFormat="1" hidden="1" outlineLevel="1" x14ac:dyDescent="0.25">
      <c r="A124" s="44"/>
      <c r="B124" s="11" t="str">
        <f>CONCATENATE("          ", "4303", " - ", "SALES RETURN NON-TAXABLE-RENTA")</f>
        <v xml:space="preserve">          4303 - SALES RETURN NON-TAXABLE-RENTA</v>
      </c>
      <c r="C124" s="11"/>
      <c r="D124" s="2">
        <f>0</f>
        <v>0</v>
      </c>
      <c r="E124" s="2"/>
      <c r="F124" s="19"/>
      <c r="G124" s="2"/>
      <c r="H124" s="2">
        <f>0</f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-184.99</f>
        <v>-184.99</v>
      </c>
      <c r="Q124" s="2"/>
      <c r="R124" s="19"/>
      <c r="S124" s="2"/>
      <c r="T124" s="2">
        <f>-509.85</f>
        <v>-509.85</v>
      </c>
      <c r="U124" s="2"/>
      <c r="V124" s="19"/>
      <c r="W124" s="2"/>
      <c r="X124" s="2">
        <f t="shared" si="2"/>
        <v>324.86</v>
      </c>
      <c r="Y124" s="2"/>
      <c r="Z124" s="19">
        <f t="shared" si="3"/>
        <v>-0.63716779444934779</v>
      </c>
    </row>
    <row r="125" spans="1:26" s="24" customFormat="1" hidden="1" outlineLevel="1" x14ac:dyDescent="0.25">
      <c r="A125" s="44"/>
      <c r="B125" s="11" t="str">
        <f>CONCATENATE("          ", "4304", " - ", "SALES RETURN NON TAXABLE-DIGIT")</f>
        <v xml:space="preserve">          4304 - SALES RETURN NON TAXABLE-DIGIT</v>
      </c>
      <c r="C125" s="11"/>
      <c r="D125" s="2">
        <f>-4312.43</f>
        <v>-4312.43</v>
      </c>
      <c r="E125" s="2"/>
      <c r="F125" s="19"/>
      <c r="G125" s="2"/>
      <c r="H125" s="2">
        <f>-540.96</f>
        <v>-540.96</v>
      </c>
      <c r="I125" s="2"/>
      <c r="J125" s="19"/>
      <c r="K125" s="2"/>
      <c r="L125" s="2">
        <f t="shared" si="0"/>
        <v>-3771.4700000000003</v>
      </c>
      <c r="M125" s="2"/>
      <c r="N125" s="19">
        <f t="shared" si="1"/>
        <v>6.9718093759242832</v>
      </c>
      <c r="O125" s="11"/>
      <c r="P125" s="2">
        <f>-17742.75</f>
        <v>-17742.75</v>
      </c>
      <c r="Q125" s="2"/>
      <c r="R125" s="19"/>
      <c r="S125" s="2"/>
      <c r="T125" s="2">
        <f>-4284.71</f>
        <v>-4284.71</v>
      </c>
      <c r="U125" s="2"/>
      <c r="V125" s="19"/>
      <c r="W125" s="2"/>
      <c r="X125" s="2">
        <f t="shared" si="2"/>
        <v>-13458.04</v>
      </c>
      <c r="Y125" s="2"/>
      <c r="Z125" s="19">
        <f t="shared" si="3"/>
        <v>3.1409453615297185</v>
      </c>
    </row>
    <row r="126" spans="1:26" s="24" customFormat="1" hidden="1" outlineLevel="1" x14ac:dyDescent="0.25">
      <c r="A126" s="44"/>
      <c r="B126" s="11" t="str">
        <f>CONCATENATE("          ", "4311", " - ", "SALES RETURN NON TAXABLE-NO VA")</f>
        <v xml:space="preserve">          4311 - SALES RETURN NON TAXABLE-NO VA</v>
      </c>
      <c r="C126" s="11"/>
      <c r="D126" s="2">
        <f>-237.35</f>
        <v>-237.35</v>
      </c>
      <c r="E126" s="2"/>
      <c r="F126" s="19"/>
      <c r="G126" s="2"/>
      <c r="H126" s="2">
        <f>-139.77</f>
        <v>-139.77000000000001</v>
      </c>
      <c r="I126" s="2"/>
      <c r="J126" s="19"/>
      <c r="K126" s="2"/>
      <c r="L126" s="2">
        <f t="shared" si="0"/>
        <v>-97.579999999999984</v>
      </c>
      <c r="M126" s="2"/>
      <c r="N126" s="19">
        <f t="shared" si="1"/>
        <v>0.69814695571295682</v>
      </c>
      <c r="O126" s="11"/>
      <c r="P126" s="2">
        <f>-625.31</f>
        <v>-625.30999999999995</v>
      </c>
      <c r="Q126" s="2"/>
      <c r="R126" s="19"/>
      <c r="S126" s="2"/>
      <c r="T126" s="2">
        <f>-749.03</f>
        <v>-749.03</v>
      </c>
      <c r="U126" s="2"/>
      <c r="V126" s="19"/>
      <c r="W126" s="2"/>
      <c r="X126" s="2">
        <f t="shared" si="2"/>
        <v>123.72000000000003</v>
      </c>
      <c r="Y126" s="2"/>
      <c r="Z126" s="19">
        <f t="shared" si="3"/>
        <v>-0.16517362455442378</v>
      </c>
    </row>
    <row r="127" spans="1:26" s="24" customFormat="1" hidden="1" outlineLevel="1" x14ac:dyDescent="0.25">
      <c r="A127" s="44"/>
      <c r="B127" s="11" t="str">
        <f>CONCATENATE("          ", "4326", " - ", "SALES RETURN NON TAXABLE-WRITI")</f>
        <v xml:space="preserve">          4326 - SALES RETURN NON TAXABLE-WRITI</v>
      </c>
      <c r="C127" s="11"/>
      <c r="D127" s="2">
        <f t="shared" ref="D127:D128" si="13">0</f>
        <v>0</v>
      </c>
      <c r="E127" s="2"/>
      <c r="F127" s="19"/>
      <c r="G127" s="2"/>
      <c r="H127" s="2">
        <f>-6.69</f>
        <v>-6.69</v>
      </c>
      <c r="I127" s="2"/>
      <c r="J127" s="19"/>
      <c r="K127" s="2"/>
      <c r="L127" s="2">
        <f t="shared" si="0"/>
        <v>6.69</v>
      </c>
      <c r="M127" s="2"/>
      <c r="N127" s="19">
        <f t="shared" si="1"/>
        <v>-1</v>
      </c>
      <c r="O127" s="11"/>
      <c r="P127" s="2">
        <f>0</f>
        <v>0</v>
      </c>
      <c r="Q127" s="2"/>
      <c r="R127" s="19"/>
      <c r="S127" s="2"/>
      <c r="T127" s="2">
        <f>-14.77</f>
        <v>-14.77</v>
      </c>
      <c r="U127" s="2"/>
      <c r="V127" s="19"/>
      <c r="W127" s="2"/>
      <c r="X127" s="2">
        <f t="shared" si="2"/>
        <v>14.77</v>
      </c>
      <c r="Y127" s="2"/>
      <c r="Z127" s="19">
        <f t="shared" si="3"/>
        <v>-1</v>
      </c>
    </row>
    <row r="128" spans="1:26" s="24" customFormat="1" hidden="1" outlineLevel="1" x14ac:dyDescent="0.25">
      <c r="A128" s="44"/>
      <c r="B128" s="11" t="str">
        <f>CONCATENATE("          ", "4327", " - ", "SALES RETURN NON TAXABLE-SCHOO")</f>
        <v xml:space="preserve">          4327 - SALES RETURN NON TAXABLE-SCHOO</v>
      </c>
      <c r="C128" s="11"/>
      <c r="D128" s="2">
        <f t="shared" si="13"/>
        <v>0</v>
      </c>
      <c r="E128" s="2"/>
      <c r="F128" s="19"/>
      <c r="G128" s="2"/>
      <c r="H128" s="2">
        <f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-21.87</f>
        <v>-21.87</v>
      </c>
      <c r="Q128" s="2"/>
      <c r="R128" s="19"/>
      <c r="S128" s="2"/>
      <c r="T128" s="2">
        <f>0</f>
        <v>0</v>
      </c>
      <c r="U128" s="2"/>
      <c r="V128" s="19"/>
      <c r="W128" s="2"/>
      <c r="X128" s="2">
        <f t="shared" si="2"/>
        <v>-21.87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"4340", " - ", "SALES RETURN NON TAXABLE-LOGO")</f>
        <v xml:space="preserve">          4340 - SALES RETURN NON TAXABLE-LOGO</v>
      </c>
      <c r="C129" s="11"/>
      <c r="D129" s="2">
        <f>-216.75</f>
        <v>-216.75</v>
      </c>
      <c r="E129" s="2"/>
      <c r="F129" s="19"/>
      <c r="G129" s="2"/>
      <c r="H129" s="2">
        <f>-194.09</f>
        <v>-194.09</v>
      </c>
      <c r="I129" s="2"/>
      <c r="J129" s="19"/>
      <c r="K129" s="2"/>
      <c r="L129" s="2">
        <f t="shared" si="0"/>
        <v>-22.659999999999997</v>
      </c>
      <c r="M129" s="2"/>
      <c r="N129" s="19">
        <f t="shared" si="1"/>
        <v>0.1167499613581328</v>
      </c>
      <c r="O129" s="11"/>
      <c r="P129" s="2">
        <f>-931.65</f>
        <v>-931.65</v>
      </c>
      <c r="Q129" s="2"/>
      <c r="R129" s="19"/>
      <c r="S129" s="2"/>
      <c r="T129" s="2">
        <f>-495.68</f>
        <v>-495.68</v>
      </c>
      <c r="U129" s="2"/>
      <c r="V129" s="19"/>
      <c r="W129" s="2"/>
      <c r="X129" s="2">
        <f t="shared" si="2"/>
        <v>-435.96999999999997</v>
      </c>
      <c r="Y129" s="2"/>
      <c r="Z129" s="19">
        <f t="shared" si="3"/>
        <v>0.8795392188508715</v>
      </c>
    </row>
    <row r="130" spans="1:26" s="24" customFormat="1" hidden="1" outlineLevel="1" x14ac:dyDescent="0.25">
      <c r="A130" s="44"/>
      <c r="B130" s="11" t="str">
        <f>CONCATENATE("          ", "4341", " - ", "SALES RETURN NON TAXABLE-LOGO")</f>
        <v xml:space="preserve">          4341 - SALES RETURN NON TAXABLE-LOGO</v>
      </c>
      <c r="C130" s="11"/>
      <c r="D130" s="2">
        <f>-9.95</f>
        <v>-9.9499999999999993</v>
      </c>
      <c r="E130" s="2"/>
      <c r="F130" s="19"/>
      <c r="G130" s="2"/>
      <c r="H130" s="2">
        <f>-23.9</f>
        <v>-23.9</v>
      </c>
      <c r="I130" s="2"/>
      <c r="J130" s="19"/>
      <c r="K130" s="2"/>
      <c r="L130" s="2">
        <f t="shared" si="0"/>
        <v>13.95</v>
      </c>
      <c r="M130" s="2"/>
      <c r="N130" s="19">
        <f t="shared" si="1"/>
        <v>-0.58368200836820083</v>
      </c>
      <c r="O130" s="11"/>
      <c r="P130" s="2">
        <f>-30.8</f>
        <v>-30.8</v>
      </c>
      <c r="Q130" s="2"/>
      <c r="R130" s="19"/>
      <c r="S130" s="2"/>
      <c r="T130" s="2">
        <f>-142.75</f>
        <v>-142.75</v>
      </c>
      <c r="U130" s="2"/>
      <c r="V130" s="19"/>
      <c r="W130" s="2"/>
      <c r="X130" s="2">
        <f t="shared" si="2"/>
        <v>111.95</v>
      </c>
      <c r="Y130" s="2"/>
      <c r="Z130" s="19">
        <f t="shared" si="3"/>
        <v>-0.78423817863397549</v>
      </c>
    </row>
    <row r="131" spans="1:26" s="24" customFormat="1" hidden="1" outlineLevel="1" x14ac:dyDescent="0.25">
      <c r="A131" s="44"/>
      <c r="B131" s="11" t="str">
        <f>CONCATENATE("          ", "4342", " - ", "SALES RETURN NON TAXABLE-EVERY")</f>
        <v xml:space="preserve">          4342 - SALES RETURN NON TAXABLE-EVERY</v>
      </c>
      <c r="C131" s="11"/>
      <c r="D131" s="2">
        <f>-39.42</f>
        <v>-39.42</v>
      </c>
      <c r="E131" s="2"/>
      <c r="F131" s="19"/>
      <c r="G131" s="2"/>
      <c r="H131" s="2">
        <f>-14.95</f>
        <v>-14.95</v>
      </c>
      <c r="I131" s="2"/>
      <c r="J131" s="19"/>
      <c r="K131" s="2"/>
      <c r="L131" s="2">
        <f t="shared" si="0"/>
        <v>-24.470000000000002</v>
      </c>
      <c r="M131" s="2"/>
      <c r="N131" s="19">
        <f t="shared" si="1"/>
        <v>1.6367892976588632</v>
      </c>
      <c r="O131" s="11"/>
      <c r="P131" s="2">
        <f>-149.22</f>
        <v>-149.22</v>
      </c>
      <c r="Q131" s="2"/>
      <c r="R131" s="19"/>
      <c r="S131" s="2"/>
      <c r="T131" s="2">
        <f>-83.7</f>
        <v>-83.7</v>
      </c>
      <c r="U131" s="2"/>
      <c r="V131" s="19"/>
      <c r="W131" s="2"/>
      <c r="X131" s="2">
        <f t="shared" si="2"/>
        <v>-65.52</v>
      </c>
      <c r="Y131" s="2"/>
      <c r="Z131" s="19">
        <f t="shared" si="3"/>
        <v>0.78279569892473111</v>
      </c>
    </row>
    <row r="132" spans="1:26" s="24" customFormat="1" hidden="1" outlineLevel="1" x14ac:dyDescent="0.25">
      <c r="A132" s="44"/>
      <c r="B132" s="11" t="str">
        <f>CONCATENATE("          ", "4346", " - ", "SALES RETURN NON TAXABLE-COIN-")</f>
        <v xml:space="preserve">          4346 - SALES RETURN NON TAXABLE-COIN-</v>
      </c>
      <c r="C132" s="11"/>
      <c r="D132" s="2">
        <f t="shared" ref="D132:D134" si="14">0</f>
        <v>0</v>
      </c>
      <c r="E132" s="2"/>
      <c r="F132" s="19"/>
      <c r="G132" s="2"/>
      <c r="H132" s="2">
        <f>0</f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-8.15</f>
        <v>-8.15</v>
      </c>
      <c r="Q132" s="2"/>
      <c r="R132" s="19"/>
      <c r="S132" s="2"/>
      <c r="T132" s="2">
        <f>0</f>
        <v>0</v>
      </c>
      <c r="U132" s="2"/>
      <c r="V132" s="19"/>
      <c r="W132" s="2"/>
      <c r="X132" s="2">
        <f t="shared" si="2"/>
        <v>-8.15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"4381", " - ", "SALES RETURN NON TAXABLE-ELECT")</f>
        <v xml:space="preserve">          4381 - SALES RETURN NON TAXABLE-ELECT</v>
      </c>
      <c r="C133" s="11"/>
      <c r="D133" s="2">
        <f t="shared" si="14"/>
        <v>0</v>
      </c>
      <c r="E133" s="2"/>
      <c r="F133" s="19"/>
      <c r="G133" s="2"/>
      <c r="H133" s="2">
        <f>-79.95</f>
        <v>-79.95</v>
      </c>
      <c r="I133" s="2"/>
      <c r="J133" s="19"/>
      <c r="K133" s="2"/>
      <c r="L133" s="2">
        <f t="shared" si="0"/>
        <v>79.95</v>
      </c>
      <c r="M133" s="2"/>
      <c r="N133" s="19">
        <f t="shared" si="1"/>
        <v>-1</v>
      </c>
      <c r="O133" s="11"/>
      <c r="P133" s="2">
        <f>-1279.84</f>
        <v>-1279.8399999999999</v>
      </c>
      <c r="Q133" s="2"/>
      <c r="R133" s="19"/>
      <c r="S133" s="2"/>
      <c r="T133" s="2">
        <f>-89.94</f>
        <v>-89.94</v>
      </c>
      <c r="U133" s="2"/>
      <c r="V133" s="19"/>
      <c r="W133" s="2"/>
      <c r="X133" s="2">
        <f t="shared" si="2"/>
        <v>-1189.8999999999999</v>
      </c>
      <c r="Y133" s="2"/>
      <c r="Z133" s="19">
        <f t="shared" si="3"/>
        <v>13.229931065154545</v>
      </c>
    </row>
    <row r="134" spans="1:26" s="24" customFormat="1" hidden="1" outlineLevel="1" x14ac:dyDescent="0.25">
      <c r="A134" s="44"/>
      <c r="B134" s="11" t="str">
        <f>CONCATENATE("          ", "4383", " - ", "SALES RETURN NON TAXABLE-COMPU")</f>
        <v xml:space="preserve">          4383 - SALES RETURN NON TAXABLE-COMPU</v>
      </c>
      <c r="C134" s="11"/>
      <c r="D134" s="2">
        <f t="shared" si="14"/>
        <v>0</v>
      </c>
      <c r="E134" s="2"/>
      <c r="F134" s="19"/>
      <c r="G134" s="2"/>
      <c r="H134" s="2">
        <f>-64.97</f>
        <v>-64.97</v>
      </c>
      <c r="I134" s="2"/>
      <c r="J134" s="19"/>
      <c r="K134" s="2"/>
      <c r="L134" s="2">
        <f t="shared" si="0"/>
        <v>64.97</v>
      </c>
      <c r="M134" s="2"/>
      <c r="N134" s="19">
        <f t="shared" si="1"/>
        <v>-1</v>
      </c>
      <c r="O134" s="11"/>
      <c r="P134" s="2">
        <f>-49.98</f>
        <v>-49.98</v>
      </c>
      <c r="Q134" s="2"/>
      <c r="R134" s="19"/>
      <c r="S134" s="2"/>
      <c r="T134" s="2">
        <f>-118.94</f>
        <v>-118.94</v>
      </c>
      <c r="U134" s="2"/>
      <c r="V134" s="19"/>
      <c r="W134" s="2"/>
      <c r="X134" s="2">
        <f t="shared" si="2"/>
        <v>68.960000000000008</v>
      </c>
      <c r="Y134" s="2"/>
      <c r="Z134" s="19">
        <f t="shared" si="3"/>
        <v>-0.57978812846813532</v>
      </c>
    </row>
    <row r="135" spans="1:26" s="24" customFormat="1" hidden="1" outlineLevel="1" x14ac:dyDescent="0.25">
      <c r="A135" s="44"/>
      <c r="B135" s="11" t="str">
        <f>CONCATENATE("          ", "4386", " - ", "SALES RETURN NON TAXABLE-COMPU")</f>
        <v xml:space="preserve">          4386 - SALES RETURN NON TAXABLE-COMPU</v>
      </c>
      <c r="C135" s="11"/>
      <c r="D135" s="2">
        <f>-49.99</f>
        <v>-49.99</v>
      </c>
      <c r="E135" s="2"/>
      <c r="F135" s="19"/>
      <c r="G135" s="2"/>
      <c r="H135" s="2">
        <f>0</f>
        <v>0</v>
      </c>
      <c r="I135" s="2"/>
      <c r="J135" s="19"/>
      <c r="K135" s="2"/>
      <c r="L135" s="2">
        <f t="shared" si="0"/>
        <v>-49.99</v>
      </c>
      <c r="M135" s="2"/>
      <c r="N135" s="19">
        <f t="shared" si="1"/>
        <v>0</v>
      </c>
      <c r="O135" s="11"/>
      <c r="P135" s="2">
        <f>-104.96</f>
        <v>-104.96</v>
      </c>
      <c r="Q135" s="2"/>
      <c r="R135" s="19"/>
      <c r="S135" s="2"/>
      <c r="T135" s="2">
        <f>-49.99</f>
        <v>-49.99</v>
      </c>
      <c r="U135" s="2"/>
      <c r="V135" s="19"/>
      <c r="W135" s="2"/>
      <c r="X135" s="2">
        <f t="shared" si="2"/>
        <v>-54.969999999999992</v>
      </c>
      <c r="Y135" s="2"/>
      <c r="Z135" s="19">
        <f t="shared" si="3"/>
        <v>1.0996199239847968</v>
      </c>
    </row>
    <row r="136" spans="1:26" x14ac:dyDescent="0.25">
      <c r="A136" s="9"/>
      <c r="B136" s="10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collapsed="1" x14ac:dyDescent="0.25">
      <c r="A137" s="10"/>
      <c r="B137" s="29" t="s">
        <v>8</v>
      </c>
      <c r="C137" s="10"/>
      <c r="D137" s="4">
        <f>SUM(OSRRefD16x_0)</f>
        <v>1773538.9499999995</v>
      </c>
      <c r="E137" s="4"/>
      <c r="F137" s="12">
        <f t="shared" ref="F137:F196" si="15">IF(D$12=0,0,D137/D$12)</f>
        <v>0.4853868195109029</v>
      </c>
      <c r="G137" s="4"/>
      <c r="H137" s="4">
        <f>SUM(OSRRefH16x_0)</f>
        <v>2296041.5500000003</v>
      </c>
      <c r="I137" s="4"/>
      <c r="J137" s="12">
        <f t="shared" ref="J137:J196" si="16">IF(H$12=0,0,H137/H$12)</f>
        <v>0.56088918978105939</v>
      </c>
      <c r="K137" s="4"/>
      <c r="L137" s="4">
        <f t="shared" ref="L137:L196" si="17">+D137-H137</f>
        <v>-522502.60000000079</v>
      </c>
      <c r="M137" s="4"/>
      <c r="N137" s="12">
        <f t="shared" ref="N137:N196" si="18">IF(H137=0,0,L137/H137)</f>
        <v>-0.22756670061131984</v>
      </c>
      <c r="O137" s="10"/>
      <c r="P137" s="4">
        <f>SUM(OSRRefP16x_0)</f>
        <v>9655340.9400000032</v>
      </c>
      <c r="Q137" s="4"/>
      <c r="R137" s="12">
        <f t="shared" ref="R137:R196" si="19">IF(P$12=0,0,P137/P$12)</f>
        <v>0.44429758073655878</v>
      </c>
      <c r="S137" s="4"/>
      <c r="T137" s="4">
        <f>SUM(OSRRefT16x_0)</f>
        <v>10343763.470000004</v>
      </c>
      <c r="U137" s="4"/>
      <c r="V137" s="12">
        <f t="shared" ref="V137:V196" si="20">IF(T$12=0,0,T137/T$12)</f>
        <v>0.46118149409121517</v>
      </c>
      <c r="W137" s="4"/>
      <c r="X137" s="4">
        <f t="shared" ref="X137:X196" si="21">+P137-T137</f>
        <v>-688422.53000000119</v>
      </c>
      <c r="Y137" s="4"/>
      <c r="Z137" s="12">
        <f t="shared" ref="Z137:Z196" si="22">IF(T137=0,0,X137/T137)</f>
        <v>-6.6554357318458768E-2</v>
      </c>
    </row>
    <row r="138" spans="1:26" s="24" customFormat="1" hidden="1" outlineLevel="1" x14ac:dyDescent="0.25">
      <c r="A138" s="44"/>
      <c r="B138" s="11" t="str">
        <f>CONCATENATE("          ", "5001", " - ", "PURCHASES @ COST-NEW TEXT")</f>
        <v xml:space="preserve">          5001 - PURCHASES @ COST-NEW TEXT</v>
      </c>
      <c r="C138" s="11"/>
      <c r="D138" s="2">
        <v>890224.90999999992</v>
      </c>
      <c r="E138" s="2"/>
      <c r="F138" s="19">
        <f t="shared" si="15"/>
        <v>0.24363910232379157</v>
      </c>
      <c r="G138" s="2"/>
      <c r="H138" s="2">
        <v>795267.40999999992</v>
      </c>
      <c r="I138" s="2"/>
      <c r="J138" s="19">
        <f t="shared" si="16"/>
        <v>0.19427213468945345</v>
      </c>
      <c r="K138" s="2"/>
      <c r="L138" s="2">
        <f t="shared" si="17"/>
        <v>94957.5</v>
      </c>
      <c r="M138" s="2"/>
      <c r="N138" s="19">
        <f t="shared" si="18"/>
        <v>0.11940323318416884</v>
      </c>
      <c r="O138" s="11"/>
      <c r="P138" s="2">
        <v>2627294.66</v>
      </c>
      <c r="Q138" s="2"/>
      <c r="R138" s="19">
        <f t="shared" si="19"/>
        <v>0.12089688687058205</v>
      </c>
      <c r="S138" s="2"/>
      <c r="T138" s="2">
        <v>2950999.91</v>
      </c>
      <c r="U138" s="2"/>
      <c r="V138" s="19">
        <f t="shared" si="20"/>
        <v>0.13157170032976798</v>
      </c>
      <c r="W138" s="2"/>
      <c r="X138" s="2">
        <f t="shared" si="21"/>
        <v>-323705.25</v>
      </c>
      <c r="Y138" s="2"/>
      <c r="Z138" s="19">
        <f t="shared" si="22"/>
        <v>-0.10969341235933823</v>
      </c>
    </row>
    <row r="139" spans="1:26" s="24" customFormat="1" hidden="1" outlineLevel="1" x14ac:dyDescent="0.25">
      <c r="A139" s="44"/>
      <c r="B139" s="11" t="str">
        <f>CONCATENATE("          ", "5002", " - ", "PURCHASES @ COST-USED TEXT")</f>
        <v xml:space="preserve">          5002 - PURCHASES @ COST-USED TEXT</v>
      </c>
      <c r="C139" s="11"/>
      <c r="D139" s="2">
        <v>260084.68000000002</v>
      </c>
      <c r="E139" s="2"/>
      <c r="F139" s="19">
        <f t="shared" si="15"/>
        <v>7.1180661484040703E-2</v>
      </c>
      <c r="G139" s="2"/>
      <c r="H139" s="2">
        <v>169941.1</v>
      </c>
      <c r="I139" s="2"/>
      <c r="J139" s="19">
        <f t="shared" si="16"/>
        <v>4.1514111924282025E-2</v>
      </c>
      <c r="K139" s="2"/>
      <c r="L139" s="2">
        <f t="shared" si="17"/>
        <v>90143.580000000016</v>
      </c>
      <c r="M139" s="2"/>
      <c r="N139" s="19">
        <f t="shared" si="18"/>
        <v>0.53044013484672048</v>
      </c>
      <c r="O139" s="11"/>
      <c r="P139" s="2">
        <v>512607.53</v>
      </c>
      <c r="Q139" s="2"/>
      <c r="R139" s="19">
        <f t="shared" si="19"/>
        <v>2.3588010704295535E-2</v>
      </c>
      <c r="S139" s="2"/>
      <c r="T139" s="2">
        <v>422304.25</v>
      </c>
      <c r="U139" s="2"/>
      <c r="V139" s="19">
        <f t="shared" si="20"/>
        <v>1.8828630946650018E-2</v>
      </c>
      <c r="W139" s="2"/>
      <c r="X139" s="2">
        <f t="shared" si="21"/>
        <v>90303.280000000028</v>
      </c>
      <c r="Y139" s="2"/>
      <c r="Z139" s="19">
        <f t="shared" si="22"/>
        <v>0.21383464646638065</v>
      </c>
    </row>
    <row r="140" spans="1:26" s="24" customFormat="1" hidden="1" outlineLevel="1" x14ac:dyDescent="0.25">
      <c r="A140" s="44"/>
      <c r="B140" s="11" t="str">
        <f>CONCATENATE("          ", "5003", " - ", "PURCHASES @ COST-RENTAL TEXT")</f>
        <v xml:space="preserve">          5003 - PURCHASES @ COST-RENTAL TEXT</v>
      </c>
      <c r="C140" s="11"/>
      <c r="D140" s="2"/>
      <c r="E140" s="2"/>
      <c r="F140" s="19">
        <f t="shared" si="15"/>
        <v>0</v>
      </c>
      <c r="G140" s="2"/>
      <c r="H140" s="2">
        <v>45275.65</v>
      </c>
      <c r="I140" s="2"/>
      <c r="J140" s="19">
        <f t="shared" si="16"/>
        <v>1.1060175564031417E-2</v>
      </c>
      <c r="K140" s="2"/>
      <c r="L140" s="2">
        <f t="shared" si="17"/>
        <v>-45275.65</v>
      </c>
      <c r="M140" s="2"/>
      <c r="N140" s="19">
        <f t="shared" si="18"/>
        <v>-1</v>
      </c>
      <c r="O140" s="11"/>
      <c r="P140" s="2">
        <v>-78.400000000000006</v>
      </c>
      <c r="Q140" s="2"/>
      <c r="R140" s="19">
        <f t="shared" si="19"/>
        <v>-3.6076333861439179E-6</v>
      </c>
      <c r="S140" s="2"/>
      <c r="T140" s="2">
        <v>53419.4</v>
      </c>
      <c r="U140" s="2"/>
      <c r="V140" s="19">
        <f t="shared" si="20"/>
        <v>2.3817287370218889E-3</v>
      </c>
      <c r="W140" s="2"/>
      <c r="X140" s="2">
        <f t="shared" si="21"/>
        <v>-53497.8</v>
      </c>
      <c r="Y140" s="2"/>
      <c r="Z140" s="19">
        <f t="shared" si="22"/>
        <v>-1.0014676316094901</v>
      </c>
    </row>
    <row r="141" spans="1:26" s="24" customFormat="1" hidden="1" outlineLevel="1" x14ac:dyDescent="0.25">
      <c r="A141" s="44"/>
      <c r="B141" s="11" t="str">
        <f>CONCATENATE("          ", "5004", " - ", "PURCHASES @ COST-DIGITAL TEXT")</f>
        <v xml:space="preserve">          5004 - PURCHASES @ COST-DIGITAL TEXT</v>
      </c>
      <c r="C141" s="11"/>
      <c r="D141" s="2">
        <v>119541.49999999999</v>
      </c>
      <c r="E141" s="2"/>
      <c r="F141" s="19">
        <f t="shared" si="15"/>
        <v>3.2716433143214929E-2</v>
      </c>
      <c r="G141" s="2"/>
      <c r="H141" s="2">
        <v>121328.07999999999</v>
      </c>
      <c r="I141" s="2"/>
      <c r="J141" s="19">
        <f t="shared" si="16"/>
        <v>2.9638665941777727E-2</v>
      </c>
      <c r="K141" s="2"/>
      <c r="L141" s="2">
        <f t="shared" si="17"/>
        <v>-1786.5800000000017</v>
      </c>
      <c r="M141" s="2"/>
      <c r="N141" s="19">
        <f t="shared" si="18"/>
        <v>-1.4725197992088905E-2</v>
      </c>
      <c r="O141" s="11"/>
      <c r="P141" s="2">
        <v>473893.77</v>
      </c>
      <c r="Q141" s="2"/>
      <c r="R141" s="19">
        <f t="shared" si="19"/>
        <v>2.1806568700734781E-2</v>
      </c>
      <c r="S141" s="2"/>
      <c r="T141" s="2">
        <v>453923.02</v>
      </c>
      <c r="U141" s="2"/>
      <c r="V141" s="19">
        <f t="shared" si="20"/>
        <v>2.0238368479049963E-2</v>
      </c>
      <c r="W141" s="2"/>
      <c r="X141" s="2">
        <f t="shared" si="21"/>
        <v>19970.75</v>
      </c>
      <c r="Y141" s="2"/>
      <c r="Z141" s="19">
        <f t="shared" si="22"/>
        <v>4.3995896044223534E-2</v>
      </c>
    </row>
    <row r="142" spans="1:26" s="24" customFormat="1" hidden="1" outlineLevel="1" x14ac:dyDescent="0.25">
      <c r="A142" s="44"/>
      <c r="B142" s="11" t="str">
        <f>CONCATENATE("          ", "5011", " - ", "PURCHASES @ COST-NO VALUE TEXT")</f>
        <v xml:space="preserve">          5011 - PURCHASES @ COST-NO VALUE TEXT</v>
      </c>
      <c r="C142" s="11"/>
      <c r="D142" s="2">
        <v>573</v>
      </c>
      <c r="E142" s="2"/>
      <c r="F142" s="19">
        <f t="shared" si="15"/>
        <v>1.568201519226558E-4</v>
      </c>
      <c r="G142" s="2"/>
      <c r="H142" s="2">
        <v>357</v>
      </c>
      <c r="I142" s="2"/>
      <c r="J142" s="19">
        <f t="shared" si="16"/>
        <v>8.7209850689260474E-5</v>
      </c>
      <c r="K142" s="2"/>
      <c r="L142" s="2">
        <f t="shared" si="17"/>
        <v>216</v>
      </c>
      <c r="M142" s="2"/>
      <c r="N142" s="19">
        <f t="shared" si="18"/>
        <v>0.60504201680672265</v>
      </c>
      <c r="O142" s="11"/>
      <c r="P142" s="2">
        <v>5475</v>
      </c>
      <c r="Q142" s="2"/>
      <c r="R142" s="19">
        <f t="shared" si="19"/>
        <v>2.5193613251451463E-4</v>
      </c>
      <c r="S142" s="2"/>
      <c r="T142" s="2">
        <v>2931</v>
      </c>
      <c r="U142" s="2"/>
      <c r="V142" s="19">
        <f t="shared" si="20"/>
        <v>1.3067999506192798E-4</v>
      </c>
      <c r="W142" s="2"/>
      <c r="X142" s="2">
        <f t="shared" si="21"/>
        <v>2544</v>
      </c>
      <c r="Y142" s="2"/>
      <c r="Z142" s="19">
        <f t="shared" si="22"/>
        <v>0.86796315250767653</v>
      </c>
    </row>
    <row r="143" spans="1:26" s="24" customFormat="1" hidden="1" outlineLevel="1" x14ac:dyDescent="0.25">
      <c r="A143" s="44"/>
      <c r="B143" s="11" t="str">
        <f>CONCATENATE("          ", "5013", " - ", "PURCHASES @ COST-TRADE BOOKS")</f>
        <v xml:space="preserve">          5013 - PURCHASES @ COST-TRADE BOOKS</v>
      </c>
      <c r="C143" s="11"/>
      <c r="D143" s="2">
        <v>-276.85000000000002</v>
      </c>
      <c r="E143" s="2"/>
      <c r="F143" s="19">
        <f t="shared" si="15"/>
        <v>-7.576903849875613E-5</v>
      </c>
      <c r="G143" s="2"/>
      <c r="H143" s="2">
        <v>-29.05</v>
      </c>
      <c r="I143" s="2"/>
      <c r="J143" s="19">
        <f t="shared" si="16"/>
        <v>-7.0964878502045292E-6</v>
      </c>
      <c r="K143" s="2"/>
      <c r="L143" s="2">
        <f t="shared" si="17"/>
        <v>-247.8</v>
      </c>
      <c r="M143" s="2"/>
      <c r="N143" s="19">
        <f t="shared" si="18"/>
        <v>8.5301204819277103</v>
      </c>
      <c r="O143" s="11"/>
      <c r="P143" s="2">
        <v>458.46</v>
      </c>
      <c r="Q143" s="2"/>
      <c r="R143" s="19">
        <f t="shared" si="19"/>
        <v>2.1096372477188015E-5</v>
      </c>
      <c r="S143" s="2"/>
      <c r="T143" s="2">
        <v>1377.89</v>
      </c>
      <c r="U143" s="2"/>
      <c r="V143" s="19">
        <f t="shared" si="20"/>
        <v>6.1433865027594672E-5</v>
      </c>
      <c r="W143" s="2"/>
      <c r="X143" s="2">
        <f t="shared" si="21"/>
        <v>-919.43000000000006</v>
      </c>
      <c r="Y143" s="2"/>
      <c r="Z143" s="19">
        <f t="shared" si="22"/>
        <v>-0.66727387527306248</v>
      </c>
    </row>
    <row r="144" spans="1:26" s="24" customFormat="1" hidden="1" outlineLevel="1" x14ac:dyDescent="0.25">
      <c r="A144" s="44"/>
      <c r="B144" s="11" t="str">
        <f>CONCATENATE("          ", "5014", " - ", "PURCHASES @ COST-REMAINDERS")</f>
        <v xml:space="preserve">          5014 - PURCHASES @ COST-REMAINDERS</v>
      </c>
      <c r="C144" s="11"/>
      <c r="D144" s="2">
        <v>69.599999999999994</v>
      </c>
      <c r="E144" s="2"/>
      <c r="F144" s="19">
        <f t="shared" si="15"/>
        <v>1.9048311647149813E-5</v>
      </c>
      <c r="G144" s="2"/>
      <c r="H144" s="2">
        <v>166.6</v>
      </c>
      <c r="I144" s="2"/>
      <c r="J144" s="19">
        <f t="shared" si="16"/>
        <v>4.0697930321654884E-5</v>
      </c>
      <c r="K144" s="2"/>
      <c r="L144" s="2">
        <f t="shared" si="17"/>
        <v>-97</v>
      </c>
      <c r="M144" s="2"/>
      <c r="N144" s="19">
        <f t="shared" si="18"/>
        <v>-0.5822328931572629</v>
      </c>
      <c r="O144" s="11"/>
      <c r="P144" s="2">
        <v>583.39</v>
      </c>
      <c r="Q144" s="2"/>
      <c r="R144" s="19">
        <f t="shared" si="19"/>
        <v>2.684511787171556E-5</v>
      </c>
      <c r="S144" s="2"/>
      <c r="T144" s="2">
        <v>954.56</v>
      </c>
      <c r="U144" s="2"/>
      <c r="V144" s="19">
        <f t="shared" si="20"/>
        <v>4.255950054121937E-5</v>
      </c>
      <c r="W144" s="2"/>
      <c r="X144" s="2">
        <f t="shared" si="21"/>
        <v>-371.16999999999996</v>
      </c>
      <c r="Y144" s="2"/>
      <c r="Z144" s="19">
        <f t="shared" si="22"/>
        <v>-0.38883883674153535</v>
      </c>
    </row>
    <row r="145" spans="1:26" s="24" customFormat="1" hidden="1" outlineLevel="1" x14ac:dyDescent="0.25">
      <c r="A145" s="44"/>
      <c r="B145" s="11" t="str">
        <f>CONCATENATE("          ", "5017", " - ", "PURCHASES @ COST-DORM/HOUSEWAR")</f>
        <v xml:space="preserve">          5017 - PURCHASES @ COST-DORM/HOUSEWAR</v>
      </c>
      <c r="C145" s="11"/>
      <c r="D145" s="2"/>
      <c r="E145" s="2"/>
      <c r="F145" s="19">
        <f t="shared" si="15"/>
        <v>0</v>
      </c>
      <c r="G145" s="2"/>
      <c r="H145" s="2"/>
      <c r="I145" s="2"/>
      <c r="J145" s="19">
        <f t="shared" si="16"/>
        <v>0</v>
      </c>
      <c r="K145" s="2"/>
      <c r="L145" s="2">
        <f t="shared" si="17"/>
        <v>0</v>
      </c>
      <c r="M145" s="2"/>
      <c r="N145" s="19">
        <f t="shared" si="18"/>
        <v>0</v>
      </c>
      <c r="O145" s="11"/>
      <c r="P145" s="2">
        <v>0</v>
      </c>
      <c r="Q145" s="2"/>
      <c r="R145" s="19">
        <f t="shared" si="19"/>
        <v>0</v>
      </c>
      <c r="S145" s="2"/>
      <c r="T145" s="2">
        <v>239.9</v>
      </c>
      <c r="U145" s="2"/>
      <c r="V145" s="19">
        <f t="shared" si="20"/>
        <v>1.0696052819978343E-5</v>
      </c>
      <c r="W145" s="2"/>
      <c r="X145" s="2">
        <f t="shared" si="21"/>
        <v>-239.9</v>
      </c>
      <c r="Y145" s="2"/>
      <c r="Z145" s="19">
        <f t="shared" si="22"/>
        <v>-1</v>
      </c>
    </row>
    <row r="146" spans="1:26" s="24" customFormat="1" hidden="1" outlineLevel="1" x14ac:dyDescent="0.25">
      <c r="A146" s="44"/>
      <c r="B146" s="11" t="str">
        <f>CONCATENATE("          ", "5018", " - ", "PURCHASES @ COST-STUDY GUIDES")</f>
        <v xml:space="preserve">          5018 - PURCHASES @ COST-STUDY GUIDES</v>
      </c>
      <c r="C146" s="11"/>
      <c r="D146" s="2">
        <v>1032.75</v>
      </c>
      <c r="E146" s="2"/>
      <c r="F146" s="19">
        <f t="shared" si="15"/>
        <v>2.8264574502290187E-4</v>
      </c>
      <c r="G146" s="2"/>
      <c r="H146" s="2">
        <v>-1051.22</v>
      </c>
      <c r="I146" s="2"/>
      <c r="J146" s="19">
        <f t="shared" si="16"/>
        <v>-2.567975889119451E-4</v>
      </c>
      <c r="K146" s="2"/>
      <c r="L146" s="2">
        <f t="shared" si="17"/>
        <v>2083.9700000000003</v>
      </c>
      <c r="M146" s="2"/>
      <c r="N146" s="19">
        <f t="shared" si="18"/>
        <v>-1.9824299385475925</v>
      </c>
      <c r="O146" s="11"/>
      <c r="P146" s="2">
        <v>2031.15</v>
      </c>
      <c r="Q146" s="2"/>
      <c r="R146" s="19">
        <f t="shared" si="19"/>
        <v>9.3464853982987473E-5</v>
      </c>
      <c r="S146" s="2"/>
      <c r="T146" s="2">
        <v>1034.55</v>
      </c>
      <c r="U146" s="2"/>
      <c r="V146" s="19">
        <f t="shared" si="20"/>
        <v>4.6125891808706103E-5</v>
      </c>
      <c r="W146" s="2"/>
      <c r="X146" s="2">
        <f t="shared" si="21"/>
        <v>996.60000000000014</v>
      </c>
      <c r="Y146" s="2"/>
      <c r="Z146" s="19">
        <f t="shared" si="22"/>
        <v>0.96331738437001613</v>
      </c>
    </row>
    <row r="147" spans="1:26" s="24" customFormat="1" hidden="1" outlineLevel="1" x14ac:dyDescent="0.25">
      <c r="A147" s="44"/>
      <c r="B147" s="11" t="str">
        <f>CONCATENATE("          ", "5025", " - ", "PURCHASES @ COST-TEST FORMS")</f>
        <v xml:space="preserve">          5025 - PURCHASES @ COST-TEST FORMS</v>
      </c>
      <c r="C147" s="11"/>
      <c r="D147" s="2">
        <v>880</v>
      </c>
      <c r="E147" s="2"/>
      <c r="F147" s="19">
        <f t="shared" si="15"/>
        <v>2.4084072197545742E-4</v>
      </c>
      <c r="G147" s="2"/>
      <c r="H147" s="2">
        <v>1316.92</v>
      </c>
      <c r="I147" s="2"/>
      <c r="J147" s="19">
        <f t="shared" si="16"/>
        <v>3.2170419207199136E-4</v>
      </c>
      <c r="K147" s="2"/>
      <c r="L147" s="2">
        <f t="shared" si="17"/>
        <v>-436.92000000000007</v>
      </c>
      <c r="M147" s="2"/>
      <c r="N147" s="19">
        <f t="shared" si="18"/>
        <v>-0.33177413965920483</v>
      </c>
      <c r="O147" s="11"/>
      <c r="P147" s="2">
        <v>22978.390000000003</v>
      </c>
      <c r="Q147" s="2"/>
      <c r="R147" s="19">
        <f t="shared" si="19"/>
        <v>1.0573674352530045E-3</v>
      </c>
      <c r="S147" s="2"/>
      <c r="T147" s="2">
        <v>16316.070000000002</v>
      </c>
      <c r="U147" s="2"/>
      <c r="V147" s="19">
        <f t="shared" si="20"/>
        <v>7.2745955204028378E-4</v>
      </c>
      <c r="W147" s="2"/>
      <c r="X147" s="2">
        <f t="shared" si="21"/>
        <v>6662.3200000000015</v>
      </c>
      <c r="Y147" s="2"/>
      <c r="Z147" s="19">
        <f t="shared" si="22"/>
        <v>0.40832872131585612</v>
      </c>
    </row>
    <row r="148" spans="1:26" s="24" customFormat="1" hidden="1" outlineLevel="1" x14ac:dyDescent="0.25">
      <c r="A148" s="44"/>
      <c r="B148" s="11" t="str">
        <f>CONCATENATE("          ", "5026", " - ", "PURCHASES @ COST-WRITING INSTR")</f>
        <v xml:space="preserve">          5026 - PURCHASES @ COST-WRITING INSTR</v>
      </c>
      <c r="C148" s="11"/>
      <c r="D148" s="2">
        <v>9201.3799999999992</v>
      </c>
      <c r="E148" s="2"/>
      <c r="F148" s="19">
        <f t="shared" si="15"/>
        <v>2.5182579572392435E-3</v>
      </c>
      <c r="G148" s="2"/>
      <c r="H148" s="2">
        <v>9855.14</v>
      </c>
      <c r="I148" s="2"/>
      <c r="J148" s="19">
        <f t="shared" si="16"/>
        <v>2.4074657924979229E-3</v>
      </c>
      <c r="K148" s="2"/>
      <c r="L148" s="2">
        <f t="shared" si="17"/>
        <v>-653.76000000000022</v>
      </c>
      <c r="M148" s="2"/>
      <c r="N148" s="19">
        <f t="shared" si="18"/>
        <v>-6.6336957161440654E-2</v>
      </c>
      <c r="O148" s="11"/>
      <c r="P148" s="2">
        <v>43496.15</v>
      </c>
      <c r="Q148" s="2"/>
      <c r="R148" s="19">
        <f t="shared" si="19"/>
        <v>2.0015071799582111E-3</v>
      </c>
      <c r="S148" s="2"/>
      <c r="T148" s="2">
        <v>41629.360000000001</v>
      </c>
      <c r="U148" s="2"/>
      <c r="V148" s="19">
        <f t="shared" si="20"/>
        <v>1.856064332729861E-3</v>
      </c>
      <c r="W148" s="2"/>
      <c r="X148" s="2">
        <f t="shared" si="21"/>
        <v>1866.7900000000009</v>
      </c>
      <c r="Y148" s="2"/>
      <c r="Z148" s="19">
        <f t="shared" si="22"/>
        <v>4.4843110727621101E-2</v>
      </c>
    </row>
    <row r="149" spans="1:26" s="24" customFormat="1" hidden="1" outlineLevel="1" x14ac:dyDescent="0.25">
      <c r="A149" s="44"/>
      <c r="B149" s="11" t="str">
        <f>CONCATENATE("          ", "5027", " - ", "PURCHASES @ COST-SCHOOL SUPPLI")</f>
        <v xml:space="preserve">          5027 - PURCHASES @ COST-SCHOOL SUPPLI</v>
      </c>
      <c r="C149" s="11"/>
      <c r="D149" s="2">
        <v>42814.02</v>
      </c>
      <c r="E149" s="2"/>
      <c r="F149" s="19">
        <f t="shared" si="15"/>
        <v>1.1717453963035992E-2</v>
      </c>
      <c r="G149" s="2"/>
      <c r="H149" s="2">
        <v>15619.089999999998</v>
      </c>
      <c r="I149" s="2"/>
      <c r="J149" s="19">
        <f t="shared" si="16"/>
        <v>3.8155140246558016E-3</v>
      </c>
      <c r="K149" s="2"/>
      <c r="L149" s="2">
        <f t="shared" si="17"/>
        <v>27194.93</v>
      </c>
      <c r="M149" s="2"/>
      <c r="N149" s="19">
        <f t="shared" si="18"/>
        <v>1.7411340865568994</v>
      </c>
      <c r="O149" s="11"/>
      <c r="P149" s="2">
        <v>120814.02</v>
      </c>
      <c r="Q149" s="2"/>
      <c r="R149" s="19">
        <f t="shared" si="19"/>
        <v>5.5593455620696298E-3</v>
      </c>
      <c r="S149" s="2"/>
      <c r="T149" s="2">
        <v>113525.58</v>
      </c>
      <c r="U149" s="2"/>
      <c r="V149" s="19">
        <f t="shared" si="20"/>
        <v>5.0615906631874827E-3</v>
      </c>
      <c r="W149" s="2"/>
      <c r="X149" s="2">
        <f t="shared" si="21"/>
        <v>7288.4400000000023</v>
      </c>
      <c r="Y149" s="2"/>
      <c r="Z149" s="19">
        <f t="shared" si="22"/>
        <v>6.4200861162744136E-2</v>
      </c>
    </row>
    <row r="150" spans="1:26" s="24" customFormat="1" hidden="1" outlineLevel="1" x14ac:dyDescent="0.25">
      <c r="A150" s="44"/>
      <c r="B150" s="11" t="str">
        <f>CONCATENATE("          ", "5028", " - ", "PURCHASES @ COST-ART/TECH")</f>
        <v xml:space="preserve">          5028 - PURCHASES @ COST-ART/TECH</v>
      </c>
      <c r="C150" s="11"/>
      <c r="D150" s="2">
        <v>32126.68</v>
      </c>
      <c r="E150" s="2"/>
      <c r="F150" s="19">
        <f t="shared" si="15"/>
        <v>8.7925145521300999E-3</v>
      </c>
      <c r="G150" s="2"/>
      <c r="H150" s="2">
        <v>38426.899999999994</v>
      </c>
      <c r="I150" s="2"/>
      <c r="J150" s="19">
        <f t="shared" si="16"/>
        <v>9.3871266427202876E-3</v>
      </c>
      <c r="K150" s="2"/>
      <c r="L150" s="2">
        <f t="shared" si="17"/>
        <v>-6300.2199999999939</v>
      </c>
      <c r="M150" s="2"/>
      <c r="N150" s="19">
        <f t="shared" si="18"/>
        <v>-0.16395337641079544</v>
      </c>
      <c r="O150" s="11"/>
      <c r="P150" s="2">
        <v>135127.5</v>
      </c>
      <c r="Q150" s="2"/>
      <c r="R150" s="19">
        <f t="shared" si="19"/>
        <v>6.2179908212520686E-3</v>
      </c>
      <c r="S150" s="2"/>
      <c r="T150" s="2">
        <v>136220.42000000001</v>
      </c>
      <c r="U150" s="2"/>
      <c r="V150" s="19">
        <f t="shared" si="20"/>
        <v>6.0734506355966424E-3</v>
      </c>
      <c r="W150" s="2"/>
      <c r="X150" s="2">
        <f t="shared" si="21"/>
        <v>-1092.9200000000128</v>
      </c>
      <c r="Y150" s="2"/>
      <c r="Z150" s="19">
        <f t="shared" si="22"/>
        <v>-8.0231730308863575E-3</v>
      </c>
    </row>
    <row r="151" spans="1:26" s="24" customFormat="1" hidden="1" outlineLevel="1" x14ac:dyDescent="0.25">
      <c r="A151" s="44"/>
      <c r="B151" s="11" t="str">
        <f>CONCATENATE("          ", "5031", " - ", "PURCHASES @ COST-FOOD")</f>
        <v xml:space="preserve">          5031 - PURCHASES @ COST-FOOD</v>
      </c>
      <c r="C151" s="11"/>
      <c r="D151" s="2">
        <v>2390.66</v>
      </c>
      <c r="E151" s="2"/>
      <c r="F151" s="19">
        <f t="shared" si="15"/>
        <v>6.5428213681573524E-4</v>
      </c>
      <c r="G151" s="2"/>
      <c r="H151" s="2">
        <v>3763.6</v>
      </c>
      <c r="I151" s="2"/>
      <c r="J151" s="19">
        <f t="shared" si="16"/>
        <v>9.1939214020756506E-4</v>
      </c>
      <c r="K151" s="2"/>
      <c r="L151" s="2">
        <f t="shared" si="17"/>
        <v>-1372.94</v>
      </c>
      <c r="M151" s="2"/>
      <c r="N151" s="19">
        <f t="shared" si="18"/>
        <v>-0.36479434583909026</v>
      </c>
      <c r="O151" s="11"/>
      <c r="P151" s="2">
        <v>24900.390000000003</v>
      </c>
      <c r="Q151" s="2"/>
      <c r="R151" s="19">
        <f t="shared" si="19"/>
        <v>1.1458096720918898E-3</v>
      </c>
      <c r="S151" s="2"/>
      <c r="T151" s="2">
        <v>22897.390000000003</v>
      </c>
      <c r="U151" s="2"/>
      <c r="V151" s="19">
        <f t="shared" si="20"/>
        <v>1.0208907581477447E-3</v>
      </c>
      <c r="W151" s="2"/>
      <c r="X151" s="2">
        <f t="shared" si="21"/>
        <v>2003</v>
      </c>
      <c r="Y151" s="2"/>
      <c r="Z151" s="19">
        <f t="shared" si="22"/>
        <v>8.7477219019285596E-2</v>
      </c>
    </row>
    <row r="152" spans="1:26" s="24" customFormat="1" hidden="1" outlineLevel="1" x14ac:dyDescent="0.25">
      <c r="A152" s="44"/>
      <c r="B152" s="11" t="str">
        <f>CONCATENATE("          ", "5032", " - ", "PURCHASES @ COST-JUICE")</f>
        <v xml:space="preserve">          5032 - PURCHASES @ COST-JUICE</v>
      </c>
      <c r="C152" s="11"/>
      <c r="D152" s="2">
        <v>371.03</v>
      </c>
      <c r="E152" s="2"/>
      <c r="F152" s="19">
        <f t="shared" si="15"/>
        <v>1.0154446940290222E-4</v>
      </c>
      <c r="G152" s="2"/>
      <c r="H152" s="2">
        <v>423.28</v>
      </c>
      <c r="I152" s="2"/>
      <c r="J152" s="19">
        <f t="shared" si="16"/>
        <v>1.0340108011134502E-4</v>
      </c>
      <c r="K152" s="2"/>
      <c r="L152" s="2">
        <f t="shared" si="17"/>
        <v>-52.25</v>
      </c>
      <c r="M152" s="2"/>
      <c r="N152" s="19">
        <f t="shared" si="18"/>
        <v>-0.12344074844074845</v>
      </c>
      <c r="O152" s="11"/>
      <c r="P152" s="2">
        <v>5392.51</v>
      </c>
      <c r="Q152" s="2"/>
      <c r="R152" s="19">
        <f t="shared" si="19"/>
        <v>2.4814029478462932E-4</v>
      </c>
      <c r="S152" s="2"/>
      <c r="T152" s="2">
        <v>5993.53</v>
      </c>
      <c r="U152" s="2"/>
      <c r="V152" s="19">
        <f t="shared" si="20"/>
        <v>2.6722431620727303E-4</v>
      </c>
      <c r="W152" s="2"/>
      <c r="X152" s="2">
        <f t="shared" si="21"/>
        <v>-601.01999999999953</v>
      </c>
      <c r="Y152" s="2"/>
      <c r="Z152" s="19">
        <f t="shared" si="22"/>
        <v>-0.10027813325369182</v>
      </c>
    </row>
    <row r="153" spans="1:26" s="24" customFormat="1" hidden="1" outlineLevel="1" x14ac:dyDescent="0.25">
      <c r="A153" s="44"/>
      <c r="B153" s="11" t="str">
        <f>CONCATENATE("          ", "5033", " - ", "PURCHASES @ COST-CANDY")</f>
        <v xml:space="preserve">          5033 - PURCHASES @ COST-CANDY</v>
      </c>
      <c r="C153" s="11"/>
      <c r="D153" s="2">
        <v>805.69</v>
      </c>
      <c r="E153" s="2"/>
      <c r="F153" s="19">
        <f t="shared" si="15"/>
        <v>2.205033651004617E-4</v>
      </c>
      <c r="G153" s="2"/>
      <c r="H153" s="2">
        <v>1164.18</v>
      </c>
      <c r="I153" s="2"/>
      <c r="J153" s="19">
        <f t="shared" si="16"/>
        <v>2.8439205595356655E-4</v>
      </c>
      <c r="K153" s="2"/>
      <c r="L153" s="2">
        <f t="shared" si="17"/>
        <v>-358.49</v>
      </c>
      <c r="M153" s="2"/>
      <c r="N153" s="19">
        <f t="shared" si="18"/>
        <v>-0.3079334810768094</v>
      </c>
      <c r="O153" s="11"/>
      <c r="P153" s="2">
        <v>7003.62</v>
      </c>
      <c r="Q153" s="2"/>
      <c r="R153" s="19">
        <f t="shared" si="19"/>
        <v>3.2227670071256716E-4</v>
      </c>
      <c r="S153" s="2"/>
      <c r="T153" s="2">
        <v>5746.05</v>
      </c>
      <c r="U153" s="2"/>
      <c r="V153" s="19">
        <f t="shared" si="20"/>
        <v>2.5619030556997319E-4</v>
      </c>
      <c r="W153" s="2"/>
      <c r="X153" s="2">
        <f t="shared" si="21"/>
        <v>1257.5699999999997</v>
      </c>
      <c r="Y153" s="2"/>
      <c r="Z153" s="19">
        <f t="shared" si="22"/>
        <v>0.21885817213564096</v>
      </c>
    </row>
    <row r="154" spans="1:26" s="24" customFormat="1" hidden="1" outlineLevel="1" x14ac:dyDescent="0.25">
      <c r="A154" s="44"/>
      <c r="B154" s="11" t="str">
        <f>CONCATENATE("          ", "5034", " - ", "PURCHASES @ COST-SODA")</f>
        <v xml:space="preserve">          5034 - PURCHASES @ COST-SODA</v>
      </c>
      <c r="C154" s="11"/>
      <c r="D154" s="2"/>
      <c r="E154" s="2"/>
      <c r="F154" s="19">
        <f t="shared" si="15"/>
        <v>0</v>
      </c>
      <c r="G154" s="2"/>
      <c r="H154" s="2">
        <v>243.38</v>
      </c>
      <c r="I154" s="2"/>
      <c r="J154" s="19">
        <f t="shared" si="16"/>
        <v>5.9454155352247095E-5</v>
      </c>
      <c r="K154" s="2"/>
      <c r="L154" s="2">
        <f t="shared" si="17"/>
        <v>-243.38</v>
      </c>
      <c r="M154" s="2"/>
      <c r="N154" s="19">
        <f t="shared" si="18"/>
        <v>-1</v>
      </c>
      <c r="O154" s="11"/>
      <c r="P154" s="2">
        <v>2124.16</v>
      </c>
      <c r="Q154" s="2"/>
      <c r="R154" s="19">
        <f t="shared" si="19"/>
        <v>9.7744777213156414E-5</v>
      </c>
      <c r="S154" s="2"/>
      <c r="T154" s="2">
        <v>2305.7199999999998</v>
      </c>
      <c r="U154" s="2"/>
      <c r="V154" s="19">
        <f t="shared" si="20"/>
        <v>1.0280159611538334E-4</v>
      </c>
      <c r="W154" s="2"/>
      <c r="X154" s="2">
        <f t="shared" si="21"/>
        <v>-181.55999999999995</v>
      </c>
      <c r="Y154" s="2"/>
      <c r="Z154" s="19">
        <f t="shared" si="22"/>
        <v>-7.8743299273112063E-2</v>
      </c>
    </row>
    <row r="155" spans="1:26" s="24" customFormat="1" hidden="1" outlineLevel="1" x14ac:dyDescent="0.25">
      <c r="A155" s="44"/>
      <c r="B155" s="11" t="str">
        <f>CONCATENATE("          ", "5035", " - ", "PURCHASES @ COST-HEALTH &amp; BEAU")</f>
        <v xml:space="preserve">          5035 - PURCHASES @ COST-HEALTH &amp; BEAU</v>
      </c>
      <c r="C155" s="11"/>
      <c r="D155" s="2">
        <v>32.82</v>
      </c>
      <c r="E155" s="2"/>
      <c r="F155" s="19">
        <f t="shared" si="15"/>
        <v>8.9822641991301278E-6</v>
      </c>
      <c r="G155" s="2"/>
      <c r="H155" s="2">
        <v>74.38</v>
      </c>
      <c r="I155" s="2"/>
      <c r="J155" s="19">
        <f t="shared" si="16"/>
        <v>1.8169940320076173E-5</v>
      </c>
      <c r="K155" s="2"/>
      <c r="L155" s="2">
        <f t="shared" si="17"/>
        <v>-41.559999999999995</v>
      </c>
      <c r="M155" s="2"/>
      <c r="N155" s="19">
        <f t="shared" si="18"/>
        <v>-0.55875235278300617</v>
      </c>
      <c r="O155" s="11"/>
      <c r="P155" s="2">
        <v>857.2</v>
      </c>
      <c r="Q155" s="2"/>
      <c r="R155" s="19">
        <f t="shared" si="19"/>
        <v>3.9444685441359261E-5</v>
      </c>
      <c r="S155" s="2"/>
      <c r="T155" s="2">
        <v>674.73</v>
      </c>
      <c r="U155" s="2"/>
      <c r="V155" s="19">
        <f t="shared" si="20"/>
        <v>3.008315014265939E-5</v>
      </c>
      <c r="W155" s="2"/>
      <c r="X155" s="2">
        <f t="shared" si="21"/>
        <v>182.47000000000003</v>
      </c>
      <c r="Y155" s="2"/>
      <c r="Z155" s="19">
        <f t="shared" si="22"/>
        <v>0.27043409956575226</v>
      </c>
    </row>
    <row r="156" spans="1:26" s="24" customFormat="1" hidden="1" outlineLevel="1" x14ac:dyDescent="0.25">
      <c r="A156" s="44"/>
      <c r="B156" s="11" t="str">
        <f>CONCATENATE("          ", "5037", " - ", "PURCHASES @ COST-WATER")</f>
        <v xml:space="preserve">          5037 - PURCHASES @ COST-WATER</v>
      </c>
      <c r="C156" s="11"/>
      <c r="D156" s="2"/>
      <c r="E156" s="2"/>
      <c r="F156" s="19">
        <f t="shared" si="15"/>
        <v>0</v>
      </c>
      <c r="G156" s="2"/>
      <c r="H156" s="2">
        <v>216.7</v>
      </c>
      <c r="I156" s="2"/>
      <c r="J156" s="19">
        <f t="shared" si="16"/>
        <v>5.2936623653677152E-5</v>
      </c>
      <c r="K156" s="2"/>
      <c r="L156" s="2">
        <f t="shared" si="17"/>
        <v>-216.7</v>
      </c>
      <c r="M156" s="2"/>
      <c r="N156" s="19">
        <f t="shared" si="18"/>
        <v>-1</v>
      </c>
      <c r="O156" s="11"/>
      <c r="P156" s="2">
        <v>3759.27</v>
      </c>
      <c r="Q156" s="2"/>
      <c r="R156" s="19">
        <f t="shared" si="19"/>
        <v>1.7298556070828117E-4</v>
      </c>
      <c r="S156" s="2"/>
      <c r="T156" s="2">
        <v>4112.79</v>
      </c>
      <c r="U156" s="2"/>
      <c r="V156" s="19">
        <f t="shared" si="20"/>
        <v>1.8337065059390885E-4</v>
      </c>
      <c r="W156" s="2"/>
      <c r="X156" s="2">
        <f t="shared" si="21"/>
        <v>-353.52</v>
      </c>
      <c r="Y156" s="2"/>
      <c r="Z156" s="19">
        <f t="shared" si="22"/>
        <v>-8.5956248677904773E-2</v>
      </c>
    </row>
    <row r="157" spans="1:26" s="24" customFormat="1" hidden="1" outlineLevel="1" x14ac:dyDescent="0.25">
      <c r="A157" s="44"/>
      <c r="B157" s="11" t="str">
        <f>CONCATENATE("          ", "5040", " - ", "PURCHASES @ COST-LOGO CLOTHING")</f>
        <v xml:space="preserve">          5040 - PURCHASES @ COST-LOGO CLOTHING</v>
      </c>
      <c r="C157" s="11"/>
      <c r="D157" s="2">
        <v>94500.17</v>
      </c>
      <c r="E157" s="2"/>
      <c r="F157" s="19">
        <f t="shared" si="15"/>
        <v>2.5863055874549387E-2</v>
      </c>
      <c r="G157" s="2"/>
      <c r="H157" s="2">
        <v>107805.70999999999</v>
      </c>
      <c r="I157" s="2"/>
      <c r="J157" s="19">
        <f t="shared" si="16"/>
        <v>2.6335349783052419E-2</v>
      </c>
      <c r="K157" s="2"/>
      <c r="L157" s="2">
        <f t="shared" si="17"/>
        <v>-13305.539999999994</v>
      </c>
      <c r="M157" s="2"/>
      <c r="N157" s="19">
        <f t="shared" si="18"/>
        <v>-0.12342147739669813</v>
      </c>
      <c r="O157" s="11"/>
      <c r="P157" s="2">
        <v>810739.01</v>
      </c>
      <c r="Q157" s="2"/>
      <c r="R157" s="19">
        <f t="shared" si="19"/>
        <v>3.7306748978638615E-2</v>
      </c>
      <c r="S157" s="2"/>
      <c r="T157" s="2">
        <v>718263.82</v>
      </c>
      <c r="U157" s="2"/>
      <c r="V157" s="19">
        <f t="shared" si="20"/>
        <v>3.2024125708209325E-2</v>
      </c>
      <c r="W157" s="2"/>
      <c r="X157" s="2">
        <f t="shared" si="21"/>
        <v>92475.190000000061</v>
      </c>
      <c r="Y157" s="2"/>
      <c r="Z157" s="19">
        <f t="shared" si="22"/>
        <v>0.12874822234537731</v>
      </c>
    </row>
    <row r="158" spans="1:26" s="24" customFormat="1" hidden="1" outlineLevel="1" x14ac:dyDescent="0.25">
      <c r="A158" s="44"/>
      <c r="B158" s="11" t="str">
        <f>CONCATENATE("          ", "5041", " - ", "PURCHASES @ COST-LOGO GIFTS")</f>
        <v xml:space="preserve">          5041 - PURCHASES @ COST-LOGO GIFTS</v>
      </c>
      <c r="C158" s="11"/>
      <c r="D158" s="2">
        <v>14612.2</v>
      </c>
      <c r="E158" s="2"/>
      <c r="F158" s="19">
        <f t="shared" si="15"/>
        <v>3.9991054518747488E-3</v>
      </c>
      <c r="G158" s="2"/>
      <c r="H158" s="2">
        <v>9492.9599999999991</v>
      </c>
      <c r="I158" s="2"/>
      <c r="J158" s="19">
        <f t="shared" si="16"/>
        <v>2.3189905439751318E-3</v>
      </c>
      <c r="K158" s="2"/>
      <c r="L158" s="2">
        <f t="shared" si="17"/>
        <v>5119.2400000000016</v>
      </c>
      <c r="M158" s="2"/>
      <c r="N158" s="19">
        <f t="shared" si="18"/>
        <v>0.53926699364581776</v>
      </c>
      <c r="O158" s="11"/>
      <c r="P158" s="2">
        <v>124015.87000000001</v>
      </c>
      <c r="Q158" s="2"/>
      <c r="R158" s="19">
        <f t="shared" si="19"/>
        <v>5.7066810334653563E-3</v>
      </c>
      <c r="S158" s="2"/>
      <c r="T158" s="2">
        <v>114936.31</v>
      </c>
      <c r="U158" s="2"/>
      <c r="V158" s="19">
        <f t="shared" si="20"/>
        <v>5.12448871485371E-3</v>
      </c>
      <c r="W158" s="2"/>
      <c r="X158" s="2">
        <f t="shared" si="21"/>
        <v>9079.5600000000122</v>
      </c>
      <c r="Y158" s="2"/>
      <c r="Z158" s="19">
        <f t="shared" si="22"/>
        <v>7.8996445944715055E-2</v>
      </c>
    </row>
    <row r="159" spans="1:26" s="24" customFormat="1" hidden="1" outlineLevel="1" x14ac:dyDescent="0.25">
      <c r="A159" s="44"/>
      <c r="B159" s="11" t="str">
        <f>CONCATENATE("          ", "5042", " - ", "PURCHASES @ COST-EVERYDAY GIFT")</f>
        <v xml:space="preserve">          5042 - PURCHASES @ COST-EVERYDAY GIFT</v>
      </c>
      <c r="C159" s="11"/>
      <c r="D159" s="2">
        <v>2972.86</v>
      </c>
      <c r="E159" s="2"/>
      <c r="F159" s="19">
        <f t="shared" si="15"/>
        <v>8.1362016901358907E-4</v>
      </c>
      <c r="G159" s="2"/>
      <c r="H159" s="2">
        <v>18027.329999999998</v>
      </c>
      <c r="I159" s="2"/>
      <c r="J159" s="19">
        <f t="shared" si="16"/>
        <v>4.4038116460112771E-3</v>
      </c>
      <c r="K159" s="2"/>
      <c r="L159" s="2">
        <f t="shared" si="17"/>
        <v>-15054.469999999998</v>
      </c>
      <c r="M159" s="2"/>
      <c r="N159" s="19">
        <f t="shared" si="18"/>
        <v>-0.83509149718788078</v>
      </c>
      <c r="O159" s="11"/>
      <c r="P159" s="2">
        <v>91360.97</v>
      </c>
      <c r="Q159" s="2"/>
      <c r="R159" s="19">
        <f t="shared" si="19"/>
        <v>4.2040419076848582E-3</v>
      </c>
      <c r="S159" s="2"/>
      <c r="T159" s="2">
        <v>98601.319999999992</v>
      </c>
      <c r="U159" s="2"/>
      <c r="V159" s="19">
        <f t="shared" si="20"/>
        <v>4.396185605834043E-3</v>
      </c>
      <c r="W159" s="2"/>
      <c r="X159" s="2">
        <f t="shared" si="21"/>
        <v>-7240.3499999999913</v>
      </c>
      <c r="Y159" s="2"/>
      <c r="Z159" s="19">
        <f t="shared" si="22"/>
        <v>-7.3430558536133103E-2</v>
      </c>
    </row>
    <row r="160" spans="1:26" s="24" customFormat="1" hidden="1" outlineLevel="1" x14ac:dyDescent="0.25">
      <c r="A160" s="44"/>
      <c r="B160" s="11" t="str">
        <f>CONCATENATE("          ", "5043", " - ", "PURCHASES @ COST-CARDS")</f>
        <v xml:space="preserve">          5043 - PURCHASES @ COST-CARDS</v>
      </c>
      <c r="C160" s="11"/>
      <c r="D160" s="2">
        <v>3909.52</v>
      </c>
      <c r="E160" s="2"/>
      <c r="F160" s="19">
        <f t="shared" si="15"/>
        <v>1.0699677492926026E-3</v>
      </c>
      <c r="G160" s="2"/>
      <c r="H160" s="2">
        <v>150.46</v>
      </c>
      <c r="I160" s="2"/>
      <c r="J160" s="19">
        <f t="shared" si="16"/>
        <v>3.6755165643434546E-5</v>
      </c>
      <c r="K160" s="2"/>
      <c r="L160" s="2">
        <f t="shared" si="17"/>
        <v>3759.06</v>
      </c>
      <c r="M160" s="2"/>
      <c r="N160" s="19">
        <f t="shared" si="18"/>
        <v>24.983783065266515</v>
      </c>
      <c r="O160" s="11"/>
      <c r="P160" s="2">
        <v>10694.41</v>
      </c>
      <c r="Q160" s="2"/>
      <c r="R160" s="19">
        <f t="shared" si="19"/>
        <v>4.921111040958083E-4</v>
      </c>
      <c r="S160" s="2"/>
      <c r="T160" s="2">
        <v>2694.52</v>
      </c>
      <c r="U160" s="2"/>
      <c r="V160" s="19">
        <f t="shared" si="20"/>
        <v>1.2013642452892058E-4</v>
      </c>
      <c r="W160" s="2"/>
      <c r="X160" s="2">
        <f t="shared" si="21"/>
        <v>7999.8899999999994</v>
      </c>
      <c r="Y160" s="2"/>
      <c r="Z160" s="19">
        <f t="shared" si="22"/>
        <v>2.968948087228894</v>
      </c>
    </row>
    <row r="161" spans="1:26" s="24" customFormat="1" hidden="1" outlineLevel="1" x14ac:dyDescent="0.25">
      <c r="A161" s="44"/>
      <c r="B161" s="11" t="str">
        <f>CONCATENATE("          ", "5044", " - ", "PURCHASES @ COST-ACCESSORIES")</f>
        <v xml:space="preserve">          5044 - PURCHASES @ COST-ACCESSORIES</v>
      </c>
      <c r="C161" s="11"/>
      <c r="D161" s="2">
        <v>3179.63</v>
      </c>
      <c r="E161" s="2"/>
      <c r="F161" s="19">
        <f t="shared" si="15"/>
        <v>8.7020952819866324E-4</v>
      </c>
      <c r="G161" s="2"/>
      <c r="H161" s="2">
        <v>4714.93</v>
      </c>
      <c r="I161" s="2"/>
      <c r="J161" s="19">
        <f t="shared" si="16"/>
        <v>1.1517880708972407E-3</v>
      </c>
      <c r="K161" s="2"/>
      <c r="L161" s="2">
        <f t="shared" si="17"/>
        <v>-1535.3000000000002</v>
      </c>
      <c r="M161" s="2"/>
      <c r="N161" s="19">
        <f t="shared" si="18"/>
        <v>-0.32562519485973285</v>
      </c>
      <c r="O161" s="11"/>
      <c r="P161" s="2">
        <v>20867.21</v>
      </c>
      <c r="Q161" s="2"/>
      <c r="R161" s="19">
        <f t="shared" si="19"/>
        <v>9.6021994224076805E-4</v>
      </c>
      <c r="S161" s="2"/>
      <c r="T161" s="2">
        <v>25689.96</v>
      </c>
      <c r="U161" s="2"/>
      <c r="V161" s="19">
        <f t="shared" si="20"/>
        <v>1.1453987874244719E-3</v>
      </c>
      <c r="W161" s="2"/>
      <c r="X161" s="2">
        <f t="shared" si="21"/>
        <v>-4822.75</v>
      </c>
      <c r="Y161" s="2"/>
      <c r="Z161" s="19">
        <f t="shared" si="22"/>
        <v>-0.18772898050444611</v>
      </c>
    </row>
    <row r="162" spans="1:26" s="24" customFormat="1" hidden="1" outlineLevel="1" x14ac:dyDescent="0.25">
      <c r="A162" s="44"/>
      <c r="B162" s="11" t="str">
        <f>CONCATENATE("          ", "5045", " - ", "PURCHASES @ COST-SPECIAL ORDER")</f>
        <v xml:space="preserve">          5045 - PURCHASES @ COST-SPECIAL ORDER</v>
      </c>
      <c r="C162" s="11"/>
      <c r="D162" s="2">
        <v>6835.65</v>
      </c>
      <c r="E162" s="2"/>
      <c r="F162" s="19">
        <f t="shared" si="15"/>
        <v>1.8707987286040175E-3</v>
      </c>
      <c r="G162" s="2"/>
      <c r="H162" s="2">
        <v>3857.1</v>
      </c>
      <c r="I162" s="2"/>
      <c r="J162" s="19">
        <f t="shared" si="16"/>
        <v>9.422328153880856E-4</v>
      </c>
      <c r="K162" s="2"/>
      <c r="L162" s="2">
        <f t="shared" si="17"/>
        <v>2978.5499999999997</v>
      </c>
      <c r="M162" s="2"/>
      <c r="N162" s="19">
        <f t="shared" si="18"/>
        <v>0.7722252469471883</v>
      </c>
      <c r="O162" s="11"/>
      <c r="P162" s="2">
        <v>48016.23</v>
      </c>
      <c r="Q162" s="2"/>
      <c r="R162" s="19">
        <f t="shared" si="19"/>
        <v>2.2095019697036373E-3</v>
      </c>
      <c r="S162" s="2"/>
      <c r="T162" s="2">
        <v>55529.409999999996</v>
      </c>
      <c r="U162" s="2"/>
      <c r="V162" s="19">
        <f t="shared" si="20"/>
        <v>2.4758045119726286E-3</v>
      </c>
      <c r="W162" s="2"/>
      <c r="X162" s="2">
        <f t="shared" si="21"/>
        <v>-7513.179999999993</v>
      </c>
      <c r="Y162" s="2"/>
      <c r="Z162" s="19">
        <f t="shared" si="22"/>
        <v>-0.13530091531676627</v>
      </c>
    </row>
    <row r="163" spans="1:26" s="24" customFormat="1" hidden="1" outlineLevel="1" x14ac:dyDescent="0.25">
      <c r="A163" s="44"/>
      <c r="B163" s="11" t="str">
        <f>CONCATENATE("          ", "5053", " - ", "PURCHASES @ COST-FOOD")</f>
        <v xml:space="preserve">          5053 - PURCHASES @ COST-FOOD</v>
      </c>
      <c r="C163" s="11"/>
      <c r="D163" s="2">
        <v>475096.19000000006</v>
      </c>
      <c r="E163" s="2"/>
      <c r="F163" s="19">
        <f t="shared" si="15"/>
        <v>0.13002557887203309</v>
      </c>
      <c r="G163" s="2"/>
      <c r="H163" s="2">
        <v>472794.89999999997</v>
      </c>
      <c r="I163" s="2"/>
      <c r="J163" s="19">
        <f t="shared" si="16"/>
        <v>0.1154968421166494</v>
      </c>
      <c r="K163" s="2"/>
      <c r="L163" s="2">
        <f t="shared" si="17"/>
        <v>2301.2900000000955</v>
      </c>
      <c r="M163" s="2"/>
      <c r="N163" s="19">
        <f t="shared" si="18"/>
        <v>4.8674171400751058E-3</v>
      </c>
      <c r="O163" s="11"/>
      <c r="P163" s="2">
        <v>3765569.04</v>
      </c>
      <c r="Q163" s="2"/>
      <c r="R163" s="19">
        <f t="shared" si="19"/>
        <v>0.17327541564456506</v>
      </c>
      <c r="S163" s="2"/>
      <c r="T163" s="2">
        <v>3647630.44</v>
      </c>
      <c r="U163" s="2"/>
      <c r="V163" s="19">
        <f t="shared" si="20"/>
        <v>0.16263129576490556</v>
      </c>
      <c r="W163" s="2"/>
      <c r="X163" s="2">
        <f t="shared" si="21"/>
        <v>117938.60000000009</v>
      </c>
      <c r="Y163" s="2"/>
      <c r="Z163" s="19">
        <f t="shared" si="22"/>
        <v>3.2332935570084806E-2</v>
      </c>
    </row>
    <row r="164" spans="1:26" s="24" customFormat="1" hidden="1" outlineLevel="1" x14ac:dyDescent="0.25">
      <c r="A164" s="44"/>
      <c r="B164" s="11" t="str">
        <f>CONCATENATE("          ", "5059", " - ", "PURCHASES @ COST-FOOD")</f>
        <v xml:space="preserve">          5059 - PURCHASES @ COST-FOOD</v>
      </c>
      <c r="C164" s="11"/>
      <c r="D164" s="2">
        <v>-72342.099999999991</v>
      </c>
      <c r="E164" s="2"/>
      <c r="F164" s="19">
        <f t="shared" si="15"/>
        <v>-1.9798776810478109E-2</v>
      </c>
      <c r="G164" s="2"/>
      <c r="H164" s="2">
        <v>-98409.99</v>
      </c>
      <c r="I164" s="2"/>
      <c r="J164" s="19">
        <f t="shared" si="16"/>
        <v>-2.4040113541265035E-2</v>
      </c>
      <c r="K164" s="2"/>
      <c r="L164" s="2">
        <f t="shared" si="17"/>
        <v>26067.890000000014</v>
      </c>
      <c r="M164" s="2"/>
      <c r="N164" s="19">
        <f t="shared" si="18"/>
        <v>-0.26489068843518848</v>
      </c>
      <c r="O164" s="11"/>
      <c r="P164" s="2">
        <v>-108486.77</v>
      </c>
      <c r="Q164" s="2"/>
      <c r="R164" s="19">
        <f t="shared" si="19"/>
        <v>-4.99209813019026E-3</v>
      </c>
      <c r="S164" s="2"/>
      <c r="T164" s="2">
        <v>-94319.54</v>
      </c>
      <c r="U164" s="2"/>
      <c r="V164" s="19">
        <f t="shared" si="20"/>
        <v>-4.2052804576742818E-3</v>
      </c>
      <c r="W164" s="2"/>
      <c r="X164" s="2">
        <f t="shared" si="21"/>
        <v>-14167.23000000001</v>
      </c>
      <c r="Y164" s="2"/>
      <c r="Z164" s="19">
        <f t="shared" si="22"/>
        <v>0.15020461295718798</v>
      </c>
    </row>
    <row r="165" spans="1:26" s="24" customFormat="1" hidden="1" outlineLevel="1" x14ac:dyDescent="0.25">
      <c r="A165" s="44"/>
      <c r="B165" s="11" t="str">
        <f>CONCATENATE("          ", "5081", " - ", "PURCHASES @ COST-ELECTRONICS")</f>
        <v xml:space="preserve">          5081 - PURCHASES @ COST-ELECTRONICS</v>
      </c>
      <c r="C165" s="11"/>
      <c r="D165" s="2">
        <v>32465.820000000003</v>
      </c>
      <c r="E165" s="2"/>
      <c r="F165" s="19">
        <f t="shared" si="15"/>
        <v>8.8853312821877799E-3</v>
      </c>
      <c r="G165" s="2"/>
      <c r="H165" s="2">
        <v>9183.98</v>
      </c>
      <c r="I165" s="2"/>
      <c r="J165" s="19">
        <f t="shared" si="16"/>
        <v>2.243511273202113E-3</v>
      </c>
      <c r="K165" s="2"/>
      <c r="L165" s="2">
        <f t="shared" si="17"/>
        <v>23281.840000000004</v>
      </c>
      <c r="M165" s="2"/>
      <c r="N165" s="19">
        <f t="shared" si="18"/>
        <v>2.5350490745842222</v>
      </c>
      <c r="O165" s="11"/>
      <c r="P165" s="2">
        <v>221646.8</v>
      </c>
      <c r="Q165" s="2"/>
      <c r="R165" s="19">
        <f t="shared" si="19"/>
        <v>1.0199239739948516E-2</v>
      </c>
      <c r="S165" s="2"/>
      <c r="T165" s="2">
        <v>172396.33000000002</v>
      </c>
      <c r="U165" s="2"/>
      <c r="V165" s="19">
        <f t="shared" si="20"/>
        <v>7.6863703695307095E-3</v>
      </c>
      <c r="W165" s="2"/>
      <c r="X165" s="2">
        <f t="shared" si="21"/>
        <v>49250.469999999972</v>
      </c>
      <c r="Y165" s="2"/>
      <c r="Z165" s="19">
        <f t="shared" si="22"/>
        <v>0.28568166155277186</v>
      </c>
    </row>
    <row r="166" spans="1:26" s="24" customFormat="1" hidden="1" outlineLevel="1" x14ac:dyDescent="0.25">
      <c r="A166" s="44"/>
      <c r="B166" s="11" t="str">
        <f>CONCATENATE("          ", "5082", " - ", "PURCHASES @ COST-COMPUTER HARD")</f>
        <v xml:space="preserve">          5082 - PURCHASES @ COST-COMPUTER HARD</v>
      </c>
      <c r="C166" s="11"/>
      <c r="D166" s="2">
        <v>159135.18</v>
      </c>
      <c r="E166" s="2"/>
      <c r="F166" s="19">
        <f t="shared" si="15"/>
        <v>4.3552535957834509E-2</v>
      </c>
      <c r="G166" s="2"/>
      <c r="H166" s="2">
        <v>202589.77000000002</v>
      </c>
      <c r="I166" s="2"/>
      <c r="J166" s="19">
        <f t="shared" si="16"/>
        <v>4.9489701940816873E-2</v>
      </c>
      <c r="K166" s="2"/>
      <c r="L166" s="2">
        <f t="shared" si="17"/>
        <v>-43454.590000000026</v>
      </c>
      <c r="M166" s="2"/>
      <c r="N166" s="19">
        <f t="shared" si="18"/>
        <v>-0.21449548020119685</v>
      </c>
      <c r="O166" s="11"/>
      <c r="P166" s="2">
        <v>1167662.76</v>
      </c>
      <c r="Q166" s="2"/>
      <c r="R166" s="19">
        <f t="shared" si="19"/>
        <v>5.3730856590981535E-2</v>
      </c>
      <c r="S166" s="2"/>
      <c r="T166" s="2">
        <v>1148536.0799999998</v>
      </c>
      <c r="U166" s="2"/>
      <c r="V166" s="19">
        <f t="shared" si="20"/>
        <v>5.1208014078077825E-2</v>
      </c>
      <c r="W166" s="2"/>
      <c r="X166" s="2">
        <f t="shared" si="21"/>
        <v>19126.680000000168</v>
      </c>
      <c r="Y166" s="2"/>
      <c r="Z166" s="19">
        <f t="shared" si="22"/>
        <v>1.6653094607180449E-2</v>
      </c>
    </row>
    <row r="167" spans="1:26" s="24" customFormat="1" hidden="1" outlineLevel="1" x14ac:dyDescent="0.25">
      <c r="A167" s="44"/>
      <c r="B167" s="11" t="str">
        <f>CONCATENATE("          ", "5083", " - ", "PURCHASES @ COST-COMPUTER EQUI")</f>
        <v xml:space="preserve">          5083 - PURCHASES @ COST-COMPUTER EQUI</v>
      </c>
      <c r="C167" s="11"/>
      <c r="D167" s="2">
        <v>10530</v>
      </c>
      <c r="E167" s="2"/>
      <c r="F167" s="19">
        <f t="shared" si="15"/>
        <v>2.8818781845472347E-3</v>
      </c>
      <c r="G167" s="2"/>
      <c r="H167" s="2">
        <v>7173.55</v>
      </c>
      <c r="I167" s="2"/>
      <c r="J167" s="19">
        <f t="shared" si="16"/>
        <v>1.7523927854676317E-3</v>
      </c>
      <c r="K167" s="2"/>
      <c r="L167" s="2">
        <f t="shared" si="17"/>
        <v>3356.45</v>
      </c>
      <c r="M167" s="2"/>
      <c r="N167" s="19">
        <f t="shared" si="18"/>
        <v>0.46789246607328305</v>
      </c>
      <c r="O167" s="11"/>
      <c r="P167" s="2">
        <v>65360.780000000006</v>
      </c>
      <c r="Q167" s="2"/>
      <c r="R167" s="19">
        <f t="shared" si="19"/>
        <v>3.0076241335766285E-3</v>
      </c>
      <c r="S167" s="2"/>
      <c r="T167" s="2">
        <v>69223.87999999999</v>
      </c>
      <c r="U167" s="2"/>
      <c r="V167" s="19">
        <f t="shared" si="20"/>
        <v>3.0863788115208101E-3</v>
      </c>
      <c r="W167" s="2"/>
      <c r="X167" s="2">
        <f t="shared" si="21"/>
        <v>-3863.099999999984</v>
      </c>
      <c r="Y167" s="2"/>
      <c r="Z167" s="19">
        <f t="shared" si="22"/>
        <v>-5.5805886639119111E-2</v>
      </c>
    </row>
    <row r="168" spans="1:26" s="24" customFormat="1" hidden="1" outlineLevel="1" x14ac:dyDescent="0.25">
      <c r="A168" s="44"/>
      <c r="B168" s="11" t="str">
        <f>CONCATENATE("          ", "5084", " - ", "PURCHASES @ COST-SOFTWARE LICE")</f>
        <v xml:space="preserve">          5084 - PURCHASES @ COST-SOFTWARE LICE</v>
      </c>
      <c r="C168" s="11"/>
      <c r="D168" s="2"/>
      <c r="E168" s="2"/>
      <c r="F168" s="19">
        <f t="shared" si="15"/>
        <v>0</v>
      </c>
      <c r="G168" s="2"/>
      <c r="H168" s="2"/>
      <c r="I168" s="2"/>
      <c r="J168" s="19">
        <f t="shared" si="16"/>
        <v>0</v>
      </c>
      <c r="K168" s="2"/>
      <c r="L168" s="2">
        <f t="shared" si="17"/>
        <v>0</v>
      </c>
      <c r="M168" s="2"/>
      <c r="N168" s="19">
        <f t="shared" si="18"/>
        <v>0</v>
      </c>
      <c r="O168" s="11"/>
      <c r="P168" s="2">
        <v>2728</v>
      </c>
      <c r="Q168" s="2"/>
      <c r="R168" s="19">
        <f t="shared" si="19"/>
        <v>1.2553091680357918E-4</v>
      </c>
      <c r="S168" s="2"/>
      <c r="T168" s="2">
        <v>1750</v>
      </c>
      <c r="U168" s="2"/>
      <c r="V168" s="19">
        <f t="shared" si="20"/>
        <v>7.8024562046528144E-5</v>
      </c>
      <c r="W168" s="2"/>
      <c r="X168" s="2">
        <f t="shared" si="21"/>
        <v>978</v>
      </c>
      <c r="Y168" s="2"/>
      <c r="Z168" s="19">
        <f t="shared" si="22"/>
        <v>0.55885714285714283</v>
      </c>
    </row>
    <row r="169" spans="1:26" s="24" customFormat="1" hidden="1" outlineLevel="1" x14ac:dyDescent="0.25">
      <c r="A169" s="44"/>
      <c r="B169" s="11" t="str">
        <f>CONCATENATE("          ", "5085", " - ", "PURCHASES @ COST-SOFTWARE")</f>
        <v xml:space="preserve">          5085 - PURCHASES @ COST-SOFTWARE</v>
      </c>
      <c r="C169" s="11"/>
      <c r="D169" s="2"/>
      <c r="E169" s="2"/>
      <c r="F169" s="19">
        <f t="shared" si="15"/>
        <v>0</v>
      </c>
      <c r="G169" s="2"/>
      <c r="H169" s="2">
        <v>2806.51</v>
      </c>
      <c r="I169" s="2"/>
      <c r="J169" s="19">
        <f t="shared" si="16"/>
        <v>6.8558912621265113E-4</v>
      </c>
      <c r="K169" s="2"/>
      <c r="L169" s="2">
        <f t="shared" si="17"/>
        <v>-2806.51</v>
      </c>
      <c r="M169" s="2"/>
      <c r="N169" s="19">
        <f t="shared" si="18"/>
        <v>-1</v>
      </c>
      <c r="O169" s="11"/>
      <c r="P169" s="2">
        <v>7860.66</v>
      </c>
      <c r="Q169" s="2"/>
      <c r="R169" s="19">
        <f t="shared" si="19"/>
        <v>3.6171402363681181E-4</v>
      </c>
      <c r="S169" s="2"/>
      <c r="T169" s="2">
        <v>9369.98</v>
      </c>
      <c r="U169" s="2"/>
      <c r="V169" s="19">
        <f t="shared" si="20"/>
        <v>4.1776490621984438E-4</v>
      </c>
      <c r="W169" s="2"/>
      <c r="X169" s="2">
        <f t="shared" si="21"/>
        <v>-1509.3199999999997</v>
      </c>
      <c r="Y169" s="2"/>
      <c r="Z169" s="19">
        <f t="shared" si="22"/>
        <v>-0.16108038651096371</v>
      </c>
    </row>
    <row r="170" spans="1:26" s="24" customFormat="1" hidden="1" outlineLevel="1" x14ac:dyDescent="0.25">
      <c r="A170" s="44"/>
      <c r="B170" s="11" t="str">
        <f>CONCATENATE("          ", "5086", " - ", "PURCHASES @ COST-COMPUTER SUPP")</f>
        <v xml:space="preserve">          5086 - PURCHASES @ COST-COMPUTER SUPP</v>
      </c>
      <c r="C170" s="11"/>
      <c r="D170" s="2">
        <v>4364.12</v>
      </c>
      <c r="E170" s="2"/>
      <c r="F170" s="19">
        <f t="shared" si="15"/>
        <v>1.1943838768040151E-3</v>
      </c>
      <c r="G170" s="2"/>
      <c r="H170" s="2">
        <v>5695.27</v>
      </c>
      <c r="I170" s="2"/>
      <c r="J170" s="19">
        <f t="shared" si="16"/>
        <v>1.3912707180252788E-3</v>
      </c>
      <c r="K170" s="2"/>
      <c r="L170" s="2">
        <f t="shared" si="17"/>
        <v>-1331.1500000000005</v>
      </c>
      <c r="M170" s="2"/>
      <c r="N170" s="19">
        <f t="shared" si="18"/>
        <v>-0.23372904181891296</v>
      </c>
      <c r="O170" s="11"/>
      <c r="P170" s="2">
        <v>25347.759999999998</v>
      </c>
      <c r="Q170" s="2"/>
      <c r="R170" s="19">
        <f t="shared" si="19"/>
        <v>1.1663957301015731E-3</v>
      </c>
      <c r="S170" s="2"/>
      <c r="T170" s="2">
        <v>30260.01</v>
      </c>
      <c r="U170" s="2"/>
      <c r="V170" s="19">
        <f t="shared" si="20"/>
        <v>1.3491565872991783E-3</v>
      </c>
      <c r="W170" s="2"/>
      <c r="X170" s="2">
        <f t="shared" si="21"/>
        <v>-4912.25</v>
      </c>
      <c r="Y170" s="2"/>
      <c r="Z170" s="19">
        <f t="shared" si="22"/>
        <v>-0.16233471172018782</v>
      </c>
    </row>
    <row r="171" spans="1:26" s="24" customFormat="1" hidden="1" outlineLevel="1" x14ac:dyDescent="0.25">
      <c r="A171" s="44"/>
      <c r="B171" s="11" t="str">
        <f>CONCATENATE("          ", "5088", " - ", "PURCHASES @ COST-MUSIC")</f>
        <v xml:space="preserve">          5088 - PURCHASES @ COST-MUSIC</v>
      </c>
      <c r="C171" s="11"/>
      <c r="D171" s="2"/>
      <c r="E171" s="2"/>
      <c r="F171" s="19">
        <f t="shared" si="15"/>
        <v>0</v>
      </c>
      <c r="G171" s="2"/>
      <c r="H171" s="2"/>
      <c r="I171" s="2"/>
      <c r="J171" s="19">
        <f t="shared" si="16"/>
        <v>0</v>
      </c>
      <c r="K171" s="2"/>
      <c r="L171" s="2">
        <f t="shared" si="17"/>
        <v>0</v>
      </c>
      <c r="M171" s="2"/>
      <c r="N171" s="19">
        <f t="shared" si="18"/>
        <v>0</v>
      </c>
      <c r="O171" s="11"/>
      <c r="P171" s="2">
        <v>88.75</v>
      </c>
      <c r="Q171" s="2"/>
      <c r="R171" s="19">
        <f t="shared" si="19"/>
        <v>4.0838962119932739E-6</v>
      </c>
      <c r="S171" s="2"/>
      <c r="T171" s="2">
        <v>0</v>
      </c>
      <c r="U171" s="2"/>
      <c r="V171" s="19">
        <f t="shared" si="20"/>
        <v>0</v>
      </c>
      <c r="W171" s="2"/>
      <c r="X171" s="2">
        <f t="shared" si="21"/>
        <v>88.75</v>
      </c>
      <c r="Y171" s="2"/>
      <c r="Z171" s="19">
        <f t="shared" si="22"/>
        <v>0</v>
      </c>
    </row>
    <row r="172" spans="1:26" s="24" customFormat="1" hidden="1" outlineLevel="1" x14ac:dyDescent="0.25">
      <c r="A172" s="44"/>
      <c r="B172" s="11" t="str">
        <f>CONCATENATE("          ", "5092", " - ", "PURCHASES @ COST-GRAD MERCH")</f>
        <v xml:space="preserve">          5092 - PURCHASES @ COST-GRAD MERCH</v>
      </c>
      <c r="C172" s="11"/>
      <c r="D172" s="2">
        <v>122.72</v>
      </c>
      <c r="E172" s="2"/>
      <c r="F172" s="19">
        <f t="shared" si="15"/>
        <v>3.3586333410031971E-5</v>
      </c>
      <c r="G172" s="2"/>
      <c r="H172" s="2">
        <v>-820</v>
      </c>
      <c r="I172" s="2"/>
      <c r="J172" s="19">
        <f t="shared" si="16"/>
        <v>-2.0031394275964591E-4</v>
      </c>
      <c r="K172" s="2"/>
      <c r="L172" s="2">
        <f t="shared" si="17"/>
        <v>942.72</v>
      </c>
      <c r="M172" s="2"/>
      <c r="N172" s="19">
        <f t="shared" si="18"/>
        <v>-1.149658536585366</v>
      </c>
      <c r="O172" s="11"/>
      <c r="P172" s="2">
        <v>2046.86</v>
      </c>
      <c r="Q172" s="2"/>
      <c r="R172" s="19">
        <f t="shared" si="19"/>
        <v>9.4187761132175242E-5</v>
      </c>
      <c r="S172" s="2"/>
      <c r="T172" s="2">
        <v>-2690.04</v>
      </c>
      <c r="U172" s="2"/>
      <c r="V172" s="19">
        <f t="shared" si="20"/>
        <v>-1.1993668165008146E-4</v>
      </c>
      <c r="W172" s="2"/>
      <c r="X172" s="2">
        <f t="shared" si="21"/>
        <v>4736.8999999999996</v>
      </c>
      <c r="Y172" s="2"/>
      <c r="Z172" s="19">
        <f t="shared" si="22"/>
        <v>-1.7609031835957829</v>
      </c>
    </row>
    <row r="173" spans="1:26" s="24" customFormat="1" hidden="1" outlineLevel="1" x14ac:dyDescent="0.25">
      <c r="A173" s="44"/>
      <c r="B173" s="11" t="str">
        <f>CONCATENATE("          ", "5095", " - ", "PURCHASES @ COST-CUSTOMER SERV")</f>
        <v xml:space="preserve">          5095 - PURCHASES @ COST-CUSTOMER SERV</v>
      </c>
      <c r="C173" s="11"/>
      <c r="D173" s="2"/>
      <c r="E173" s="2"/>
      <c r="F173" s="19">
        <f t="shared" si="15"/>
        <v>0</v>
      </c>
      <c r="G173" s="2"/>
      <c r="H173" s="2">
        <v>0</v>
      </c>
      <c r="I173" s="2"/>
      <c r="J173" s="19">
        <f t="shared" si="16"/>
        <v>0</v>
      </c>
      <c r="K173" s="2"/>
      <c r="L173" s="2">
        <f t="shared" si="17"/>
        <v>0</v>
      </c>
      <c r="M173" s="2"/>
      <c r="N173" s="19">
        <f t="shared" si="18"/>
        <v>0</v>
      </c>
      <c r="O173" s="11"/>
      <c r="P173" s="2">
        <v>0</v>
      </c>
      <c r="Q173" s="2"/>
      <c r="R173" s="19">
        <f t="shared" si="19"/>
        <v>0</v>
      </c>
      <c r="S173" s="2"/>
      <c r="T173" s="2">
        <v>0</v>
      </c>
      <c r="U173" s="2"/>
      <c r="V173" s="19">
        <f t="shared" si="20"/>
        <v>0</v>
      </c>
      <c r="W173" s="2"/>
      <c r="X173" s="2">
        <f t="shared" si="21"/>
        <v>0</v>
      </c>
      <c r="Y173" s="2"/>
      <c r="Z173" s="19">
        <f t="shared" si="22"/>
        <v>0</v>
      </c>
    </row>
    <row r="174" spans="1:26" s="24" customFormat="1" hidden="1" outlineLevel="1" x14ac:dyDescent="0.25">
      <c r="A174" s="44"/>
      <c r="B174" s="11" t="str">
        <f>CONCATENATE("          ", "5200", " - ", "PURCHASES OFFSET")</f>
        <v xml:space="preserve">          5200 - PURCHASES OFFSET</v>
      </c>
      <c r="C174" s="11"/>
      <c r="D174" s="2">
        <v>-1245332</v>
      </c>
      <c r="E174" s="2"/>
      <c r="F174" s="19">
        <f t="shared" si="15"/>
        <v>-0.34082574770356855</v>
      </c>
      <c r="G174" s="2"/>
      <c r="H174" s="2">
        <v>-929071</v>
      </c>
      <c r="I174" s="2"/>
      <c r="J174" s="19">
        <f t="shared" si="16"/>
        <v>-0.22695838428493534</v>
      </c>
      <c r="K174" s="2"/>
      <c r="L174" s="2">
        <f t="shared" si="17"/>
        <v>-316261</v>
      </c>
      <c r="M174" s="2"/>
      <c r="N174" s="19">
        <f t="shared" si="18"/>
        <v>0.34040563100129051</v>
      </c>
      <c r="O174" s="11"/>
      <c r="P174" s="2">
        <v>-5513495</v>
      </c>
      <c r="Q174" s="2"/>
      <c r="R174" s="19">
        <f t="shared" si="19"/>
        <v>-0.25370750811655046</v>
      </c>
      <c r="S174" s="2"/>
      <c r="T174" s="2">
        <v>-5324782</v>
      </c>
      <c r="U174" s="2"/>
      <c r="V174" s="19">
        <f t="shared" si="20"/>
        <v>-0.23740787631042068</v>
      </c>
      <c r="W174" s="2"/>
      <c r="X174" s="2">
        <f t="shared" si="21"/>
        <v>-188713</v>
      </c>
      <c r="Y174" s="2"/>
      <c r="Z174" s="19">
        <f t="shared" si="22"/>
        <v>3.5440511930817077E-2</v>
      </c>
    </row>
    <row r="175" spans="1:26" s="24" customFormat="1" hidden="1" outlineLevel="1" x14ac:dyDescent="0.25">
      <c r="A175" s="44"/>
      <c r="B175" s="11" t="str">
        <f>CONCATENATE("          ", "5300", " - ", "COG$ OFFSET")</f>
        <v xml:space="preserve">          5300 - COG$ OFFSET</v>
      </c>
      <c r="C175" s="11"/>
      <c r="D175" s="2">
        <v>914062</v>
      </c>
      <c r="E175" s="2"/>
      <c r="F175" s="19">
        <f t="shared" si="15"/>
        <v>0.2501629000117393</v>
      </c>
      <c r="G175" s="2"/>
      <c r="H175" s="2">
        <v>1257719</v>
      </c>
      <c r="I175" s="2"/>
      <c r="J175" s="19">
        <f t="shared" si="16"/>
        <v>0.30724225826063306</v>
      </c>
      <c r="K175" s="2"/>
      <c r="L175" s="2">
        <f t="shared" si="17"/>
        <v>-343657</v>
      </c>
      <c r="M175" s="2"/>
      <c r="N175" s="19">
        <f t="shared" si="18"/>
        <v>-0.27323829885689888</v>
      </c>
      <c r="O175" s="11"/>
      <c r="P175" s="2">
        <v>4834197.4700000007</v>
      </c>
      <c r="Q175" s="2"/>
      <c r="R175" s="19">
        <f t="shared" si="19"/>
        <v>0.2224491350508222</v>
      </c>
      <c r="S175" s="2"/>
      <c r="T175" s="2">
        <v>5336628</v>
      </c>
      <c r="U175" s="2"/>
      <c r="V175" s="19">
        <f t="shared" si="20"/>
        <v>0.23793603571727964</v>
      </c>
      <c r="W175" s="2"/>
      <c r="X175" s="2">
        <f t="shared" si="21"/>
        <v>-502430.52999999933</v>
      </c>
      <c r="Y175" s="2"/>
      <c r="Z175" s="19">
        <f t="shared" si="22"/>
        <v>-9.4147564716896018E-2</v>
      </c>
    </row>
    <row r="176" spans="1:26" s="24" customFormat="1" hidden="1" outlineLevel="1" x14ac:dyDescent="0.25">
      <c r="A176" s="44"/>
      <c r="B176" s="11" t="str">
        <f>CONCATENATE("          ", "5500", " - ", "FREIGHT-IN")</f>
        <v xml:space="preserve">          5500 - FREIGHT-IN</v>
      </c>
      <c r="C176" s="11"/>
      <c r="D176" s="2">
        <v>7.3</v>
      </c>
      <c r="E176" s="2"/>
      <c r="F176" s="19">
        <f t="shared" si="15"/>
        <v>1.9978832618418628E-6</v>
      </c>
      <c r="G176" s="2"/>
      <c r="H176" s="2">
        <v>156.58000000000001</v>
      </c>
      <c r="I176" s="2"/>
      <c r="J176" s="19">
        <f t="shared" si="16"/>
        <v>3.8250191655250435E-5</v>
      </c>
      <c r="K176" s="2"/>
      <c r="L176" s="2">
        <f t="shared" si="17"/>
        <v>-149.28</v>
      </c>
      <c r="M176" s="2"/>
      <c r="N176" s="19">
        <f t="shared" si="18"/>
        <v>-0.95337846468259035</v>
      </c>
      <c r="O176" s="11"/>
      <c r="P176" s="2">
        <v>122.53</v>
      </c>
      <c r="Q176" s="2"/>
      <c r="R176" s="19">
        <f t="shared" si="19"/>
        <v>5.638307637808855E-6</v>
      </c>
      <c r="S176" s="2"/>
      <c r="T176" s="2">
        <v>181.16</v>
      </c>
      <c r="U176" s="2"/>
      <c r="V176" s="19">
        <f t="shared" si="20"/>
        <v>8.077102663056593E-6</v>
      </c>
      <c r="W176" s="2"/>
      <c r="X176" s="2">
        <f t="shared" si="21"/>
        <v>-58.629999999999995</v>
      </c>
      <c r="Y176" s="2"/>
      <c r="Z176" s="19">
        <f t="shared" si="22"/>
        <v>-0.32363656436299404</v>
      </c>
    </row>
    <row r="177" spans="1:26" s="24" customFormat="1" hidden="1" outlineLevel="1" x14ac:dyDescent="0.25">
      <c r="A177" s="44"/>
      <c r="B177" s="11" t="str">
        <f>CONCATENATE("          ", "5501", " - ", "FREIGHT-IN-NEW TEXT")</f>
        <v xml:space="preserve">          5501 - FREIGHT-IN-NEW TEXT</v>
      </c>
      <c r="C177" s="11"/>
      <c r="D177" s="2">
        <v>3407.43</v>
      </c>
      <c r="E177" s="2"/>
      <c r="F177" s="19">
        <f t="shared" si="15"/>
        <v>9.3255443327367371E-4</v>
      </c>
      <c r="G177" s="2"/>
      <c r="H177" s="2">
        <v>13385.88</v>
      </c>
      <c r="I177" s="2"/>
      <c r="J177" s="19">
        <f t="shared" si="16"/>
        <v>3.2699736586676693E-3</v>
      </c>
      <c r="K177" s="2"/>
      <c r="L177" s="2">
        <f t="shared" si="17"/>
        <v>-9978.4499999999989</v>
      </c>
      <c r="M177" s="2"/>
      <c r="N177" s="19">
        <f t="shared" si="18"/>
        <v>-0.74544594752082038</v>
      </c>
      <c r="O177" s="11"/>
      <c r="P177" s="2">
        <v>42077.369999999995</v>
      </c>
      <c r="Q177" s="2"/>
      <c r="R177" s="19">
        <f t="shared" si="19"/>
        <v>1.9362209797593173E-3</v>
      </c>
      <c r="S177" s="2"/>
      <c r="T177" s="2">
        <v>52281</v>
      </c>
      <c r="U177" s="2"/>
      <c r="V177" s="19">
        <f t="shared" si="20"/>
        <v>2.3309726447740217E-3</v>
      </c>
      <c r="W177" s="2"/>
      <c r="X177" s="2">
        <f t="shared" si="21"/>
        <v>-10203.630000000005</v>
      </c>
      <c r="Y177" s="2"/>
      <c r="Z177" s="19">
        <f t="shared" si="22"/>
        <v>-0.19516899064669774</v>
      </c>
    </row>
    <row r="178" spans="1:26" s="24" customFormat="1" hidden="1" outlineLevel="1" x14ac:dyDescent="0.25">
      <c r="A178" s="44"/>
      <c r="B178" s="11" t="str">
        <f>CONCATENATE("          ", "5502", " - ", "FREIGHT-IN-USED TEXT")</f>
        <v xml:space="preserve">          5502 - FREIGHT-IN-USED TEXT</v>
      </c>
      <c r="C178" s="11"/>
      <c r="D178" s="2">
        <v>4124.8100000000004</v>
      </c>
      <c r="E178" s="2"/>
      <c r="F178" s="19">
        <f t="shared" si="15"/>
        <v>1.1288888845586212E-3</v>
      </c>
      <c r="G178" s="2"/>
      <c r="H178" s="2">
        <v>3187.01</v>
      </c>
      <c r="I178" s="2"/>
      <c r="J178" s="19">
        <f t="shared" si="16"/>
        <v>7.7853968135904771E-4</v>
      </c>
      <c r="K178" s="2"/>
      <c r="L178" s="2">
        <f t="shared" si="17"/>
        <v>937.80000000000018</v>
      </c>
      <c r="M178" s="2"/>
      <c r="N178" s="19">
        <f t="shared" si="18"/>
        <v>0.29425699950737527</v>
      </c>
      <c r="O178" s="11"/>
      <c r="P178" s="2">
        <v>11778.23</v>
      </c>
      <c r="Q178" s="2"/>
      <c r="R178" s="19">
        <f t="shared" si="19"/>
        <v>5.4198387471533001E-4</v>
      </c>
      <c r="S178" s="2"/>
      <c r="T178" s="2">
        <v>11057.1</v>
      </c>
      <c r="U178" s="2"/>
      <c r="V178" s="19">
        <f t="shared" si="20"/>
        <v>4.9298593428838075E-4</v>
      </c>
      <c r="W178" s="2"/>
      <c r="X178" s="2">
        <f t="shared" si="21"/>
        <v>721.1299999999992</v>
      </c>
      <c r="Y178" s="2"/>
      <c r="Z178" s="19">
        <f t="shared" si="22"/>
        <v>6.5218728237964665E-2</v>
      </c>
    </row>
    <row r="179" spans="1:26" s="24" customFormat="1" hidden="1" outlineLevel="1" x14ac:dyDescent="0.25">
      <c r="A179" s="44"/>
      <c r="B179" s="11" t="str">
        <f>CONCATENATE("          ", "5504", " - ", "FREIGHT-IN-DIGITAL TEXT")</f>
        <v xml:space="preserve">          5504 - FREIGHT-IN-DIGITAL TEXT</v>
      </c>
      <c r="C179" s="11"/>
      <c r="D179" s="2"/>
      <c r="E179" s="2"/>
      <c r="F179" s="19">
        <f t="shared" si="15"/>
        <v>0</v>
      </c>
      <c r="G179" s="2"/>
      <c r="H179" s="2">
        <v>77.31</v>
      </c>
      <c r="I179" s="2"/>
      <c r="J179" s="19">
        <f t="shared" si="16"/>
        <v>1.8885696237497837E-5</v>
      </c>
      <c r="K179" s="2"/>
      <c r="L179" s="2">
        <f t="shared" si="17"/>
        <v>-77.31</v>
      </c>
      <c r="M179" s="2"/>
      <c r="N179" s="19">
        <f t="shared" si="18"/>
        <v>-1</v>
      </c>
      <c r="O179" s="11"/>
      <c r="P179" s="2">
        <v>105.97</v>
      </c>
      <c r="Q179" s="2"/>
      <c r="R179" s="19">
        <f t="shared" si="19"/>
        <v>4.8762871164498843E-6</v>
      </c>
      <c r="S179" s="2"/>
      <c r="T179" s="2">
        <v>243.53</v>
      </c>
      <c r="U179" s="2"/>
      <c r="V179" s="19">
        <f t="shared" si="20"/>
        <v>1.0857898054394856E-5</v>
      </c>
      <c r="W179" s="2"/>
      <c r="X179" s="2">
        <f t="shared" si="21"/>
        <v>-137.56</v>
      </c>
      <c r="Y179" s="2"/>
      <c r="Z179" s="19">
        <f t="shared" si="22"/>
        <v>-0.56485853898903626</v>
      </c>
    </row>
    <row r="180" spans="1:26" s="24" customFormat="1" hidden="1" outlineLevel="1" x14ac:dyDescent="0.25">
      <c r="A180" s="44"/>
      <c r="B180" s="11" t="str">
        <f>CONCATENATE("          ", "5513", " - ", "FREIGHT-IN-TRADE BOOKS")</f>
        <v xml:space="preserve">          5513 - FREIGHT-IN-TRADE BOOKS</v>
      </c>
      <c r="C180" s="11"/>
      <c r="D180" s="2"/>
      <c r="E180" s="2"/>
      <c r="F180" s="19">
        <f t="shared" si="15"/>
        <v>0</v>
      </c>
      <c r="G180" s="2"/>
      <c r="H180" s="2"/>
      <c r="I180" s="2"/>
      <c r="J180" s="19">
        <f t="shared" si="16"/>
        <v>0</v>
      </c>
      <c r="K180" s="2"/>
      <c r="L180" s="2">
        <f t="shared" si="17"/>
        <v>0</v>
      </c>
      <c r="M180" s="2"/>
      <c r="N180" s="19">
        <f t="shared" si="18"/>
        <v>0</v>
      </c>
      <c r="O180" s="11"/>
      <c r="P180" s="2">
        <v>21.41</v>
      </c>
      <c r="Q180" s="2"/>
      <c r="R180" s="19">
        <f t="shared" si="19"/>
        <v>9.8519682139465903E-7</v>
      </c>
      <c r="S180" s="2"/>
      <c r="T180" s="2">
        <v>12.22</v>
      </c>
      <c r="U180" s="2"/>
      <c r="V180" s="19">
        <f t="shared" si="20"/>
        <v>5.4483437040489944E-7</v>
      </c>
      <c r="W180" s="2"/>
      <c r="X180" s="2">
        <f t="shared" si="21"/>
        <v>9.19</v>
      </c>
      <c r="Y180" s="2"/>
      <c r="Z180" s="19">
        <f t="shared" si="22"/>
        <v>0.7520458265139115</v>
      </c>
    </row>
    <row r="181" spans="1:26" s="24" customFormat="1" hidden="1" outlineLevel="1" x14ac:dyDescent="0.25">
      <c r="A181" s="44"/>
      <c r="B181" s="11" t="str">
        <f>CONCATENATE("          ", "5518", " - ", "FREIGHT-IN-STUDY GUIDES")</f>
        <v xml:space="preserve">          5518 - FREIGHT-IN-STUDY GUIDES</v>
      </c>
      <c r="C181" s="11"/>
      <c r="D181" s="2"/>
      <c r="E181" s="2"/>
      <c r="F181" s="19">
        <f t="shared" si="15"/>
        <v>0</v>
      </c>
      <c r="G181" s="2"/>
      <c r="H181" s="2"/>
      <c r="I181" s="2"/>
      <c r="J181" s="19">
        <f t="shared" si="16"/>
        <v>0</v>
      </c>
      <c r="K181" s="2"/>
      <c r="L181" s="2">
        <f t="shared" si="17"/>
        <v>0</v>
      </c>
      <c r="M181" s="2"/>
      <c r="N181" s="19">
        <f t="shared" si="18"/>
        <v>0</v>
      </c>
      <c r="O181" s="11"/>
      <c r="P181" s="2">
        <v>21.13</v>
      </c>
      <c r="Q181" s="2"/>
      <c r="R181" s="19">
        <f t="shared" si="19"/>
        <v>9.7231241644414504E-7</v>
      </c>
      <c r="S181" s="2"/>
      <c r="T181" s="2"/>
      <c r="U181" s="2"/>
      <c r="V181" s="19">
        <f t="shared" si="20"/>
        <v>0</v>
      </c>
      <c r="W181" s="2"/>
      <c r="X181" s="2">
        <f t="shared" si="21"/>
        <v>21.13</v>
      </c>
      <c r="Y181" s="2"/>
      <c r="Z181" s="19">
        <f t="shared" si="22"/>
        <v>0</v>
      </c>
    </row>
    <row r="182" spans="1:26" s="24" customFormat="1" hidden="1" outlineLevel="1" x14ac:dyDescent="0.25">
      <c r="A182" s="44"/>
      <c r="B182" s="11" t="str">
        <f>CONCATENATE("          ", "5525", " - ", "FREIGHT-IN-TEST FORMS")</f>
        <v xml:space="preserve">          5525 - FREIGHT-IN-TEST FORMS</v>
      </c>
      <c r="C182" s="11"/>
      <c r="D182" s="2"/>
      <c r="E182" s="2"/>
      <c r="F182" s="19">
        <f t="shared" si="15"/>
        <v>0</v>
      </c>
      <c r="G182" s="2"/>
      <c r="H182" s="2">
        <v>232.99</v>
      </c>
      <c r="I182" s="2"/>
      <c r="J182" s="19">
        <f t="shared" si="16"/>
        <v>5.6916031126304756E-5</v>
      </c>
      <c r="K182" s="2"/>
      <c r="L182" s="2">
        <f t="shared" si="17"/>
        <v>-232.99</v>
      </c>
      <c r="M182" s="2"/>
      <c r="N182" s="19">
        <f t="shared" si="18"/>
        <v>-1</v>
      </c>
      <c r="O182" s="11"/>
      <c r="P182" s="2">
        <v>622.41</v>
      </c>
      <c r="Q182" s="2"/>
      <c r="R182" s="19">
        <f t="shared" si="19"/>
        <v>2.8640651733033616E-5</v>
      </c>
      <c r="S182" s="2"/>
      <c r="T182" s="2">
        <v>283.91000000000003</v>
      </c>
      <c r="U182" s="2"/>
      <c r="V182" s="19">
        <f t="shared" si="20"/>
        <v>1.2658259091788461E-5</v>
      </c>
      <c r="W182" s="2"/>
      <c r="X182" s="2">
        <f t="shared" si="21"/>
        <v>338.49999999999994</v>
      </c>
      <c r="Y182" s="2"/>
      <c r="Z182" s="19">
        <f t="shared" si="22"/>
        <v>1.1922792434222109</v>
      </c>
    </row>
    <row r="183" spans="1:26" s="24" customFormat="1" hidden="1" outlineLevel="1" x14ac:dyDescent="0.25">
      <c r="A183" s="44"/>
      <c r="B183" s="11" t="str">
        <f>CONCATENATE("          ", "5526", " - ", "FREIGHT-IN-WRITING INSTRUMENTS")</f>
        <v xml:space="preserve">          5526 - FREIGHT-IN-WRITING INSTRUMENTS</v>
      </c>
      <c r="C183" s="11"/>
      <c r="D183" s="2"/>
      <c r="E183" s="2"/>
      <c r="F183" s="19">
        <f t="shared" si="15"/>
        <v>0</v>
      </c>
      <c r="G183" s="2"/>
      <c r="H183" s="2">
        <v>16.86</v>
      </c>
      <c r="I183" s="2"/>
      <c r="J183" s="19">
        <f t="shared" si="16"/>
        <v>4.118650091375158E-6</v>
      </c>
      <c r="K183" s="2"/>
      <c r="L183" s="2">
        <f t="shared" si="17"/>
        <v>-16.86</v>
      </c>
      <c r="M183" s="2"/>
      <c r="N183" s="19">
        <f t="shared" si="18"/>
        <v>-1</v>
      </c>
      <c r="O183" s="11"/>
      <c r="P183" s="2">
        <v>260.35000000000002</v>
      </c>
      <c r="Q183" s="2"/>
      <c r="R183" s="19">
        <f t="shared" si="19"/>
        <v>1.1980195817379707E-5</v>
      </c>
      <c r="S183" s="2"/>
      <c r="T183" s="2">
        <v>131.16</v>
      </c>
      <c r="U183" s="2"/>
      <c r="V183" s="19">
        <f t="shared" si="20"/>
        <v>5.8478294617272178E-6</v>
      </c>
      <c r="W183" s="2"/>
      <c r="X183" s="2">
        <f t="shared" si="21"/>
        <v>129.19000000000003</v>
      </c>
      <c r="Y183" s="2"/>
      <c r="Z183" s="19">
        <f t="shared" si="22"/>
        <v>0.98498017688319628</v>
      </c>
    </row>
    <row r="184" spans="1:26" s="24" customFormat="1" hidden="1" outlineLevel="1" x14ac:dyDescent="0.25">
      <c r="A184" s="44"/>
      <c r="B184" s="11" t="str">
        <f>CONCATENATE("          ", "5527", " - ", "FREIGHT-IN-SCHOOL SUPPLIES")</f>
        <v xml:space="preserve">          5527 - FREIGHT-IN-SCHOOL SUPPLIES</v>
      </c>
      <c r="C184" s="11"/>
      <c r="D184" s="2">
        <v>321.92</v>
      </c>
      <c r="E184" s="2"/>
      <c r="F184" s="19">
        <f t="shared" si="15"/>
        <v>8.810391502084007E-5</v>
      </c>
      <c r="G184" s="2"/>
      <c r="H184" s="2">
        <v>105.31</v>
      </c>
      <c r="I184" s="2"/>
      <c r="J184" s="19">
        <f t="shared" si="16"/>
        <v>2.5725684526851599E-5</v>
      </c>
      <c r="K184" s="2"/>
      <c r="L184" s="2">
        <f t="shared" si="17"/>
        <v>216.61</v>
      </c>
      <c r="M184" s="2"/>
      <c r="N184" s="19">
        <f t="shared" si="18"/>
        <v>2.0568796885386003</v>
      </c>
      <c r="O184" s="11"/>
      <c r="P184" s="2">
        <v>1219.8399999999999</v>
      </c>
      <c r="Q184" s="2"/>
      <c r="R184" s="19">
        <f t="shared" si="19"/>
        <v>5.6131830481553523E-5</v>
      </c>
      <c r="S184" s="2"/>
      <c r="T184" s="2">
        <v>1330.96</v>
      </c>
      <c r="U184" s="2"/>
      <c r="V184" s="19">
        <f t="shared" si="20"/>
        <v>5.9341469200826914E-5</v>
      </c>
      <c r="W184" s="2"/>
      <c r="X184" s="2">
        <f t="shared" si="21"/>
        <v>-111.12000000000012</v>
      </c>
      <c r="Y184" s="2"/>
      <c r="Z184" s="19">
        <f t="shared" si="22"/>
        <v>-8.3488609725311136E-2</v>
      </c>
    </row>
    <row r="185" spans="1:26" s="24" customFormat="1" hidden="1" outlineLevel="1" x14ac:dyDescent="0.25">
      <c r="A185" s="44"/>
      <c r="B185" s="11" t="str">
        <f>CONCATENATE("          ", "5528", " - ", "FREIGHT-IN-ART/TECH")</f>
        <v xml:space="preserve">          5528 - FREIGHT-IN-ART/TECH</v>
      </c>
      <c r="C185" s="11"/>
      <c r="D185" s="2">
        <v>220.82</v>
      </c>
      <c r="E185" s="2"/>
      <c r="F185" s="19">
        <f t="shared" si="15"/>
        <v>6.0434600257523304E-5</v>
      </c>
      <c r="G185" s="2"/>
      <c r="H185" s="2">
        <v>537.45000000000005</v>
      </c>
      <c r="I185" s="2"/>
      <c r="J185" s="19">
        <f t="shared" si="16"/>
        <v>1.3129113236118501E-4</v>
      </c>
      <c r="K185" s="2"/>
      <c r="L185" s="2">
        <f t="shared" si="17"/>
        <v>-316.63000000000005</v>
      </c>
      <c r="M185" s="2"/>
      <c r="N185" s="19">
        <f t="shared" si="18"/>
        <v>-0.58913387291841102</v>
      </c>
      <c r="O185" s="11"/>
      <c r="P185" s="2">
        <v>1331.46</v>
      </c>
      <c r="Q185" s="2"/>
      <c r="R185" s="19">
        <f t="shared" si="19"/>
        <v>6.1268106483611991E-5</v>
      </c>
      <c r="S185" s="2"/>
      <c r="T185" s="2">
        <v>5194.9799999999996</v>
      </c>
      <c r="U185" s="2"/>
      <c r="V185" s="19">
        <f t="shared" si="20"/>
        <v>2.3162059390884155E-4</v>
      </c>
      <c r="W185" s="2"/>
      <c r="X185" s="2">
        <f t="shared" si="21"/>
        <v>-3863.5199999999995</v>
      </c>
      <c r="Y185" s="2"/>
      <c r="Z185" s="19">
        <f t="shared" si="22"/>
        <v>-0.74370257440837118</v>
      </c>
    </row>
    <row r="186" spans="1:26" s="24" customFormat="1" hidden="1" outlineLevel="1" x14ac:dyDescent="0.25">
      <c r="A186" s="44"/>
      <c r="B186" s="11" t="str">
        <f>CONCATENATE("          ", "5540", " - ", "FREIGHT-IN-LOGO CLOTHING")</f>
        <v xml:space="preserve">          5540 - FREIGHT-IN-LOGO CLOTHING</v>
      </c>
      <c r="C186" s="11"/>
      <c r="D186" s="2">
        <v>1400.5</v>
      </c>
      <c r="E186" s="2"/>
      <c r="F186" s="19">
        <f t="shared" si="15"/>
        <v>3.8329253537116833E-4</v>
      </c>
      <c r="G186" s="2"/>
      <c r="H186" s="2">
        <v>1692.94</v>
      </c>
      <c r="I186" s="2"/>
      <c r="J186" s="19">
        <f t="shared" si="16"/>
        <v>4.1356034909209143E-4</v>
      </c>
      <c r="K186" s="2"/>
      <c r="L186" s="2">
        <f t="shared" si="17"/>
        <v>-292.44000000000005</v>
      </c>
      <c r="M186" s="2"/>
      <c r="N186" s="19">
        <f t="shared" si="18"/>
        <v>-0.17274091225914684</v>
      </c>
      <c r="O186" s="11"/>
      <c r="P186" s="2">
        <v>25677.89</v>
      </c>
      <c r="Q186" s="2"/>
      <c r="R186" s="19">
        <f t="shared" si="19"/>
        <v>1.1815869036955488E-3</v>
      </c>
      <c r="S186" s="2"/>
      <c r="T186" s="2">
        <v>17945.27</v>
      </c>
      <c r="U186" s="2"/>
      <c r="V186" s="19">
        <f t="shared" si="20"/>
        <v>8.0009819003240004E-4</v>
      </c>
      <c r="W186" s="2"/>
      <c r="X186" s="2">
        <f t="shared" si="21"/>
        <v>7732.619999999999</v>
      </c>
      <c r="Y186" s="2"/>
      <c r="Z186" s="19">
        <f t="shared" si="22"/>
        <v>0.43090017592379487</v>
      </c>
    </row>
    <row r="187" spans="1:26" s="24" customFormat="1" hidden="1" outlineLevel="1" x14ac:dyDescent="0.25">
      <c r="A187" s="44"/>
      <c r="B187" s="11" t="str">
        <f>CONCATENATE("          ", "5541", " - ", "FREIGHT-IN-LOGO GIFTS")</f>
        <v xml:space="preserve">          5541 - FREIGHT-IN-LOGO GIFTS</v>
      </c>
      <c r="C187" s="11"/>
      <c r="D187" s="2">
        <v>24.8</v>
      </c>
      <c r="E187" s="2"/>
      <c r="F187" s="19">
        <f t="shared" si="15"/>
        <v>6.7873294374901637E-6</v>
      </c>
      <c r="G187" s="2"/>
      <c r="H187" s="2">
        <v>72.37</v>
      </c>
      <c r="I187" s="2"/>
      <c r="J187" s="19">
        <f t="shared" si="16"/>
        <v>1.7678926875018993E-5</v>
      </c>
      <c r="K187" s="2"/>
      <c r="L187" s="2">
        <f t="shared" si="17"/>
        <v>-47.570000000000007</v>
      </c>
      <c r="M187" s="2"/>
      <c r="N187" s="19">
        <f t="shared" si="18"/>
        <v>-0.65731656763852431</v>
      </c>
      <c r="O187" s="11"/>
      <c r="P187" s="2">
        <v>3587.57</v>
      </c>
      <c r="Q187" s="2"/>
      <c r="R187" s="19">
        <f t="shared" si="19"/>
        <v>1.6508465952969816E-4</v>
      </c>
      <c r="S187" s="2"/>
      <c r="T187" s="2">
        <v>4828.58</v>
      </c>
      <c r="U187" s="2"/>
      <c r="V187" s="19">
        <f t="shared" si="20"/>
        <v>2.152844798894999E-4</v>
      </c>
      <c r="W187" s="2"/>
      <c r="X187" s="2">
        <f t="shared" si="21"/>
        <v>-1241.0099999999998</v>
      </c>
      <c r="Y187" s="2"/>
      <c r="Z187" s="19">
        <f t="shared" si="22"/>
        <v>-0.25701344908855189</v>
      </c>
    </row>
    <row r="188" spans="1:26" s="24" customFormat="1" hidden="1" outlineLevel="1" x14ac:dyDescent="0.25">
      <c r="A188" s="44"/>
      <c r="B188" s="11" t="str">
        <f>CONCATENATE("          ", "5542", " - ", "FREIGHT-IN-EVERYDAY GIFTS")</f>
        <v xml:space="preserve">          5542 - FREIGHT-IN-EVERYDAY GIFTS</v>
      </c>
      <c r="C188" s="11"/>
      <c r="D188" s="2"/>
      <c r="E188" s="2"/>
      <c r="F188" s="19">
        <f t="shared" si="15"/>
        <v>0</v>
      </c>
      <c r="G188" s="2"/>
      <c r="H188" s="2">
        <v>120.49</v>
      </c>
      <c r="I188" s="2"/>
      <c r="J188" s="19">
        <f t="shared" si="16"/>
        <v>2.9433935320865529E-5</v>
      </c>
      <c r="K188" s="2"/>
      <c r="L188" s="2">
        <f t="shared" si="17"/>
        <v>-120.49</v>
      </c>
      <c r="M188" s="2"/>
      <c r="N188" s="19">
        <f t="shared" si="18"/>
        <v>-1</v>
      </c>
      <c r="O188" s="11"/>
      <c r="P188" s="2">
        <v>1708.33</v>
      </c>
      <c r="Q188" s="2"/>
      <c r="R188" s="19">
        <f t="shared" si="19"/>
        <v>7.8610055389684167E-5</v>
      </c>
      <c r="S188" s="2"/>
      <c r="T188" s="2">
        <v>1342.04</v>
      </c>
      <c r="U188" s="2"/>
      <c r="V188" s="19">
        <f t="shared" si="20"/>
        <v>5.9835476142241498E-5</v>
      </c>
      <c r="W188" s="2"/>
      <c r="X188" s="2">
        <f t="shared" si="21"/>
        <v>366.28999999999996</v>
      </c>
      <c r="Y188" s="2"/>
      <c r="Z188" s="19">
        <f t="shared" si="22"/>
        <v>0.27293523292897376</v>
      </c>
    </row>
    <row r="189" spans="1:26" s="24" customFormat="1" hidden="1" outlineLevel="1" x14ac:dyDescent="0.25">
      <c r="A189" s="44"/>
      <c r="B189" s="11" t="str">
        <f>CONCATENATE("          ", "5543", " - ", "FREIGHT-IN-CARDS")</f>
        <v xml:space="preserve">          5543 - FREIGHT-IN-CARDS</v>
      </c>
      <c r="C189" s="11"/>
      <c r="D189" s="2"/>
      <c r="E189" s="2"/>
      <c r="F189" s="19">
        <f t="shared" si="15"/>
        <v>0</v>
      </c>
      <c r="G189" s="2"/>
      <c r="H189" s="2">
        <v>44.71</v>
      </c>
      <c r="I189" s="2"/>
      <c r="J189" s="19">
        <f t="shared" si="16"/>
        <v>1.0921995586321669E-5</v>
      </c>
      <c r="K189" s="2"/>
      <c r="L189" s="2">
        <f t="shared" si="17"/>
        <v>-44.71</v>
      </c>
      <c r="M189" s="2"/>
      <c r="N189" s="19">
        <f t="shared" si="18"/>
        <v>-1</v>
      </c>
      <c r="O189" s="11"/>
      <c r="P189" s="2">
        <v>121.35</v>
      </c>
      <c r="Q189" s="2"/>
      <c r="R189" s="19">
        <f t="shared" si="19"/>
        <v>5.5840090740888308E-6</v>
      </c>
      <c r="S189" s="2"/>
      <c r="T189" s="2">
        <v>57.18</v>
      </c>
      <c r="U189" s="2"/>
      <c r="V189" s="19">
        <f t="shared" si="20"/>
        <v>2.5493968330402738E-6</v>
      </c>
      <c r="W189" s="2"/>
      <c r="X189" s="2">
        <f t="shared" si="21"/>
        <v>64.169999999999987</v>
      </c>
      <c r="Y189" s="2"/>
      <c r="Z189" s="19">
        <f t="shared" si="22"/>
        <v>1.1222455403987406</v>
      </c>
    </row>
    <row r="190" spans="1:26" s="24" customFormat="1" hidden="1" outlineLevel="1" x14ac:dyDescent="0.25">
      <c r="A190" s="44"/>
      <c r="B190" s="11" t="str">
        <f>CONCATENATE("          ", "5544", " - ", "FREIGHT-IN-ACCESSORIES")</f>
        <v xml:space="preserve">          5544 - FREIGHT-IN-ACCESSORIES</v>
      </c>
      <c r="C190" s="11"/>
      <c r="D190" s="2"/>
      <c r="E190" s="2"/>
      <c r="F190" s="19">
        <f t="shared" si="15"/>
        <v>0</v>
      </c>
      <c r="G190" s="2"/>
      <c r="H190" s="2">
        <v>145.19999999999999</v>
      </c>
      <c r="I190" s="2"/>
      <c r="J190" s="19">
        <f t="shared" si="16"/>
        <v>3.5470224986220224E-5</v>
      </c>
      <c r="K190" s="2"/>
      <c r="L190" s="2">
        <f t="shared" si="17"/>
        <v>-145.19999999999999</v>
      </c>
      <c r="M190" s="2"/>
      <c r="N190" s="19">
        <f t="shared" si="18"/>
        <v>-1</v>
      </c>
      <c r="O190" s="11"/>
      <c r="P190" s="2">
        <v>442.31</v>
      </c>
      <c r="Q190" s="2"/>
      <c r="R190" s="19">
        <f t="shared" si="19"/>
        <v>2.0353218405935156E-5</v>
      </c>
      <c r="S190" s="2"/>
      <c r="T190" s="2">
        <v>735.65</v>
      </c>
      <c r="U190" s="2"/>
      <c r="V190" s="19">
        <f t="shared" si="20"/>
        <v>3.2799296611159098E-5</v>
      </c>
      <c r="W190" s="2"/>
      <c r="X190" s="2">
        <f t="shared" si="21"/>
        <v>-293.33999999999997</v>
      </c>
      <c r="Y190" s="2"/>
      <c r="Z190" s="19">
        <f t="shared" si="22"/>
        <v>-0.39874940528784064</v>
      </c>
    </row>
    <row r="191" spans="1:26" s="24" customFormat="1" hidden="1" outlineLevel="1" x14ac:dyDescent="0.25">
      <c r="A191" s="44"/>
      <c r="B191" s="11" t="str">
        <f>CONCATENATE("          ", "5545", " - ", "FREIGHT-IN-SPECIAL ORDERS")</f>
        <v xml:space="preserve">          5545 - FREIGHT-IN-SPECIAL ORDERS</v>
      </c>
      <c r="C191" s="11"/>
      <c r="D191" s="2">
        <v>14.23</v>
      </c>
      <c r="E191" s="2"/>
      <c r="F191" s="19">
        <f t="shared" si="15"/>
        <v>3.8945039473985897E-6</v>
      </c>
      <c r="G191" s="2"/>
      <c r="H191" s="2">
        <v>120.96</v>
      </c>
      <c r="I191" s="2"/>
      <c r="J191" s="19">
        <f t="shared" si="16"/>
        <v>2.9548749410008254E-5</v>
      </c>
      <c r="K191" s="2"/>
      <c r="L191" s="2">
        <f t="shared" si="17"/>
        <v>-106.72999999999999</v>
      </c>
      <c r="M191" s="2"/>
      <c r="N191" s="19">
        <f t="shared" si="18"/>
        <v>-0.88235780423280419</v>
      </c>
      <c r="O191" s="11"/>
      <c r="P191" s="2">
        <v>841.9</v>
      </c>
      <c r="Q191" s="2"/>
      <c r="R191" s="19">
        <f t="shared" si="19"/>
        <v>3.8740644742277604E-5</v>
      </c>
      <c r="S191" s="2"/>
      <c r="T191" s="2">
        <v>1443.49</v>
      </c>
      <c r="U191" s="2"/>
      <c r="V191" s="19">
        <f t="shared" si="20"/>
        <v>6.4358671467738802E-5</v>
      </c>
      <c r="W191" s="2"/>
      <c r="X191" s="2">
        <f t="shared" si="21"/>
        <v>-601.59</v>
      </c>
      <c r="Y191" s="2"/>
      <c r="Z191" s="19">
        <f t="shared" si="22"/>
        <v>-0.41676076730701289</v>
      </c>
    </row>
    <row r="192" spans="1:26" s="24" customFormat="1" hidden="1" outlineLevel="1" x14ac:dyDescent="0.25">
      <c r="A192" s="44"/>
      <c r="B192" s="11" t="str">
        <f>CONCATENATE("          ", "5581", " - ", "FREIGHT-IN-ELECTRONICS")</f>
        <v xml:space="preserve">          5581 - FREIGHT-IN-ELECTRONICS</v>
      </c>
      <c r="C192" s="11"/>
      <c r="D192" s="2"/>
      <c r="E192" s="2"/>
      <c r="F192" s="19">
        <f t="shared" si="15"/>
        <v>0</v>
      </c>
      <c r="G192" s="2"/>
      <c r="H192" s="2"/>
      <c r="I192" s="2"/>
      <c r="J192" s="19">
        <f t="shared" si="16"/>
        <v>0</v>
      </c>
      <c r="K192" s="2"/>
      <c r="L192" s="2">
        <f t="shared" si="17"/>
        <v>0</v>
      </c>
      <c r="M192" s="2"/>
      <c r="N192" s="19">
        <f t="shared" si="18"/>
        <v>0</v>
      </c>
      <c r="O192" s="11"/>
      <c r="P192" s="2">
        <v>105.75</v>
      </c>
      <c r="Q192" s="2"/>
      <c r="R192" s="19">
        <f t="shared" si="19"/>
        <v>4.8661636554173374E-6</v>
      </c>
      <c r="S192" s="2"/>
      <c r="T192" s="2"/>
      <c r="U192" s="2"/>
      <c r="V192" s="19">
        <f t="shared" si="20"/>
        <v>0</v>
      </c>
      <c r="W192" s="2"/>
      <c r="X192" s="2">
        <f t="shared" si="21"/>
        <v>105.75</v>
      </c>
      <c r="Y192" s="2"/>
      <c r="Z192" s="19">
        <f t="shared" si="22"/>
        <v>0</v>
      </c>
    </row>
    <row r="193" spans="1:26" s="24" customFormat="1" hidden="1" outlineLevel="1" x14ac:dyDescent="0.25">
      <c r="A193" s="44"/>
      <c r="B193" s="11" t="str">
        <f>CONCATENATE("          ", "5582", " - ", "FREIGHT-IN-COMPUTER HARDWARE")</f>
        <v xml:space="preserve">          5582 - FREIGHT-IN-COMPUTER HARDWARE</v>
      </c>
      <c r="C193" s="11"/>
      <c r="D193" s="2"/>
      <c r="E193" s="2"/>
      <c r="F193" s="19">
        <f t="shared" si="15"/>
        <v>0</v>
      </c>
      <c r="G193" s="2"/>
      <c r="H193" s="2"/>
      <c r="I193" s="2"/>
      <c r="J193" s="19">
        <f t="shared" si="16"/>
        <v>0</v>
      </c>
      <c r="K193" s="2"/>
      <c r="L193" s="2">
        <f t="shared" si="17"/>
        <v>0</v>
      </c>
      <c r="M193" s="2"/>
      <c r="N193" s="19">
        <f t="shared" si="18"/>
        <v>0</v>
      </c>
      <c r="O193" s="11"/>
      <c r="P193" s="2">
        <v>4.84</v>
      </c>
      <c r="Q193" s="2"/>
      <c r="R193" s="19">
        <f t="shared" si="19"/>
        <v>2.2271614271602756E-7</v>
      </c>
      <c r="S193" s="2"/>
      <c r="T193" s="2">
        <v>12</v>
      </c>
      <c r="U193" s="2"/>
      <c r="V193" s="19">
        <f t="shared" si="20"/>
        <v>5.3502556831905006E-7</v>
      </c>
      <c r="W193" s="2"/>
      <c r="X193" s="2">
        <f t="shared" si="21"/>
        <v>-7.16</v>
      </c>
      <c r="Y193" s="2"/>
      <c r="Z193" s="19">
        <f t="shared" si="22"/>
        <v>-0.59666666666666668</v>
      </c>
    </row>
    <row r="194" spans="1:26" s="24" customFormat="1" hidden="1" outlineLevel="1" x14ac:dyDescent="0.25">
      <c r="A194" s="44"/>
      <c r="B194" s="11" t="str">
        <f>CONCATENATE("          ", "5583", " - ", "FREIGHT-IN-COMPUTER EQUIPMENT")</f>
        <v xml:space="preserve">          5583 - FREIGHT-IN-COMPUTER EQUIPMENT</v>
      </c>
      <c r="C194" s="11"/>
      <c r="D194" s="2"/>
      <c r="E194" s="2"/>
      <c r="F194" s="19">
        <f t="shared" si="15"/>
        <v>0</v>
      </c>
      <c r="G194" s="2"/>
      <c r="H194" s="2">
        <v>3.83</v>
      </c>
      <c r="I194" s="2"/>
      <c r="J194" s="19">
        <f t="shared" si="16"/>
        <v>9.3561268386517538E-7</v>
      </c>
      <c r="K194" s="2"/>
      <c r="L194" s="2">
        <f t="shared" si="17"/>
        <v>-3.83</v>
      </c>
      <c r="M194" s="2"/>
      <c r="N194" s="19">
        <f t="shared" si="18"/>
        <v>-1</v>
      </c>
      <c r="O194" s="11"/>
      <c r="P194" s="2">
        <v>49.12</v>
      </c>
      <c r="Q194" s="2"/>
      <c r="R194" s="19">
        <f t="shared" si="19"/>
        <v>2.260292754175883E-6</v>
      </c>
      <c r="S194" s="2"/>
      <c r="T194" s="2">
        <v>26.73</v>
      </c>
      <c r="U194" s="2"/>
      <c r="V194" s="19">
        <f t="shared" si="20"/>
        <v>1.1917694534306841E-6</v>
      </c>
      <c r="W194" s="2"/>
      <c r="X194" s="2">
        <f t="shared" si="21"/>
        <v>22.389999999999997</v>
      </c>
      <c r="Y194" s="2"/>
      <c r="Z194" s="19">
        <f t="shared" si="22"/>
        <v>0.83763561541339304</v>
      </c>
    </row>
    <row r="195" spans="1:26" s="24" customFormat="1" hidden="1" outlineLevel="1" x14ac:dyDescent="0.25">
      <c r="A195" s="44"/>
      <c r="B195" s="11" t="str">
        <f>CONCATENATE("          ", "5586", " - ", "FREIGHT-IN-COMPUTER SUPPLIES")</f>
        <v xml:space="preserve">          5586 - FREIGHT-IN-COMPUTER SUPPLIES</v>
      </c>
      <c r="C195" s="11"/>
      <c r="D195" s="2">
        <v>33.31</v>
      </c>
      <c r="E195" s="2"/>
      <c r="F195" s="19">
        <f t="shared" si="15"/>
        <v>9.11636869204828E-6</v>
      </c>
      <c r="G195" s="2"/>
      <c r="H195" s="2">
        <v>72.040000000000006</v>
      </c>
      <c r="I195" s="2"/>
      <c r="J195" s="19">
        <f t="shared" si="16"/>
        <v>1.7598312727323041E-5</v>
      </c>
      <c r="K195" s="2"/>
      <c r="L195" s="2">
        <f t="shared" si="17"/>
        <v>-38.730000000000004</v>
      </c>
      <c r="M195" s="2"/>
      <c r="N195" s="19">
        <f t="shared" si="18"/>
        <v>-0.53761799000555244</v>
      </c>
      <c r="O195" s="11"/>
      <c r="P195" s="2">
        <v>195.82</v>
      </c>
      <c r="Q195" s="2"/>
      <c r="R195" s="19">
        <f t="shared" si="19"/>
        <v>9.0108006336058914E-6</v>
      </c>
      <c r="S195" s="2"/>
      <c r="T195" s="2">
        <v>217.61</v>
      </c>
      <c r="U195" s="2"/>
      <c r="V195" s="19">
        <f t="shared" si="20"/>
        <v>9.7022428268257091E-6</v>
      </c>
      <c r="W195" s="2"/>
      <c r="X195" s="2">
        <f t="shared" si="21"/>
        <v>-21.79000000000002</v>
      </c>
      <c r="Y195" s="2"/>
      <c r="Z195" s="19">
        <f t="shared" si="22"/>
        <v>-0.10013326593447001</v>
      </c>
    </row>
    <row r="196" spans="1:26" s="24" customFormat="1" hidden="1" outlineLevel="1" x14ac:dyDescent="0.25">
      <c r="A196" s="44"/>
      <c r="B196" s="11" t="str">
        <f>CONCATENATE("          ", "5592", " - ", "FREIGHT-IN-GRAD MERCH")</f>
        <v xml:space="preserve">          5592 - FREIGHT-IN-GRAD MERCH</v>
      </c>
      <c r="C196" s="11"/>
      <c r="D196" s="2"/>
      <c r="E196" s="2"/>
      <c r="F196" s="19">
        <f t="shared" si="15"/>
        <v>0</v>
      </c>
      <c r="G196" s="2"/>
      <c r="H196" s="2"/>
      <c r="I196" s="2"/>
      <c r="J196" s="19">
        <f t="shared" si="16"/>
        <v>0</v>
      </c>
      <c r="K196" s="2"/>
      <c r="L196" s="2">
        <f t="shared" si="17"/>
        <v>0</v>
      </c>
      <c r="M196" s="2"/>
      <c r="N196" s="19">
        <f t="shared" si="18"/>
        <v>0</v>
      </c>
      <c r="O196" s="11"/>
      <c r="P196" s="2">
        <v>105.78</v>
      </c>
      <c r="Q196" s="2"/>
      <c r="R196" s="19">
        <f t="shared" si="19"/>
        <v>4.8675441273763216E-6</v>
      </c>
      <c r="S196" s="2"/>
      <c r="T196" s="2">
        <v>114.3</v>
      </c>
      <c r="U196" s="2"/>
      <c r="V196" s="19">
        <f t="shared" si="20"/>
        <v>5.0961185382389526E-6</v>
      </c>
      <c r="W196" s="2"/>
      <c r="X196" s="2">
        <f t="shared" si="21"/>
        <v>-8.519999999999996</v>
      </c>
      <c r="Y196" s="2"/>
      <c r="Z196" s="19">
        <f t="shared" si="22"/>
        <v>-7.4540682414698134E-2</v>
      </c>
    </row>
    <row r="197" spans="1:26" x14ac:dyDescent="0.25">
      <c r="A197" s="9"/>
      <c r="B197" s="10"/>
      <c r="C197" s="10"/>
      <c r="D197" s="3"/>
      <c r="E197" s="3"/>
      <c r="F197" s="8"/>
      <c r="G197" s="3"/>
      <c r="H197" s="3"/>
      <c r="I197" s="3"/>
      <c r="J197" s="8"/>
      <c r="K197" s="3"/>
      <c r="L197" s="3"/>
      <c r="M197" s="3"/>
      <c r="N197" s="8"/>
      <c r="O197" s="10"/>
      <c r="P197" s="3"/>
      <c r="Q197" s="3"/>
      <c r="R197" s="8"/>
      <c r="S197" s="3"/>
      <c r="T197" s="3"/>
      <c r="U197" s="3"/>
      <c r="V197" s="8"/>
      <c r="W197" s="3"/>
      <c r="X197" s="3"/>
      <c r="Y197" s="3"/>
      <c r="Z197" s="8"/>
    </row>
    <row r="198" spans="1:26" s="23" customFormat="1" x14ac:dyDescent="0.25">
      <c r="A198" s="10"/>
      <c r="B198" s="28" t="s">
        <v>6</v>
      </c>
      <c r="C198" s="28"/>
      <c r="D198" s="21">
        <f>D12-D137</f>
        <v>1880328.1900000016</v>
      </c>
      <c r="E198" s="14"/>
      <c r="F198" s="22">
        <f>IF(D$12=0,0,D198/D$12)</f>
        <v>0.5146131804890971</v>
      </c>
      <c r="G198" s="14"/>
      <c r="H198" s="21">
        <f>H12-H137</f>
        <v>1797532.7100000004</v>
      </c>
      <c r="I198" s="14"/>
      <c r="J198" s="22">
        <f>IF(H$12=0,0,H198/H$12)</f>
        <v>0.43911081021894061</v>
      </c>
      <c r="K198" s="16"/>
      <c r="L198" s="21">
        <f>+D198-H198</f>
        <v>82795.480000001146</v>
      </c>
      <c r="M198" s="16"/>
      <c r="N198" s="22">
        <f>IF(H198=0,0,L198/H198)</f>
        <v>4.6060624955192676E-2</v>
      </c>
      <c r="O198" s="29"/>
      <c r="P198" s="21">
        <f>P12-P137</f>
        <v>12076357.269999994</v>
      </c>
      <c r="Q198" s="14"/>
      <c r="R198" s="22">
        <f>IF(P$12=0,0,P198/P$12)</f>
        <v>0.55570241926344122</v>
      </c>
      <c r="S198" s="14"/>
      <c r="T198" s="21">
        <f>T12-T137</f>
        <v>12085071.17</v>
      </c>
      <c r="U198" s="14"/>
      <c r="V198" s="22">
        <f>IF(T$12=0,0,T198/T$12)</f>
        <v>0.53881850590878477</v>
      </c>
      <c r="W198" s="16"/>
      <c r="X198" s="21">
        <f>+P198-T198</f>
        <v>-8713.9000000059605</v>
      </c>
      <c r="Y198" s="16"/>
      <c r="Z198" s="22">
        <f>IF(T198=0,0,X198/T198)</f>
        <v>-7.2104664320367102E-4</v>
      </c>
    </row>
    <row r="199" spans="1:26" x14ac:dyDescent="0.25">
      <c r="A199" s="9"/>
      <c r="B199" s="10"/>
      <c r="C199" s="9"/>
      <c r="D199" s="1"/>
      <c r="E199" s="1"/>
      <c r="F199" s="5"/>
      <c r="G199" s="1"/>
      <c r="H199" s="1"/>
      <c r="I199" s="1"/>
      <c r="J199" s="5"/>
      <c r="K199" s="1"/>
      <c r="L199" s="1"/>
      <c r="M199" s="1"/>
      <c r="N199" s="5"/>
      <c r="O199" s="37"/>
      <c r="P199" s="1"/>
      <c r="Q199" s="1"/>
      <c r="R199" s="5"/>
      <c r="S199" s="1"/>
      <c r="T199" s="1"/>
      <c r="U199" s="1"/>
      <c r="V199" s="5"/>
      <c r="W199" s="1"/>
      <c r="X199" s="1"/>
      <c r="Y199" s="1"/>
      <c r="Z199" s="5"/>
    </row>
    <row r="200" spans="1:26" s="23" customFormat="1" x14ac:dyDescent="0.25">
      <c r="A200" s="10"/>
      <c r="B200" s="29" t="s">
        <v>9</v>
      </c>
      <c r="C200" s="10"/>
      <c r="D200" s="20">
        <f>SUM(OSRRefD22x_0)</f>
        <v>1519145.6899999995</v>
      </c>
      <c r="E200" s="20"/>
      <c r="F200" s="32">
        <f t="shared" ref="F200:F210" si="23">IF(D$12=0,0,D200/D$12)</f>
        <v>0.41576380086989123</v>
      </c>
      <c r="G200" s="20"/>
      <c r="H200" s="20">
        <f>SUM(OSRRefH22x_0)</f>
        <v>1469965.2599999998</v>
      </c>
      <c r="I200" s="20"/>
      <c r="J200" s="32">
        <f t="shared" ref="J200:J210" si="24">IF(H$12=0,0,H200/H$12)</f>
        <v>0.35909089871988775</v>
      </c>
      <c r="K200" s="4"/>
      <c r="L200" s="20">
        <f t="shared" ref="L200:L210" si="25">+D200-H200</f>
        <v>49180.429999999702</v>
      </c>
      <c r="M200" s="4"/>
      <c r="N200" s="32">
        <f t="shared" ref="N200:N210" si="26">IF(H200=0,0,L200/H200)</f>
        <v>3.345686550442676E-2</v>
      </c>
      <c r="O200" s="10"/>
      <c r="P200" s="20">
        <f>SUM(OSRRefP22x_0)</f>
        <v>10506273.269999996</v>
      </c>
      <c r="Q200" s="20"/>
      <c r="R200" s="32">
        <f t="shared" ref="R200:R210" si="27">IF(P$12=0,0,P200/P$12)</f>
        <v>0.48345385475514557</v>
      </c>
      <c r="S200" s="20"/>
      <c r="T200" s="20">
        <f>SUM(OSRRefT22x_0)</f>
        <v>10087570.229999999</v>
      </c>
      <c r="U200" s="20"/>
      <c r="V200" s="32">
        <f t="shared" ref="V200:V210" si="28">IF(T$12=0,0,T200/T$12)</f>
        <v>0.44975899960534005</v>
      </c>
      <c r="W200" s="4"/>
      <c r="X200" s="20">
        <f t="shared" ref="X200:X210" si="29">+P200-T200</f>
        <v>418703.03999999724</v>
      </c>
      <c r="Y200" s="4"/>
      <c r="Z200" s="32">
        <f t="shared" ref="Z200:Z210" si="30">IF(T200=0,0,X200/T200)</f>
        <v>4.1506827754694831E-2</v>
      </c>
    </row>
    <row r="201" spans="1:26" s="26" customFormat="1" outlineLevel="1" collapsed="1" x14ac:dyDescent="0.25">
      <c r="A201" s="27"/>
      <c r="B201" s="13" t="str">
        <f>CONCATENATE("     ","*Benefits                                         ")</f>
        <v xml:space="preserve">     *Benefits                                         </v>
      </c>
      <c r="C201" s="13"/>
      <c r="D201" s="1">
        <f>SUM(OSRRefD22_0x_0)</f>
        <v>230373.41</v>
      </c>
      <c r="E201" s="1"/>
      <c r="F201" s="5">
        <f t="shared" si="23"/>
        <v>6.3049202714031888E-2</v>
      </c>
      <c r="G201" s="1"/>
      <c r="H201" s="1">
        <f>SUM(OSRRefH22_0x_0)</f>
        <v>230073.67</v>
      </c>
      <c r="I201" s="1"/>
      <c r="J201" s="5">
        <f t="shared" si="24"/>
        <v>5.6203614588880076E-2</v>
      </c>
      <c r="K201" s="1"/>
      <c r="L201" s="1">
        <f t="shared" si="25"/>
        <v>299.73999999999069</v>
      </c>
      <c r="M201" s="1"/>
      <c r="N201" s="5">
        <f t="shared" si="26"/>
        <v>1.3028000987683236E-3</v>
      </c>
      <c r="O201" s="13"/>
      <c r="P201" s="1">
        <f>SUM(OSRRefP22_0x_0)</f>
        <v>1637853.95</v>
      </c>
      <c r="Q201" s="1"/>
      <c r="R201" s="5">
        <f t="shared" si="27"/>
        <v>7.5367048362853198E-2</v>
      </c>
      <c r="S201" s="1"/>
      <c r="T201" s="1">
        <f>SUM(OSRRefT22_0x_0)</f>
        <v>1570447.19</v>
      </c>
      <c r="U201" s="1"/>
      <c r="V201" s="5">
        <f t="shared" si="28"/>
        <v>7.0019116695400438E-2</v>
      </c>
      <c r="W201" s="1"/>
      <c r="X201" s="1">
        <f t="shared" si="29"/>
        <v>67406.760000000009</v>
      </c>
      <c r="Y201" s="1"/>
      <c r="Z201" s="5">
        <f t="shared" si="30"/>
        <v>4.2922016371655269E-2</v>
      </c>
    </row>
    <row r="202" spans="1:26" s="24" customFormat="1" hidden="1" outlineLevel="2" x14ac:dyDescent="0.25">
      <c r="A202" s="25"/>
      <c r="B202" s="11" t="str">
        <f>CONCATENATE("          ", "6111", " - ", "F.I.C.A.")</f>
        <v xml:space="preserve">          6111 - F.I.C.A.</v>
      </c>
      <c r="C202" s="11"/>
      <c r="D202" s="6">
        <v>30976.83</v>
      </c>
      <c r="E202" s="2"/>
      <c r="F202" s="7">
        <f t="shared" si="23"/>
        <v>8.4778205701261464E-3</v>
      </c>
      <c r="G202" s="2"/>
      <c r="H202" s="6">
        <v>28613.809999999998</v>
      </c>
      <c r="I202" s="2"/>
      <c r="J202" s="7">
        <f t="shared" si="24"/>
        <v>6.989933046921199E-3</v>
      </c>
      <c r="K202" s="2"/>
      <c r="L202" s="6">
        <f t="shared" si="25"/>
        <v>2363.0200000000041</v>
      </c>
      <c r="M202" s="2"/>
      <c r="N202" s="7">
        <f t="shared" si="26"/>
        <v>8.2583200209968691E-2</v>
      </c>
      <c r="O202" s="11"/>
      <c r="P202" s="6">
        <v>283142.46000000002</v>
      </c>
      <c r="Q202" s="2"/>
      <c r="R202" s="7">
        <f t="shared" si="27"/>
        <v>1.3029007547588249E-2</v>
      </c>
      <c r="S202" s="2"/>
      <c r="T202" s="6">
        <v>259843.56</v>
      </c>
      <c r="U202" s="2"/>
      <c r="V202" s="7">
        <f t="shared" si="28"/>
        <v>1.1585245696920434E-2</v>
      </c>
      <c r="W202" s="2"/>
      <c r="X202" s="6">
        <f t="shared" si="29"/>
        <v>23298.900000000023</v>
      </c>
      <c r="Y202" s="2"/>
      <c r="Z202" s="7">
        <f t="shared" si="30"/>
        <v>8.9665104649890207E-2</v>
      </c>
    </row>
    <row r="203" spans="1:26" s="24" customFormat="1" hidden="1" outlineLevel="2" x14ac:dyDescent="0.25">
      <c r="A203" s="25"/>
      <c r="B203" s="11" t="str">
        <f>CONCATENATE("          ", "6112", " - ", "COMPENSATION INSURANCE")</f>
        <v xml:space="preserve">          6112 - COMPENSATION INSURANCE</v>
      </c>
      <c r="C203" s="11"/>
      <c r="D203" s="6">
        <v>17348.929999999997</v>
      </c>
      <c r="E203" s="2"/>
      <c r="F203" s="7">
        <f t="shared" si="23"/>
        <v>4.7481009394337182E-3</v>
      </c>
      <c r="G203" s="2"/>
      <c r="H203" s="6">
        <v>13443.7</v>
      </c>
      <c r="I203" s="2"/>
      <c r="J203" s="7">
        <f t="shared" si="24"/>
        <v>3.2840982344851852E-3</v>
      </c>
      <c r="K203" s="2"/>
      <c r="L203" s="6">
        <f t="shared" si="25"/>
        <v>3905.2299999999959</v>
      </c>
      <c r="M203" s="2"/>
      <c r="N203" s="7">
        <f t="shared" si="26"/>
        <v>0.29048773775076769</v>
      </c>
      <c r="O203" s="11"/>
      <c r="P203" s="6">
        <v>123668.87999999999</v>
      </c>
      <c r="Q203" s="2"/>
      <c r="R203" s="7">
        <f t="shared" si="27"/>
        <v>5.6907140346304308E-3</v>
      </c>
      <c r="S203" s="2"/>
      <c r="T203" s="6">
        <v>127788.68</v>
      </c>
      <c r="U203" s="2"/>
      <c r="V203" s="7">
        <f t="shared" si="28"/>
        <v>5.6975175951451025E-3</v>
      </c>
      <c r="W203" s="2"/>
      <c r="X203" s="6">
        <f t="shared" si="29"/>
        <v>-4119.8000000000029</v>
      </c>
      <c r="Y203" s="2"/>
      <c r="Z203" s="7">
        <f t="shared" si="30"/>
        <v>-3.2239162342079151E-2</v>
      </c>
    </row>
    <row r="204" spans="1:26" s="24" customFormat="1" hidden="1" outlineLevel="2" x14ac:dyDescent="0.25">
      <c r="A204" s="25"/>
      <c r="B204" s="11" t="str">
        <f>CONCATENATE("          ", "6113", " - ", "GROUP INSURANCE")</f>
        <v xml:space="preserve">          6113 - GROUP INSURANCE</v>
      </c>
      <c r="C204" s="11"/>
      <c r="D204" s="6">
        <v>101786.83</v>
      </c>
      <c r="E204" s="2"/>
      <c r="F204" s="7">
        <f t="shared" si="23"/>
        <v>2.7857288209992215E-2</v>
      </c>
      <c r="G204" s="2"/>
      <c r="H204" s="6">
        <v>96314.040000000008</v>
      </c>
      <c r="I204" s="2"/>
      <c r="J204" s="7">
        <f t="shared" si="24"/>
        <v>2.3528103775012497E-2</v>
      </c>
      <c r="K204" s="2"/>
      <c r="L204" s="6">
        <f t="shared" si="25"/>
        <v>5472.7899999999936</v>
      </c>
      <c r="M204" s="2"/>
      <c r="N204" s="7">
        <f t="shared" si="26"/>
        <v>5.6822349057312857E-2</v>
      </c>
      <c r="O204" s="11"/>
      <c r="P204" s="6">
        <v>670386.47</v>
      </c>
      <c r="Q204" s="2"/>
      <c r="R204" s="7">
        <f t="shared" si="27"/>
        <v>3.0848324117234281E-2</v>
      </c>
      <c r="S204" s="2"/>
      <c r="T204" s="6">
        <v>654182.77999999991</v>
      </c>
      <c r="U204" s="2"/>
      <c r="V204" s="7">
        <f t="shared" si="28"/>
        <v>2.9167042804503007E-2</v>
      </c>
      <c r="W204" s="2"/>
      <c r="X204" s="6">
        <f t="shared" si="29"/>
        <v>16203.690000000061</v>
      </c>
      <c r="Y204" s="2"/>
      <c r="Z204" s="7">
        <f t="shared" si="30"/>
        <v>2.4769361859387468E-2</v>
      </c>
    </row>
    <row r="205" spans="1:26" s="24" customFormat="1" hidden="1" outlineLevel="2" x14ac:dyDescent="0.25">
      <c r="A205" s="25"/>
      <c r="B205" s="11" t="str">
        <f>CONCATENATE("          ", "6114", " - ", "STATE UNEMPLOYMENT INSURANCE")</f>
        <v xml:space="preserve">          6114 - STATE UNEMPLOYMENT INSURANCE</v>
      </c>
      <c r="C205" s="11"/>
      <c r="D205" s="6">
        <v>1622.89</v>
      </c>
      <c r="E205" s="2"/>
      <c r="F205" s="7">
        <f t="shared" si="23"/>
        <v>4.4415681737130694E-4</v>
      </c>
      <c r="G205" s="2"/>
      <c r="H205" s="6">
        <v>1523</v>
      </c>
      <c r="I205" s="2"/>
      <c r="J205" s="7">
        <f t="shared" si="24"/>
        <v>3.7204650588163504E-4</v>
      </c>
      <c r="K205" s="2"/>
      <c r="L205" s="6">
        <f t="shared" si="25"/>
        <v>99.8900000000001</v>
      </c>
      <c r="M205" s="2"/>
      <c r="N205" s="7">
        <f t="shared" si="26"/>
        <v>6.5587655942219367E-2</v>
      </c>
      <c r="O205" s="11"/>
      <c r="P205" s="6">
        <v>13802.67</v>
      </c>
      <c r="Q205" s="2"/>
      <c r="R205" s="7">
        <f t="shared" si="27"/>
        <v>6.351399631368248E-4</v>
      </c>
      <c r="S205" s="2"/>
      <c r="T205" s="6">
        <v>13286.38</v>
      </c>
      <c r="U205" s="2"/>
      <c r="V205" s="7">
        <f t="shared" si="28"/>
        <v>5.9237941753357171E-4</v>
      </c>
      <c r="W205" s="2"/>
      <c r="X205" s="6">
        <f t="shared" si="29"/>
        <v>516.29000000000087</v>
      </c>
      <c r="Y205" s="2"/>
      <c r="Z205" s="7">
        <f t="shared" si="30"/>
        <v>3.8858590526539276E-2</v>
      </c>
    </row>
    <row r="206" spans="1:26" s="24" customFormat="1" hidden="1" outlineLevel="2" x14ac:dyDescent="0.25">
      <c r="A206" s="25"/>
      <c r="B206" s="11" t="str">
        <f>CONCATENATE("          ", "6115", " - ", "P.E.R.S.")</f>
        <v xml:space="preserve">          6115 - P.E.R.S.</v>
      </c>
      <c r="C206" s="11"/>
      <c r="D206" s="6">
        <v>28486.74</v>
      </c>
      <c r="E206" s="2"/>
      <c r="F206" s="7">
        <f t="shared" si="23"/>
        <v>7.7963261685535705E-3</v>
      </c>
      <c r="G206" s="2"/>
      <c r="H206" s="6">
        <v>25945.230000000003</v>
      </c>
      <c r="I206" s="2"/>
      <c r="J206" s="7">
        <f t="shared" si="24"/>
        <v>6.3380381915924978E-3</v>
      </c>
      <c r="K206" s="2"/>
      <c r="L206" s="6">
        <f t="shared" si="25"/>
        <v>2541.5099999999984</v>
      </c>
      <c r="M206" s="2"/>
      <c r="N206" s="7">
        <f t="shared" si="26"/>
        <v>9.7956734243635463E-2</v>
      </c>
      <c r="O206" s="11"/>
      <c r="P206" s="6">
        <v>154014.03</v>
      </c>
      <c r="Q206" s="2"/>
      <c r="R206" s="7">
        <f t="shared" si="27"/>
        <v>7.0870683235021801E-3</v>
      </c>
      <c r="S206" s="2"/>
      <c r="T206" s="6">
        <v>148469.58000000002</v>
      </c>
      <c r="U206" s="2"/>
      <c r="V206" s="7">
        <f t="shared" si="28"/>
        <v>6.6195851181325574E-3</v>
      </c>
      <c r="W206" s="2"/>
      <c r="X206" s="6">
        <f t="shared" si="29"/>
        <v>5544.4499999999825</v>
      </c>
      <c r="Y206" s="2"/>
      <c r="Z206" s="7">
        <f t="shared" si="30"/>
        <v>3.7344013500947348E-2</v>
      </c>
    </row>
    <row r="207" spans="1:26" s="24" customFormat="1" hidden="1" outlineLevel="2" x14ac:dyDescent="0.25">
      <c r="A207" s="25"/>
      <c r="B207" s="11" t="str">
        <f>CONCATENATE("          ", "6117", " - ", "RETIREMENT STAFF HOURLY")</f>
        <v xml:space="preserve">          6117 - RETIREMENT STAFF HOURLY</v>
      </c>
      <c r="C207" s="11"/>
      <c r="D207" s="6">
        <v>2834.9</v>
      </c>
      <c r="E207" s="2"/>
      <c r="F207" s="7">
        <f t="shared" si="23"/>
        <v>7.7586291219116396E-4</v>
      </c>
      <c r="G207" s="2"/>
      <c r="H207" s="6">
        <v>1733.38</v>
      </c>
      <c r="I207" s="2"/>
      <c r="J207" s="7">
        <f t="shared" si="24"/>
        <v>4.2343924646428665E-4</v>
      </c>
      <c r="K207" s="2"/>
      <c r="L207" s="6">
        <f t="shared" si="25"/>
        <v>1101.52</v>
      </c>
      <c r="M207" s="2"/>
      <c r="N207" s="7">
        <f t="shared" si="26"/>
        <v>0.63547519874464908</v>
      </c>
      <c r="O207" s="11"/>
      <c r="P207" s="6">
        <v>15437.88</v>
      </c>
      <c r="Q207" s="2"/>
      <c r="R207" s="7">
        <f t="shared" si="27"/>
        <v>7.1038534820514615E-4</v>
      </c>
      <c r="S207" s="2"/>
      <c r="T207" s="6">
        <v>13885.55</v>
      </c>
      <c r="U207" s="2"/>
      <c r="V207" s="7">
        <f t="shared" si="28"/>
        <v>6.1909369001438214E-4</v>
      </c>
      <c r="W207" s="2"/>
      <c r="X207" s="6">
        <f t="shared" si="29"/>
        <v>1552.33</v>
      </c>
      <c r="Y207" s="2"/>
      <c r="Z207" s="7">
        <f t="shared" si="30"/>
        <v>0.11179463543035746</v>
      </c>
    </row>
    <row r="208" spans="1:26" s="24" customFormat="1" hidden="1" outlineLevel="2" x14ac:dyDescent="0.25">
      <c r="A208" s="25"/>
      <c r="B208" s="11" t="str">
        <f>CONCATENATE("          ", "6118", " - ", "VACATION")</f>
        <v xml:space="preserve">          6118 - VACATION</v>
      </c>
      <c r="C208" s="11"/>
      <c r="D208" s="6">
        <v>20348.5</v>
      </c>
      <c r="E208" s="2"/>
      <c r="F208" s="7">
        <f t="shared" si="23"/>
        <v>5.5690311717245403E-3</v>
      </c>
      <c r="G208" s="2"/>
      <c r="H208" s="6">
        <v>24572.720000000001</v>
      </c>
      <c r="I208" s="2"/>
      <c r="J208" s="7">
        <f t="shared" si="24"/>
        <v>6.0027541799131789E-3</v>
      </c>
      <c r="K208" s="2"/>
      <c r="L208" s="6">
        <f t="shared" si="25"/>
        <v>-4224.2200000000012</v>
      </c>
      <c r="M208" s="2"/>
      <c r="N208" s="7">
        <f t="shared" si="26"/>
        <v>-0.17190689512597715</v>
      </c>
      <c r="O208" s="11"/>
      <c r="P208" s="6">
        <v>166539</v>
      </c>
      <c r="Q208" s="2"/>
      <c r="R208" s="7">
        <f t="shared" si="27"/>
        <v>7.6634139859058916E-3</v>
      </c>
      <c r="S208" s="2"/>
      <c r="T208" s="6">
        <v>161584.97</v>
      </c>
      <c r="U208" s="2"/>
      <c r="V208" s="7">
        <f t="shared" si="28"/>
        <v>7.2043408671722221E-3</v>
      </c>
      <c r="W208" s="2"/>
      <c r="X208" s="6">
        <f t="shared" si="29"/>
        <v>4954.0299999999988</v>
      </c>
      <c r="Y208" s="2"/>
      <c r="Z208" s="7">
        <f t="shared" si="30"/>
        <v>3.0658977750220202E-2</v>
      </c>
    </row>
    <row r="209" spans="1:26" s="24" customFormat="1" hidden="1" outlineLevel="2" x14ac:dyDescent="0.25">
      <c r="A209" s="25"/>
      <c r="B209" s="11" t="str">
        <f>CONCATENATE("          ", "6119", " - ", "SICK LEAVE")</f>
        <v xml:space="preserve">          6119 - SICK LEAVE</v>
      </c>
      <c r="C209" s="11"/>
      <c r="D209" s="6">
        <v>14835.249999999998</v>
      </c>
      <c r="E209" s="2"/>
      <c r="F209" s="7">
        <f t="shared" si="23"/>
        <v>4.0601503644163688E-3</v>
      </c>
      <c r="G209" s="2"/>
      <c r="H209" s="6">
        <v>28691.38</v>
      </c>
      <c r="I209" s="2"/>
      <c r="J209" s="7">
        <f t="shared" si="24"/>
        <v>7.0088822573356703E-3</v>
      </c>
      <c r="K209" s="2"/>
      <c r="L209" s="6">
        <f t="shared" si="25"/>
        <v>-13856.130000000003</v>
      </c>
      <c r="M209" s="2"/>
      <c r="N209" s="7">
        <f t="shared" si="26"/>
        <v>-0.48293703544409516</v>
      </c>
      <c r="O209" s="11"/>
      <c r="P209" s="6">
        <v>144358.72</v>
      </c>
      <c r="Q209" s="2"/>
      <c r="R209" s="7">
        <f t="shared" si="27"/>
        <v>6.6427721664923684E-3</v>
      </c>
      <c r="S209" s="2"/>
      <c r="T209" s="6">
        <v>127186.80000000002</v>
      </c>
      <c r="U209" s="2"/>
      <c r="V209" s="7">
        <f t="shared" si="28"/>
        <v>5.6706824960567814E-3</v>
      </c>
      <c r="W209" s="2"/>
      <c r="X209" s="6">
        <f t="shared" si="29"/>
        <v>17171.919999999984</v>
      </c>
      <c r="Y209" s="2"/>
      <c r="Z209" s="7">
        <f t="shared" si="30"/>
        <v>0.1350133818918314</v>
      </c>
    </row>
    <row r="210" spans="1:26" s="24" customFormat="1" hidden="1" outlineLevel="2" x14ac:dyDescent="0.25">
      <c r="A210" s="25"/>
      <c r="B210" s="11" t="str">
        <f>CONCATENATE("          ", "6156", " - ", "EMPLOYEE MEALS")</f>
        <v xml:space="preserve">          6156 - EMPLOYEE MEALS</v>
      </c>
      <c r="C210" s="11"/>
      <c r="D210" s="6">
        <v>12132.54</v>
      </c>
      <c r="E210" s="2"/>
      <c r="F210" s="7">
        <f t="shared" si="23"/>
        <v>3.3204655602228593E-3</v>
      </c>
      <c r="G210" s="2"/>
      <c r="H210" s="6">
        <v>9236.41</v>
      </c>
      <c r="I210" s="2"/>
      <c r="J210" s="7">
        <f t="shared" si="24"/>
        <v>2.256319151273928E-3</v>
      </c>
      <c r="K210" s="2"/>
      <c r="L210" s="6">
        <f t="shared" si="25"/>
        <v>2896.130000000001</v>
      </c>
      <c r="M210" s="2"/>
      <c r="N210" s="7">
        <f t="shared" si="26"/>
        <v>0.31355580793836579</v>
      </c>
      <c r="O210" s="11"/>
      <c r="P210" s="6">
        <v>66503.839999999997</v>
      </c>
      <c r="Q210" s="2"/>
      <c r="R210" s="7">
        <f t="shared" si="27"/>
        <v>3.0602228761578225E-3</v>
      </c>
      <c r="S210" s="2"/>
      <c r="T210" s="6">
        <v>64218.89</v>
      </c>
      <c r="U210" s="2"/>
      <c r="V210" s="7">
        <f t="shared" si="28"/>
        <v>2.8632290099223803E-3</v>
      </c>
      <c r="W210" s="2"/>
      <c r="X210" s="6">
        <f t="shared" si="29"/>
        <v>2284.9499999999971</v>
      </c>
      <c r="Y210" s="2"/>
      <c r="Z210" s="7">
        <f t="shared" si="30"/>
        <v>3.5580652359453693E-2</v>
      </c>
    </row>
    <row r="211" spans="1:26" s="26" customFormat="1" outlineLevel="1" collapsed="1" x14ac:dyDescent="0.25">
      <c r="A211" s="27"/>
      <c r="B211" s="13" t="str">
        <f>CONCATENATE("     ","*Payroll                                          ")</f>
        <v xml:space="preserve">     *Payroll                                          </v>
      </c>
      <c r="C211" s="13"/>
      <c r="D211" s="1">
        <f>SUM(OSRRefD22_1x_0)</f>
        <v>797690.43</v>
      </c>
      <c r="E211" s="1"/>
      <c r="F211" s="5">
        <f t="shared" ref="F211:F218" si="31">IF(D$12=0,0,D211/D$12)</f>
        <v>0.21831402167512851</v>
      </c>
      <c r="G211" s="1"/>
      <c r="H211" s="1">
        <f>SUM(OSRRefH22_1x_0)</f>
        <v>737163.62</v>
      </c>
      <c r="I211" s="1"/>
      <c r="J211" s="5">
        <f t="shared" ref="J211:J218" si="32">IF(H$12=0,0,H211/H$12)</f>
        <v>0.18007823314777241</v>
      </c>
      <c r="K211" s="1"/>
      <c r="L211" s="1">
        <f t="shared" ref="L211:L218" si="33">+D211-H211</f>
        <v>60526.810000000056</v>
      </c>
      <c r="M211" s="1"/>
      <c r="N211" s="5">
        <f t="shared" ref="N211:N218" si="34">IF(H211=0,0,L211/H211)</f>
        <v>8.2107700865650501E-2</v>
      </c>
      <c r="O211" s="13"/>
      <c r="P211" s="1">
        <f>SUM(OSRRefP22_1x_0)</f>
        <v>5120552.4899999993</v>
      </c>
      <c r="Q211" s="1"/>
      <c r="R211" s="5">
        <f t="shared" ref="R211:R218" si="35">IF(P$12=0,0,P211/P$12)</f>
        <v>0.23562597089829548</v>
      </c>
      <c r="S211" s="1"/>
      <c r="T211" s="1">
        <f>SUM(OSRRefT22_1x_0)</f>
        <v>4697361.6999999993</v>
      </c>
      <c r="U211" s="1"/>
      <c r="V211" s="5">
        <f t="shared" ref="V211:V218" si="36">IF(T$12=0,0,T211/T$12)</f>
        <v>0.20943405109521993</v>
      </c>
      <c r="W211" s="1"/>
      <c r="X211" s="1">
        <f t="shared" ref="X211:X218" si="37">+P211-T211</f>
        <v>423190.79000000004</v>
      </c>
      <c r="Y211" s="1"/>
      <c r="Z211" s="5">
        <f t="shared" ref="Z211:Z218" si="38">IF(T211=0,0,X211/T211)</f>
        <v>9.0091165430160533E-2</v>
      </c>
    </row>
    <row r="212" spans="1:26" s="24" customFormat="1" hidden="1" outlineLevel="2" x14ac:dyDescent="0.25">
      <c r="A212" s="25"/>
      <c r="B212" s="11" t="str">
        <f>CONCATENATE("          ", "6001", " - ", "ADMINISTRATIVE SALARIES")</f>
        <v xml:space="preserve">          6001 - ADMINISTRATIVE SALARIES</v>
      </c>
      <c r="C212" s="11"/>
      <c r="D212" s="6">
        <v>41640.800000000003</v>
      </c>
      <c r="E212" s="2"/>
      <c r="F212" s="7">
        <f t="shared" si="31"/>
        <v>1.1396364017767759E-2</v>
      </c>
      <c r="G212" s="2"/>
      <c r="H212" s="6">
        <v>38458.979999999996</v>
      </c>
      <c r="I212" s="2"/>
      <c r="J212" s="7">
        <f t="shared" si="32"/>
        <v>9.39496331501752E-3</v>
      </c>
      <c r="K212" s="2"/>
      <c r="L212" s="6">
        <f t="shared" si="33"/>
        <v>3181.820000000007</v>
      </c>
      <c r="M212" s="2"/>
      <c r="N212" s="7">
        <f t="shared" si="34"/>
        <v>8.2732823387411919E-2</v>
      </c>
      <c r="O212" s="11"/>
      <c r="P212" s="6">
        <v>258469.55999999997</v>
      </c>
      <c r="Q212" s="2"/>
      <c r="R212" s="7">
        <f t="shared" si="35"/>
        <v>1.1893665994361331E-2</v>
      </c>
      <c r="S212" s="2"/>
      <c r="T212" s="6">
        <v>251119.86</v>
      </c>
      <c r="U212" s="2"/>
      <c r="V212" s="7">
        <f t="shared" si="36"/>
        <v>1.119629548439169E-2</v>
      </c>
      <c r="W212" s="2"/>
      <c r="X212" s="6">
        <f t="shared" si="37"/>
        <v>7349.6999999999825</v>
      </c>
      <c r="Y212" s="2"/>
      <c r="Z212" s="7">
        <f t="shared" si="38"/>
        <v>2.9267697106871528E-2</v>
      </c>
    </row>
    <row r="213" spans="1:26" s="24" customFormat="1" hidden="1" outlineLevel="2" x14ac:dyDescent="0.25">
      <c r="A213" s="25"/>
      <c r="B213" s="11" t="str">
        <f>CONCATENATE("          ", "6002", " - ", "STAFF SALARIES")</f>
        <v xml:space="preserve">          6002 - STAFF SALARIES</v>
      </c>
      <c r="C213" s="11"/>
      <c r="D213" s="6">
        <v>217651.09999999998</v>
      </c>
      <c r="E213" s="2"/>
      <c r="F213" s="7">
        <f t="shared" si="31"/>
        <v>5.9567327344036899E-2</v>
      </c>
      <c r="G213" s="2"/>
      <c r="H213" s="6">
        <v>207603.53</v>
      </c>
      <c r="I213" s="2"/>
      <c r="J213" s="7">
        <f t="shared" si="32"/>
        <v>5.0714489786732236E-2</v>
      </c>
      <c r="K213" s="2"/>
      <c r="L213" s="6">
        <f t="shared" si="33"/>
        <v>10047.569999999978</v>
      </c>
      <c r="M213" s="2"/>
      <c r="N213" s="7">
        <f t="shared" si="34"/>
        <v>4.8397876471560852E-2</v>
      </c>
      <c r="O213" s="11"/>
      <c r="P213" s="6">
        <v>1315464.5499999998</v>
      </c>
      <c r="Q213" s="2"/>
      <c r="R213" s="7">
        <f t="shared" si="35"/>
        <v>6.0532064143734486E-2</v>
      </c>
      <c r="S213" s="2"/>
      <c r="T213" s="6">
        <v>1248301.9300000002</v>
      </c>
      <c r="U213" s="2"/>
      <c r="V213" s="7">
        <f t="shared" si="36"/>
        <v>5.5656120794334768E-2</v>
      </c>
      <c r="W213" s="2"/>
      <c r="X213" s="6">
        <f t="shared" si="37"/>
        <v>67162.619999999646</v>
      </c>
      <c r="Y213" s="2"/>
      <c r="Z213" s="7">
        <f t="shared" si="38"/>
        <v>5.3803185259835046E-2</v>
      </c>
    </row>
    <row r="214" spans="1:26" s="24" customFormat="1" hidden="1" outlineLevel="2" x14ac:dyDescent="0.25">
      <c r="A214" s="25"/>
      <c r="B214" s="11" t="str">
        <f>CONCATENATE("          ", "6004", " - ", "STAFF HOURLY")</f>
        <v xml:space="preserve">          6004 - STAFF HOURLY</v>
      </c>
      <c r="C214" s="11"/>
      <c r="D214" s="6">
        <v>77455.44</v>
      </c>
      <c r="E214" s="2"/>
      <c r="F214" s="7">
        <f t="shared" si="31"/>
        <v>2.1198209193780369E-2</v>
      </c>
      <c r="G214" s="2"/>
      <c r="H214" s="6">
        <v>56079.91</v>
      </c>
      <c r="I214" s="2"/>
      <c r="J214" s="7">
        <f t="shared" si="32"/>
        <v>1.3699497416714749E-2</v>
      </c>
      <c r="K214" s="2"/>
      <c r="L214" s="6">
        <f t="shared" si="33"/>
        <v>21375.53</v>
      </c>
      <c r="M214" s="2"/>
      <c r="N214" s="7">
        <f t="shared" si="34"/>
        <v>0.38116198831274867</v>
      </c>
      <c r="O214" s="11"/>
      <c r="P214" s="6">
        <v>579019.56999999995</v>
      </c>
      <c r="Q214" s="2"/>
      <c r="R214" s="7">
        <f t="shared" si="35"/>
        <v>2.6644009336258864E-2</v>
      </c>
      <c r="S214" s="2"/>
      <c r="T214" s="6">
        <v>539776.34</v>
      </c>
      <c r="U214" s="2"/>
      <c r="V214" s="7">
        <f t="shared" si="36"/>
        <v>2.4066178589473068E-2</v>
      </c>
      <c r="W214" s="2"/>
      <c r="X214" s="6">
        <f t="shared" si="37"/>
        <v>39243.229999999981</v>
      </c>
      <c r="Y214" s="2"/>
      <c r="Z214" s="7">
        <f t="shared" si="38"/>
        <v>7.270276055449186E-2</v>
      </c>
    </row>
    <row r="215" spans="1:26" s="24" customFormat="1" hidden="1" outlineLevel="2" x14ac:dyDescent="0.25">
      <c r="A215" s="25"/>
      <c r="B215" s="11" t="str">
        <f>CONCATENATE("          ", "6005", " - ", "TEMPORARY WAGES-HOURLY")</f>
        <v xml:space="preserve">          6005 - TEMPORARY WAGES-HOURLY</v>
      </c>
      <c r="C215" s="11"/>
      <c r="D215" s="6">
        <v>83663.44</v>
      </c>
      <c r="E215" s="2"/>
      <c r="F215" s="7">
        <f t="shared" si="31"/>
        <v>2.2897231014261776E-2</v>
      </c>
      <c r="G215" s="2"/>
      <c r="H215" s="6">
        <v>76488.09</v>
      </c>
      <c r="I215" s="2"/>
      <c r="J215" s="7">
        <f t="shared" si="32"/>
        <v>1.8684915709822735E-2</v>
      </c>
      <c r="K215" s="2"/>
      <c r="L215" s="6">
        <f t="shared" si="33"/>
        <v>7175.3500000000058</v>
      </c>
      <c r="M215" s="2"/>
      <c r="N215" s="7">
        <f t="shared" si="34"/>
        <v>9.3810029770648035E-2</v>
      </c>
      <c r="O215" s="11"/>
      <c r="P215" s="6">
        <v>846966.35</v>
      </c>
      <c r="Q215" s="2"/>
      <c r="R215" s="7">
        <f t="shared" si="35"/>
        <v>3.8973776545924162E-2</v>
      </c>
      <c r="S215" s="2"/>
      <c r="T215" s="6">
        <v>692896.94</v>
      </c>
      <c r="U215" s="2"/>
      <c r="V215" s="7">
        <f t="shared" si="36"/>
        <v>3.0893131592502562E-2</v>
      </c>
      <c r="W215" s="2"/>
      <c r="X215" s="6">
        <f t="shared" si="37"/>
        <v>154069.41000000003</v>
      </c>
      <c r="Y215" s="2"/>
      <c r="Z215" s="7">
        <f t="shared" si="38"/>
        <v>0.22235544870496909</v>
      </c>
    </row>
    <row r="216" spans="1:26" s="24" customFormat="1" hidden="1" outlineLevel="2" x14ac:dyDescent="0.25">
      <c r="A216" s="25"/>
      <c r="B216" s="11" t="str">
        <f>CONCATENATE("          ", "6006", " - ", "TEMPORARY PART TIME")</f>
        <v xml:space="preserve">          6006 - TEMPORARY PART TIME</v>
      </c>
      <c r="C216" s="11"/>
      <c r="D216" s="6">
        <v>2306.9899999999998</v>
      </c>
      <c r="E216" s="2"/>
      <c r="F216" s="7">
        <f t="shared" si="31"/>
        <v>6.3138311044336421E-4</v>
      </c>
      <c r="G216" s="2"/>
      <c r="H216" s="6">
        <v>6997.48</v>
      </c>
      <c r="I216" s="2"/>
      <c r="J216" s="7">
        <f t="shared" si="32"/>
        <v>1.7093814733923987E-3</v>
      </c>
      <c r="K216" s="2"/>
      <c r="L216" s="6">
        <f t="shared" si="33"/>
        <v>-4690.49</v>
      </c>
      <c r="M216" s="2"/>
      <c r="N216" s="7">
        <f t="shared" si="34"/>
        <v>-0.67031131207234607</v>
      </c>
      <c r="O216" s="11"/>
      <c r="P216" s="6">
        <v>81278.58</v>
      </c>
      <c r="Q216" s="2"/>
      <c r="R216" s="7">
        <f t="shared" si="35"/>
        <v>3.7400933518669552E-3</v>
      </c>
      <c r="S216" s="2"/>
      <c r="T216" s="6">
        <v>85239.360000000001</v>
      </c>
      <c r="U216" s="2"/>
      <c r="V216" s="7">
        <f t="shared" si="36"/>
        <v>3.8004364189293421E-3</v>
      </c>
      <c r="W216" s="2"/>
      <c r="X216" s="6">
        <f t="shared" si="37"/>
        <v>-3960.7799999999988</v>
      </c>
      <c r="Y216" s="2"/>
      <c r="Z216" s="7">
        <f t="shared" si="38"/>
        <v>-4.6466561926321349E-2</v>
      </c>
    </row>
    <row r="217" spans="1:26" s="24" customFormat="1" hidden="1" outlineLevel="2" x14ac:dyDescent="0.25">
      <c r="A217" s="25"/>
      <c r="B217" s="11" t="str">
        <f>CONCATENATE("          ", "6007", " - ", "STUDENT HOURLY")</f>
        <v xml:space="preserve">          6007 - STUDENT HOURLY</v>
      </c>
      <c r="C217" s="11"/>
      <c r="D217" s="6">
        <v>364457.77</v>
      </c>
      <c r="E217" s="2"/>
      <c r="F217" s="7">
        <f t="shared" si="31"/>
        <v>9.9745764154960462E-2</v>
      </c>
      <c r="G217" s="2"/>
      <c r="H217" s="6">
        <v>337304.79</v>
      </c>
      <c r="I217" s="2"/>
      <c r="J217" s="7">
        <f t="shared" si="32"/>
        <v>8.2398600483676074E-2</v>
      </c>
      <c r="K217" s="2"/>
      <c r="L217" s="6">
        <f t="shared" si="33"/>
        <v>27152.98000000004</v>
      </c>
      <c r="M217" s="2"/>
      <c r="N217" s="7">
        <f t="shared" si="34"/>
        <v>8.0499835178741583E-2</v>
      </c>
      <c r="O217" s="11"/>
      <c r="P217" s="6">
        <v>1872921.45</v>
      </c>
      <c r="Q217" s="2"/>
      <c r="R217" s="7">
        <f t="shared" si="35"/>
        <v>8.6183851436799436E-2</v>
      </c>
      <c r="S217" s="2"/>
      <c r="T217" s="6">
        <v>1695608.8599999999</v>
      </c>
      <c r="U217" s="2"/>
      <c r="V217" s="7">
        <f t="shared" si="36"/>
        <v>7.5599507830693052E-2</v>
      </c>
      <c r="W217" s="2"/>
      <c r="X217" s="6">
        <f t="shared" si="37"/>
        <v>177312.59000000008</v>
      </c>
      <c r="Y217" s="2"/>
      <c r="Z217" s="7">
        <f t="shared" si="38"/>
        <v>0.10457163452189092</v>
      </c>
    </row>
    <row r="218" spans="1:26" s="24" customFormat="1" hidden="1" outlineLevel="2" x14ac:dyDescent="0.25">
      <c r="A218" s="25"/>
      <c r="B218" s="11" t="str">
        <f>CONCATENATE("          ", "6008", " - ", "STUDENT HOURLY-FICA EXEMPT")</f>
        <v xml:space="preserve">          6008 - STUDENT HOURLY-FICA EXEMPT</v>
      </c>
      <c r="C218" s="11"/>
      <c r="D218" s="6">
        <v>10514.89</v>
      </c>
      <c r="E218" s="2"/>
      <c r="F218" s="7">
        <f t="shared" si="31"/>
        <v>2.8777428398778604E-3</v>
      </c>
      <c r="G218" s="2"/>
      <c r="H218" s="6">
        <v>14230.84</v>
      </c>
      <c r="I218" s="2"/>
      <c r="J218" s="7">
        <f t="shared" si="32"/>
        <v>3.4763849624166823E-3</v>
      </c>
      <c r="K218" s="2"/>
      <c r="L218" s="6">
        <f t="shared" si="33"/>
        <v>-3715.9500000000007</v>
      </c>
      <c r="M218" s="2"/>
      <c r="N218" s="7">
        <f t="shared" si="34"/>
        <v>-0.26111951227053365</v>
      </c>
      <c r="O218" s="11"/>
      <c r="P218" s="6">
        <v>166432.43</v>
      </c>
      <c r="Q218" s="2"/>
      <c r="R218" s="7">
        <f t="shared" si="35"/>
        <v>7.658510089350261E-3</v>
      </c>
      <c r="S218" s="2"/>
      <c r="T218" s="6">
        <v>184418.41</v>
      </c>
      <c r="U218" s="2"/>
      <c r="V218" s="7">
        <f t="shared" si="36"/>
        <v>8.2223803848954658E-3</v>
      </c>
      <c r="W218" s="2"/>
      <c r="X218" s="6">
        <f t="shared" si="37"/>
        <v>-17985.98000000001</v>
      </c>
      <c r="Y218" s="2"/>
      <c r="Z218" s="7">
        <f t="shared" si="38"/>
        <v>-9.7528115549852148E-2</v>
      </c>
    </row>
    <row r="219" spans="1:26" s="26" customFormat="1" outlineLevel="1" collapsed="1" x14ac:dyDescent="0.25">
      <c r="A219" s="27"/>
      <c r="B219" s="13" t="str">
        <f>CONCATENATE("     ","Advertising/Promo                                 ")</f>
        <v xml:space="preserve">     Advertising/Promo                                 </v>
      </c>
      <c r="C219" s="13"/>
      <c r="D219" s="1">
        <f>SUM(OSRRefD22_2x_0)</f>
        <v>8233.6</v>
      </c>
      <c r="E219" s="1"/>
      <c r="F219" s="5">
        <f t="shared" ref="F219:F223" si="39">IF(D$12=0,0,D219/D$12)</f>
        <v>2.2533933732467345E-3</v>
      </c>
      <c r="G219" s="1"/>
      <c r="H219" s="1">
        <f>SUM(OSRRefH22_2x_0)</f>
        <v>18342.670000000002</v>
      </c>
      <c r="I219" s="1"/>
      <c r="J219" s="5">
        <f t="shared" ref="J219:J223" si="40">IF(H$12=0,0,H219/H$12)</f>
        <v>4.4808445712671641E-3</v>
      </c>
      <c r="K219" s="1"/>
      <c r="L219" s="1">
        <f t="shared" ref="L219:L223" si="41">+D219-H219</f>
        <v>-10109.070000000002</v>
      </c>
      <c r="M219" s="1"/>
      <c r="N219" s="5">
        <f t="shared" ref="N219:N223" si="42">IF(H219=0,0,L219/H219)</f>
        <v>-0.55112314619409286</v>
      </c>
      <c r="O219" s="13"/>
      <c r="P219" s="1">
        <f>SUM(OSRRefP22_2x_0)</f>
        <v>77153.919999999998</v>
      </c>
      <c r="Q219" s="1"/>
      <c r="R219" s="5">
        <f t="shared" ref="R219:R223" si="43">IF(P$12=0,0,P219/P$12)</f>
        <v>3.5502941028555729E-3</v>
      </c>
      <c r="S219" s="1"/>
      <c r="T219" s="1">
        <f>SUM(OSRRefT22_2x_0)</f>
        <v>89540.64</v>
      </c>
      <c r="U219" s="1"/>
      <c r="V219" s="5">
        <f t="shared" ref="V219:V223" si="44">IF(T$12=0,0,T219/T$12)</f>
        <v>3.9922109836376223E-3</v>
      </c>
      <c r="W219" s="1"/>
      <c r="X219" s="1">
        <f t="shared" ref="X219:X223" si="45">+P219-T219</f>
        <v>-12386.720000000001</v>
      </c>
      <c r="Y219" s="1"/>
      <c r="Z219" s="5">
        <f t="shared" ref="Z219:Z223" si="46">IF(T219=0,0,X219/T219)</f>
        <v>-0.1383362906496983</v>
      </c>
    </row>
    <row r="220" spans="1:26" s="24" customFormat="1" hidden="1" outlineLevel="2" x14ac:dyDescent="0.25">
      <c r="A220" s="25"/>
      <c r="B220" s="11" t="str">
        <f>CONCATENATE("          ", "6362", " - ", "ADVERTISING EXPENSE")</f>
        <v xml:space="preserve">          6362 - ADVERTISING EXPENSE</v>
      </c>
      <c r="C220" s="11"/>
      <c r="D220" s="6">
        <v>8233.6</v>
      </c>
      <c r="E220" s="2"/>
      <c r="F220" s="7">
        <f t="shared" si="39"/>
        <v>2.2533933732467345E-3</v>
      </c>
      <c r="G220" s="2"/>
      <c r="H220" s="6">
        <v>18342.670000000002</v>
      </c>
      <c r="I220" s="2"/>
      <c r="J220" s="7">
        <f t="shared" si="40"/>
        <v>4.4808445712671641E-3</v>
      </c>
      <c r="K220" s="2"/>
      <c r="L220" s="6">
        <f t="shared" si="41"/>
        <v>-10109.070000000002</v>
      </c>
      <c r="M220" s="2"/>
      <c r="N220" s="7">
        <f t="shared" si="42"/>
        <v>-0.55112314619409286</v>
      </c>
      <c r="O220" s="11"/>
      <c r="P220" s="6">
        <v>77153.919999999998</v>
      </c>
      <c r="Q220" s="2"/>
      <c r="R220" s="7">
        <f t="shared" si="43"/>
        <v>3.5502941028555729E-3</v>
      </c>
      <c r="S220" s="2"/>
      <c r="T220" s="6">
        <v>89540.64</v>
      </c>
      <c r="U220" s="2"/>
      <c r="V220" s="7">
        <f t="shared" si="44"/>
        <v>3.9922109836376223E-3</v>
      </c>
      <c r="W220" s="2"/>
      <c r="X220" s="6">
        <f t="shared" si="45"/>
        <v>-12386.720000000001</v>
      </c>
      <c r="Y220" s="2"/>
      <c r="Z220" s="7">
        <f t="shared" si="46"/>
        <v>-0.1383362906496983</v>
      </c>
    </row>
    <row r="221" spans="1:26" s="26" customFormat="1" outlineLevel="1" collapsed="1" x14ac:dyDescent="0.25">
      <c r="A221" s="27"/>
      <c r="B221" s="13" t="str">
        <f>CONCATENATE("     ","Bad Debts/Over/Short                              ")</f>
        <v xml:space="preserve">     Bad Debts/Over/Short                              </v>
      </c>
      <c r="C221" s="13"/>
      <c r="D221" s="1">
        <f>SUM(OSRRefD22_3x_0)</f>
        <v>-542.87</v>
      </c>
      <c r="E221" s="1"/>
      <c r="F221" s="5">
        <f t="shared" si="39"/>
        <v>-1.4857409402138245E-4</v>
      </c>
      <c r="G221" s="1"/>
      <c r="H221" s="1">
        <f>SUM(OSRRefH22_3x_0)</f>
        <v>2272.83</v>
      </c>
      <c r="I221" s="1"/>
      <c r="J221" s="5">
        <f t="shared" si="40"/>
        <v>5.5521894941756834E-4</v>
      </c>
      <c r="K221" s="1"/>
      <c r="L221" s="1">
        <f t="shared" si="41"/>
        <v>-2815.7</v>
      </c>
      <c r="M221" s="1"/>
      <c r="N221" s="5">
        <f t="shared" si="42"/>
        <v>-1.2388520038894242</v>
      </c>
      <c r="O221" s="13"/>
      <c r="P221" s="1">
        <f>SUM(OSRRefP22_3x_0)</f>
        <v>-738.72</v>
      </c>
      <c r="Q221" s="1"/>
      <c r="R221" s="5">
        <f t="shared" si="43"/>
        <v>-3.39927415180132E-5</v>
      </c>
      <c r="S221" s="1"/>
      <c r="T221" s="1">
        <f>SUM(OSRRefT22_3x_0)</f>
        <v>2309.94</v>
      </c>
      <c r="U221" s="1"/>
      <c r="V221" s="5">
        <f t="shared" si="44"/>
        <v>1.0298974677357555E-4</v>
      </c>
      <c r="W221" s="1"/>
      <c r="X221" s="1">
        <f t="shared" si="45"/>
        <v>-3048.66</v>
      </c>
      <c r="Y221" s="1"/>
      <c r="Z221" s="5">
        <f t="shared" si="46"/>
        <v>-1.3198005142990725</v>
      </c>
    </row>
    <row r="222" spans="1:26" s="24" customFormat="1" hidden="1" outlineLevel="2" x14ac:dyDescent="0.25">
      <c r="A222" s="25"/>
      <c r="B222" s="11" t="str">
        <f>CONCATENATE("          ", "6272", " - ", "CASH (OVER/SHORT)")</f>
        <v xml:space="preserve">          6272 - CASH (OVER/SHORT)</v>
      </c>
      <c r="C222" s="11"/>
      <c r="D222" s="6">
        <v>-542.87</v>
      </c>
      <c r="E222" s="2"/>
      <c r="F222" s="7">
        <f t="shared" si="39"/>
        <v>-1.4857409402138245E-4</v>
      </c>
      <c r="G222" s="2"/>
      <c r="H222" s="6">
        <v>2272.83</v>
      </c>
      <c r="I222" s="2"/>
      <c r="J222" s="7">
        <f t="shared" si="40"/>
        <v>5.5521894941756834E-4</v>
      </c>
      <c r="K222" s="2"/>
      <c r="L222" s="6">
        <f t="shared" si="41"/>
        <v>-2815.7</v>
      </c>
      <c r="M222" s="2"/>
      <c r="N222" s="7">
        <f t="shared" si="42"/>
        <v>-1.2388520038894242</v>
      </c>
      <c r="O222" s="11"/>
      <c r="P222" s="6">
        <v>-783.52</v>
      </c>
      <c r="Q222" s="2"/>
      <c r="R222" s="7">
        <f t="shared" si="43"/>
        <v>-3.6054246310095439E-5</v>
      </c>
      <c r="S222" s="2"/>
      <c r="T222" s="6">
        <v>2309.94</v>
      </c>
      <c r="U222" s="2"/>
      <c r="V222" s="7">
        <f t="shared" si="44"/>
        <v>1.0298974677357555E-4</v>
      </c>
      <c r="W222" s="2"/>
      <c r="X222" s="6">
        <f t="shared" si="45"/>
        <v>-3093.46</v>
      </c>
      <c r="Y222" s="2"/>
      <c r="Z222" s="7">
        <f t="shared" si="46"/>
        <v>-1.3391949574447821</v>
      </c>
    </row>
    <row r="223" spans="1:26" s="24" customFormat="1" hidden="1" outlineLevel="2" x14ac:dyDescent="0.25">
      <c r="A223" s="25"/>
      <c r="B223" s="11" t="str">
        <f>CONCATENATE("          ", "6342", " - ", "BAD DEBT")</f>
        <v xml:space="preserve">          6342 - BAD DEBT</v>
      </c>
      <c r="C223" s="11"/>
      <c r="D223" s="6"/>
      <c r="E223" s="2"/>
      <c r="F223" s="7">
        <f t="shared" si="39"/>
        <v>0</v>
      </c>
      <c r="G223" s="2"/>
      <c r="H223" s="6"/>
      <c r="I223" s="2"/>
      <c r="J223" s="7">
        <f t="shared" si="40"/>
        <v>0</v>
      </c>
      <c r="K223" s="2"/>
      <c r="L223" s="6">
        <f t="shared" si="41"/>
        <v>0</v>
      </c>
      <c r="M223" s="2"/>
      <c r="N223" s="7">
        <f t="shared" si="42"/>
        <v>0</v>
      </c>
      <c r="O223" s="11"/>
      <c r="P223" s="6">
        <v>44.8</v>
      </c>
      <c r="Q223" s="2"/>
      <c r="R223" s="7">
        <f t="shared" si="43"/>
        <v>2.0615047920822385E-6</v>
      </c>
      <c r="S223" s="2"/>
      <c r="T223" s="6"/>
      <c r="U223" s="2"/>
      <c r="V223" s="7">
        <f t="shared" si="44"/>
        <v>0</v>
      </c>
      <c r="W223" s="2"/>
      <c r="X223" s="6">
        <f t="shared" si="45"/>
        <v>44.8</v>
      </c>
      <c r="Y223" s="2"/>
      <c r="Z223" s="7">
        <f t="shared" si="46"/>
        <v>0</v>
      </c>
    </row>
    <row r="224" spans="1:26" s="26" customFormat="1" outlineLevel="1" collapsed="1" x14ac:dyDescent="0.25">
      <c r="A224" s="27"/>
      <c r="B224" s="13" t="str">
        <f>CONCATENATE("     ","Bank/card Fees                                    ")</f>
        <v xml:space="preserve">     Bank/card Fees                                    </v>
      </c>
      <c r="C224" s="13"/>
      <c r="D224" s="1">
        <f>SUM(OSRRefD22_4x_0)</f>
        <v>45882.86</v>
      </c>
      <c r="E224" s="1"/>
      <c r="F224" s="5">
        <f t="shared" ref="F224:F229" si="47">IF(D$12=0,0,D224/D$12)</f>
        <v>1.2557342191703224E-2</v>
      </c>
      <c r="G224" s="1"/>
      <c r="H224" s="1">
        <f>SUM(OSRRefH22_4x_0)</f>
        <v>47978.91</v>
      </c>
      <c r="I224" s="1"/>
      <c r="J224" s="5">
        <f t="shared" ref="J224:J229" si="48">IF(H$12=0,0,H224/H$12)</f>
        <v>1.1720542233427077E-2</v>
      </c>
      <c r="K224" s="1"/>
      <c r="L224" s="1">
        <f t="shared" ref="L224:L229" si="49">+D224-H224</f>
        <v>-2096.0500000000029</v>
      </c>
      <c r="M224" s="1"/>
      <c r="N224" s="5">
        <f t="shared" ref="N224:N229" si="50">IF(H224=0,0,L224/H224)</f>
        <v>-4.3686903266456092E-2</v>
      </c>
      <c r="O224" s="13"/>
      <c r="P224" s="1">
        <f>SUM(OSRRefP22_4x_0)</f>
        <v>312860.84999999998</v>
      </c>
      <c r="Q224" s="1"/>
      <c r="R224" s="5">
        <f t="shared" ref="R224:R229" si="51">IF(P$12=0,0,P224/P$12)</f>
        <v>1.439652101629291E-2</v>
      </c>
      <c r="S224" s="1"/>
      <c r="T224" s="1">
        <f>SUM(OSRRefT22_4x_0)</f>
        <v>309578.53999999998</v>
      </c>
      <c r="U224" s="1"/>
      <c r="V224" s="5">
        <f t="shared" ref="V224:V229" si="52">IF(T$12=0,0,T224/T$12)</f>
        <v>1.3802702858573481E-2</v>
      </c>
      <c r="W224" s="1"/>
      <c r="X224" s="1">
        <f t="shared" ref="X224:X229" si="53">+P224-T224</f>
        <v>3282.3099999999977</v>
      </c>
      <c r="Y224" s="1"/>
      <c r="Z224" s="5">
        <f t="shared" ref="Z224:Z229" si="54">IF(T224=0,0,X224/T224)</f>
        <v>1.0602511401468583E-2</v>
      </c>
    </row>
    <row r="225" spans="1:26" s="24" customFormat="1" hidden="1" outlineLevel="2" x14ac:dyDescent="0.25">
      <c r="A225" s="25"/>
      <c r="B225" s="11" t="str">
        <f>CONCATENATE("          ", "6381", " - ", "BANK/CREDIT CARD FEES")</f>
        <v xml:space="preserve">          6381 - BANK/CREDIT CARD FEES</v>
      </c>
      <c r="C225" s="11"/>
      <c r="D225" s="6">
        <v>45882.86</v>
      </c>
      <c r="E225" s="2"/>
      <c r="F225" s="7">
        <f t="shared" si="47"/>
        <v>1.2557342191703224E-2</v>
      </c>
      <c r="G225" s="2"/>
      <c r="H225" s="6">
        <v>47978.91</v>
      </c>
      <c r="I225" s="2"/>
      <c r="J225" s="7">
        <f t="shared" si="48"/>
        <v>1.1720542233427077E-2</v>
      </c>
      <c r="K225" s="2"/>
      <c r="L225" s="6">
        <f t="shared" si="49"/>
        <v>-2096.0500000000029</v>
      </c>
      <c r="M225" s="2"/>
      <c r="N225" s="7">
        <f t="shared" si="50"/>
        <v>-4.3686903266456092E-2</v>
      </c>
      <c r="O225" s="11"/>
      <c r="P225" s="6">
        <v>312860.84999999998</v>
      </c>
      <c r="Q225" s="2"/>
      <c r="R225" s="7">
        <f t="shared" si="51"/>
        <v>1.439652101629291E-2</v>
      </c>
      <c r="S225" s="2"/>
      <c r="T225" s="6">
        <v>309578.53999999998</v>
      </c>
      <c r="U225" s="2"/>
      <c r="V225" s="7">
        <f t="shared" si="52"/>
        <v>1.3802702858573481E-2</v>
      </c>
      <c r="W225" s="2"/>
      <c r="X225" s="6">
        <f t="shared" si="53"/>
        <v>3282.3099999999977</v>
      </c>
      <c r="Y225" s="2"/>
      <c r="Z225" s="7">
        <f t="shared" si="54"/>
        <v>1.0602511401468583E-2</v>
      </c>
    </row>
    <row r="226" spans="1:26" s="26" customFormat="1" outlineLevel="1" collapsed="1" x14ac:dyDescent="0.25">
      <c r="A226" s="27"/>
      <c r="B226" s="13" t="str">
        <f>CONCATENATE("     ","Depreciation                                      ")</f>
        <v xml:space="preserve">     Depreciation                                      </v>
      </c>
      <c r="C226" s="13"/>
      <c r="D226" s="1">
        <f>SUM(OSRRefD22_5x_0)</f>
        <v>79350.27</v>
      </c>
      <c r="E226" s="1"/>
      <c r="F226" s="5">
        <f t="shared" si="47"/>
        <v>2.1716791267894865E-2</v>
      </c>
      <c r="G226" s="1"/>
      <c r="H226" s="1">
        <f>SUM(OSRRefH22_5x_0)</f>
        <v>73419.179999999993</v>
      </c>
      <c r="I226" s="1"/>
      <c r="J226" s="5">
        <f t="shared" si="48"/>
        <v>1.7935226121926998E-2</v>
      </c>
      <c r="K226" s="1"/>
      <c r="L226" s="1">
        <f t="shared" si="49"/>
        <v>5931.0900000000111</v>
      </c>
      <c r="M226" s="1"/>
      <c r="N226" s="5">
        <f t="shared" si="50"/>
        <v>8.0783931392314809E-2</v>
      </c>
      <c r="O226" s="13"/>
      <c r="P226" s="1">
        <f>SUM(OSRRefP22_5x_0)</f>
        <v>548012.54</v>
      </c>
      <c r="Q226" s="1"/>
      <c r="R226" s="5">
        <f t="shared" si="51"/>
        <v>2.5217198154713381E-2</v>
      </c>
      <c r="S226" s="1"/>
      <c r="T226" s="1">
        <f>SUM(OSRRefT22_5x_0)</f>
        <v>532908.12</v>
      </c>
      <c r="U226" s="1"/>
      <c r="V226" s="5">
        <f t="shared" si="52"/>
        <v>2.375995581373638E-2</v>
      </c>
      <c r="W226" s="1"/>
      <c r="X226" s="1">
        <f t="shared" si="53"/>
        <v>15104.420000000042</v>
      </c>
      <c r="Y226" s="1"/>
      <c r="Z226" s="5">
        <f t="shared" si="54"/>
        <v>2.8343384972253832E-2</v>
      </c>
    </row>
    <row r="227" spans="1:26" s="24" customFormat="1" hidden="1" outlineLevel="2" x14ac:dyDescent="0.25">
      <c r="A227" s="25"/>
      <c r="B227" s="11" t="str">
        <f>CONCATENATE("          ", "6321", " - ", "BUILDING DEPRECIATION")</f>
        <v xml:space="preserve">          6321 - BUILDING DEPRECIATION</v>
      </c>
      <c r="C227" s="11"/>
      <c r="D227" s="6">
        <v>45519.990000000005</v>
      </c>
      <c r="E227" s="2"/>
      <c r="F227" s="7">
        <f t="shared" si="47"/>
        <v>1.2458030972631368E-2</v>
      </c>
      <c r="G227" s="2"/>
      <c r="H227" s="6">
        <v>43050.400000000001</v>
      </c>
      <c r="I227" s="2"/>
      <c r="J227" s="7">
        <f t="shared" si="48"/>
        <v>1.0516579708999829E-2</v>
      </c>
      <c r="K227" s="2"/>
      <c r="L227" s="6">
        <f t="shared" si="49"/>
        <v>2469.5900000000038</v>
      </c>
      <c r="M227" s="2"/>
      <c r="N227" s="7">
        <f t="shared" si="50"/>
        <v>5.7365088361548411E-2</v>
      </c>
      <c r="O227" s="11"/>
      <c r="P227" s="6">
        <v>318639.93</v>
      </c>
      <c r="Q227" s="2"/>
      <c r="R227" s="7">
        <f t="shared" si="51"/>
        <v>1.4662449612583684E-2</v>
      </c>
      <c r="S227" s="2"/>
      <c r="T227" s="6">
        <v>320326.65999999997</v>
      </c>
      <c r="U227" s="2"/>
      <c r="V227" s="7">
        <f t="shared" si="52"/>
        <v>1.4281912776186926E-2</v>
      </c>
      <c r="W227" s="2"/>
      <c r="X227" s="6">
        <f t="shared" si="53"/>
        <v>-1686.7299999999814</v>
      </c>
      <c r="Y227" s="2"/>
      <c r="Z227" s="7">
        <f t="shared" si="54"/>
        <v>-5.265656002531858E-3</v>
      </c>
    </row>
    <row r="228" spans="1:26" s="24" customFormat="1" hidden="1" outlineLevel="2" x14ac:dyDescent="0.25">
      <c r="A228" s="25"/>
      <c r="B228" s="11" t="str">
        <f>CONCATENATE("          ", "6322", " - ", "EQUIPMENT DEPRECIATION EXPENSE")</f>
        <v xml:space="preserve">          6322 - EQUIPMENT DEPRECIATION EXPENSE</v>
      </c>
      <c r="C228" s="11"/>
      <c r="D228" s="6">
        <v>33406.03</v>
      </c>
      <c r="E228" s="2"/>
      <c r="F228" s="7">
        <f t="shared" si="47"/>
        <v>9.1426504358338521E-3</v>
      </c>
      <c r="G228" s="2"/>
      <c r="H228" s="6">
        <v>29944.53</v>
      </c>
      <c r="I228" s="2"/>
      <c r="J228" s="7">
        <f t="shared" si="48"/>
        <v>7.3150083760786582E-3</v>
      </c>
      <c r="K228" s="2"/>
      <c r="L228" s="6">
        <f t="shared" si="49"/>
        <v>3461.5</v>
      </c>
      <c r="M228" s="2"/>
      <c r="N228" s="7">
        <f t="shared" si="50"/>
        <v>0.11559707232005312</v>
      </c>
      <c r="O228" s="11"/>
      <c r="P228" s="6">
        <v>226402.86000000002</v>
      </c>
      <c r="Q228" s="2"/>
      <c r="R228" s="7">
        <f t="shared" si="51"/>
        <v>1.0418093322123309E-2</v>
      </c>
      <c r="S228" s="2"/>
      <c r="T228" s="6">
        <v>209611.71000000002</v>
      </c>
      <c r="U228" s="2"/>
      <c r="V228" s="7">
        <f t="shared" si="52"/>
        <v>9.3456353557564934E-3</v>
      </c>
      <c r="W228" s="2"/>
      <c r="X228" s="6">
        <f t="shared" si="53"/>
        <v>16791.149999999994</v>
      </c>
      <c r="Y228" s="2"/>
      <c r="Z228" s="7">
        <f t="shared" si="54"/>
        <v>8.0105973087095148E-2</v>
      </c>
    </row>
    <row r="229" spans="1:26" s="24" customFormat="1" hidden="1" outlineLevel="2" x14ac:dyDescent="0.25">
      <c r="A229" s="25"/>
      <c r="B229" s="11" t="str">
        <f>CONCATENATE("          ", "6326", " - ", "VEHICLES DEPRECIATION EXPENSE")</f>
        <v xml:space="preserve">          6326 - VEHICLES DEPRECIATION EXPENSE</v>
      </c>
      <c r="C229" s="11"/>
      <c r="D229" s="6">
        <v>424.25</v>
      </c>
      <c r="E229" s="2"/>
      <c r="F229" s="7">
        <f t="shared" si="47"/>
        <v>1.1610985942964524E-4</v>
      </c>
      <c r="G229" s="2"/>
      <c r="H229" s="6">
        <v>424.25</v>
      </c>
      <c r="I229" s="2"/>
      <c r="J229" s="7">
        <f t="shared" si="48"/>
        <v>1.0363803684851193E-4</v>
      </c>
      <c r="K229" s="2"/>
      <c r="L229" s="6">
        <f t="shared" si="49"/>
        <v>0</v>
      </c>
      <c r="M229" s="2"/>
      <c r="N229" s="7">
        <f t="shared" si="50"/>
        <v>0</v>
      </c>
      <c r="O229" s="11"/>
      <c r="P229" s="6">
        <v>2969.75</v>
      </c>
      <c r="Q229" s="2"/>
      <c r="R229" s="7">
        <f t="shared" si="51"/>
        <v>1.3665522000638901E-4</v>
      </c>
      <c r="S229" s="2"/>
      <c r="T229" s="6">
        <v>2969.75</v>
      </c>
      <c r="U229" s="2"/>
      <c r="V229" s="7">
        <f t="shared" si="52"/>
        <v>1.3240768179295827E-4</v>
      </c>
      <c r="W229" s="2"/>
      <c r="X229" s="6">
        <f t="shared" si="53"/>
        <v>0</v>
      </c>
      <c r="Y229" s="2"/>
      <c r="Z229" s="7">
        <f t="shared" si="54"/>
        <v>0</v>
      </c>
    </row>
    <row r="230" spans="1:26" s="26" customFormat="1" outlineLevel="1" collapsed="1" x14ac:dyDescent="0.25">
      <c r="A230" s="27"/>
      <c r="B230" s="13" t="str">
        <f>CONCATENATE("     ","Discounts and Markdowns                           ")</f>
        <v xml:space="preserve">     Discounts and Markdowns                           </v>
      </c>
      <c r="C230" s="13"/>
      <c r="D230" s="1">
        <f>SUM(OSRRefD22_6x_0)</f>
        <v>38428.730000000003</v>
      </c>
      <c r="E230" s="1"/>
      <c r="F230" s="5">
        <f t="shared" ref="F230:F232" si="55">IF(D$12=0,0,D230/D$12)</f>
        <v>1.0517276224772637E-2</v>
      </c>
      <c r="G230" s="1"/>
      <c r="H230" s="1">
        <f>SUM(OSRRefH22_6x_0)</f>
        <v>42516.430000000008</v>
      </c>
      <c r="I230" s="1"/>
      <c r="J230" s="5">
        <f t="shared" ref="J230:J232" si="56">IF(H$12=0,0,H230/H$12)</f>
        <v>1.0386138689468895E-2</v>
      </c>
      <c r="K230" s="1"/>
      <c r="L230" s="1">
        <f t="shared" ref="L230:L232" si="57">+D230-H230</f>
        <v>-4087.7000000000044</v>
      </c>
      <c r="M230" s="1"/>
      <c r="N230" s="5">
        <f t="shared" ref="N230:N232" si="58">IF(H230=0,0,L230/H230)</f>
        <v>-9.6144008328074668E-2</v>
      </c>
      <c r="O230" s="13"/>
      <c r="P230" s="1">
        <f>SUM(OSRRefP22_6x_0)</f>
        <v>275480.09999999998</v>
      </c>
      <c r="Q230" s="1"/>
      <c r="R230" s="5">
        <f t="shared" ref="R230:R232" si="59">IF(P$12=0,0,P230/P$12)</f>
        <v>1.2676418443600318E-2</v>
      </c>
      <c r="S230" s="1"/>
      <c r="T230" s="1">
        <f>SUM(OSRRefT22_6x_0)</f>
        <v>299095.26999999996</v>
      </c>
      <c r="U230" s="1"/>
      <c r="V230" s="5">
        <f t="shared" ref="V230:V232" si="60">IF(T$12=0,0,T230/T$12)</f>
        <v>1.3335301401107476E-2</v>
      </c>
      <c r="W230" s="1"/>
      <c r="X230" s="1">
        <f t="shared" ref="X230:X232" si="61">+P230-T230</f>
        <v>-23615.169999999984</v>
      </c>
      <c r="Y230" s="1"/>
      <c r="Z230" s="5">
        <f t="shared" ref="Z230:Z232" si="62">IF(T230=0,0,X230/T230)</f>
        <v>-7.8955344228613139E-2</v>
      </c>
    </row>
    <row r="231" spans="1:26" s="24" customFormat="1" hidden="1" outlineLevel="2" x14ac:dyDescent="0.25">
      <c r="A231" s="25"/>
      <c r="B231" s="11" t="str">
        <f>CONCATENATE("          ", "6382", " - ", "DISCOUNTS/MARK DOWNS")</f>
        <v xml:space="preserve">          6382 - DISCOUNTS/MARK DOWNS</v>
      </c>
      <c r="C231" s="11"/>
      <c r="D231" s="6">
        <v>38849.230000000003</v>
      </c>
      <c r="E231" s="2"/>
      <c r="F231" s="7">
        <f t="shared" si="55"/>
        <v>1.0632359774307501E-2</v>
      </c>
      <c r="G231" s="2"/>
      <c r="H231" s="6">
        <v>43170.630000000005</v>
      </c>
      <c r="I231" s="2"/>
      <c r="J231" s="7">
        <f t="shared" si="56"/>
        <v>1.0545950130143724E-2</v>
      </c>
      <c r="K231" s="2"/>
      <c r="L231" s="6">
        <f t="shared" si="57"/>
        <v>-4321.4000000000015</v>
      </c>
      <c r="M231" s="2"/>
      <c r="N231" s="7">
        <f t="shared" si="58"/>
        <v>-0.10010046181860216</v>
      </c>
      <c r="O231" s="11"/>
      <c r="P231" s="6">
        <v>278387.09999999998</v>
      </c>
      <c r="Q231" s="2"/>
      <c r="R231" s="7">
        <f t="shared" si="59"/>
        <v>1.2810186176425833E-2</v>
      </c>
      <c r="S231" s="2"/>
      <c r="T231" s="6">
        <v>302576.15999999997</v>
      </c>
      <c r="U231" s="2"/>
      <c r="V231" s="7">
        <f t="shared" si="60"/>
        <v>1.3490498496982986E-2</v>
      </c>
      <c r="W231" s="2"/>
      <c r="X231" s="6">
        <f t="shared" si="61"/>
        <v>-24189.059999999998</v>
      </c>
      <c r="Y231" s="2"/>
      <c r="Z231" s="7">
        <f t="shared" si="62"/>
        <v>-7.9943707395850355E-2</v>
      </c>
    </row>
    <row r="232" spans="1:26" s="24" customFormat="1" hidden="1" outlineLevel="2" x14ac:dyDescent="0.25">
      <c r="A232" s="25"/>
      <c r="B232" s="11" t="str">
        <f>CONCATENATE("          ", "9175", " - ", "EARNED DISCOUNTS")</f>
        <v xml:space="preserve">          9175 - EARNED DISCOUNTS</v>
      </c>
      <c r="C232" s="11"/>
      <c r="D232" s="6">
        <v>-420.5</v>
      </c>
      <c r="E232" s="2"/>
      <c r="F232" s="7">
        <f t="shared" si="55"/>
        <v>-1.1508354953486347E-4</v>
      </c>
      <c r="G232" s="2"/>
      <c r="H232" s="6">
        <v>-654.20000000000005</v>
      </c>
      <c r="I232" s="2"/>
      <c r="J232" s="7">
        <f t="shared" si="56"/>
        <v>-1.5981144067482971E-4</v>
      </c>
      <c r="K232" s="2"/>
      <c r="L232" s="6">
        <f t="shared" si="57"/>
        <v>233.70000000000005</v>
      </c>
      <c r="M232" s="2"/>
      <c r="N232" s="7">
        <f t="shared" si="58"/>
        <v>-0.35723020483032714</v>
      </c>
      <c r="O232" s="11"/>
      <c r="P232" s="6">
        <v>-2907</v>
      </c>
      <c r="Q232" s="2"/>
      <c r="R232" s="7">
        <f t="shared" si="59"/>
        <v>-1.3376773282551489E-4</v>
      </c>
      <c r="S232" s="2"/>
      <c r="T232" s="6">
        <v>-3480.89</v>
      </c>
      <c r="U232" s="2"/>
      <c r="V232" s="7">
        <f t="shared" si="60"/>
        <v>-1.551970958755082E-4</v>
      </c>
      <c r="W232" s="2"/>
      <c r="X232" s="6">
        <f t="shared" si="61"/>
        <v>573.88999999999987</v>
      </c>
      <c r="Y232" s="2"/>
      <c r="Z232" s="7">
        <f t="shared" si="62"/>
        <v>-0.1648687548299429</v>
      </c>
    </row>
    <row r="233" spans="1:26" s="26" customFormat="1" outlineLevel="1" collapsed="1" x14ac:dyDescent="0.25">
      <c r="A233" s="27"/>
      <c r="B233" s="13" t="str">
        <f>CONCATENATE("     ","Donations                                         ")</f>
        <v xml:space="preserve">     Donations                                         </v>
      </c>
      <c r="C233" s="13"/>
      <c r="D233" s="1">
        <f>SUM(OSRRefD22_7x_0)</f>
        <v>9545.3799999999992</v>
      </c>
      <c r="E233" s="1"/>
      <c r="F233" s="5">
        <f t="shared" ref="F233:F241" si="63">IF(D$12=0,0,D233/D$12)</f>
        <v>2.6124047849205587E-3</v>
      </c>
      <c r="G233" s="1"/>
      <c r="H233" s="1">
        <f>SUM(OSRRefH22_7x_0)</f>
        <v>28080.21</v>
      </c>
      <c r="I233" s="1"/>
      <c r="J233" s="5">
        <f t="shared" ref="J233:J241" si="64">IF(H$12=0,0,H233/H$12)</f>
        <v>6.8595824129498006E-3</v>
      </c>
      <c r="K233" s="1"/>
      <c r="L233" s="1">
        <f t="shared" ref="L233:L241" si="65">+D233-H233</f>
        <v>-18534.830000000002</v>
      </c>
      <c r="M233" s="1"/>
      <c r="N233" s="5">
        <f t="shared" ref="N233:N241" si="66">IF(H233=0,0,L233/H233)</f>
        <v>-0.66006735704611907</v>
      </c>
      <c r="O233" s="13"/>
      <c r="P233" s="1">
        <f>SUM(OSRRefP22_7x_0)</f>
        <v>96954.11</v>
      </c>
      <c r="Q233" s="1"/>
      <c r="R233" s="5">
        <f t="shared" ref="R233:R241" si="67">IF(P$12=0,0,P233/P$12)</f>
        <v>4.4614143387738505E-3</v>
      </c>
      <c r="S233" s="1"/>
      <c r="T233" s="1">
        <f>SUM(OSRRefT22_7x_0)</f>
        <v>100212.65</v>
      </c>
      <c r="U233" s="1"/>
      <c r="V233" s="5">
        <f t="shared" ref="V233:V241" si="68">IF(T$12=0,0,T233/T$12)</f>
        <v>4.4680275015840046E-3</v>
      </c>
      <c r="W233" s="1"/>
      <c r="X233" s="1">
        <f t="shared" ref="X233:X241" si="69">+P233-T233</f>
        <v>-3258.5399999999936</v>
      </c>
      <c r="Y233" s="1"/>
      <c r="Z233" s="5">
        <f t="shared" ref="Z233:Z241" si="70">IF(T233=0,0,X233/T233)</f>
        <v>-3.2516254185474526E-2</v>
      </c>
    </row>
    <row r="234" spans="1:26" s="24" customFormat="1" hidden="1" outlineLevel="2" x14ac:dyDescent="0.25">
      <c r="A234" s="25"/>
      <c r="B234" s="11" t="str">
        <f>CONCATENATE("          ", "6399", " - ", "DONATION-ON CAMPUS")</f>
        <v xml:space="preserve">          6399 - DONATION-ON CAMPUS</v>
      </c>
      <c r="C234" s="11"/>
      <c r="D234" s="6">
        <v>9545.3799999999992</v>
      </c>
      <c r="E234" s="2"/>
      <c r="F234" s="7">
        <f t="shared" si="63"/>
        <v>2.6124047849205587E-3</v>
      </c>
      <c r="G234" s="2"/>
      <c r="H234" s="6">
        <v>28080.21</v>
      </c>
      <c r="I234" s="2"/>
      <c r="J234" s="7">
        <f t="shared" si="64"/>
        <v>6.8595824129498006E-3</v>
      </c>
      <c r="K234" s="2"/>
      <c r="L234" s="6">
        <f t="shared" si="65"/>
        <v>-18534.830000000002</v>
      </c>
      <c r="M234" s="2"/>
      <c r="N234" s="7">
        <f t="shared" si="66"/>
        <v>-0.66006735704611907</v>
      </c>
      <c r="O234" s="11"/>
      <c r="P234" s="6">
        <v>96954.11</v>
      </c>
      <c r="Q234" s="2"/>
      <c r="R234" s="7">
        <f t="shared" si="67"/>
        <v>4.4614143387738505E-3</v>
      </c>
      <c r="S234" s="2"/>
      <c r="T234" s="6">
        <v>100212.65</v>
      </c>
      <c r="U234" s="2"/>
      <c r="V234" s="7">
        <f t="shared" si="68"/>
        <v>4.4680275015840046E-3</v>
      </c>
      <c r="W234" s="2"/>
      <c r="X234" s="6">
        <f t="shared" si="69"/>
        <v>-3258.5399999999936</v>
      </c>
      <c r="Y234" s="2"/>
      <c r="Z234" s="7">
        <f t="shared" si="70"/>
        <v>-3.2516254185474526E-2</v>
      </c>
    </row>
    <row r="235" spans="1:26" s="26" customFormat="1" outlineLevel="1" collapsed="1" x14ac:dyDescent="0.25">
      <c r="A235" s="27"/>
      <c r="B235" s="13" t="str">
        <f>CONCATENATE("     ","Employees' Appreciation                           ")</f>
        <v xml:space="preserve">     Employees' Appreciation                           </v>
      </c>
      <c r="C235" s="13"/>
      <c r="D235" s="1">
        <f>SUM(OSRRefD22_8x_0)</f>
        <v>817.44</v>
      </c>
      <c r="E235" s="1"/>
      <c r="F235" s="5">
        <f t="shared" si="63"/>
        <v>2.2371913610411129E-4</v>
      </c>
      <c r="G235" s="1"/>
      <c r="H235" s="1">
        <f>SUM(OSRRefH22_8x_0)</f>
        <v>1614.37</v>
      </c>
      <c r="I235" s="1"/>
      <c r="J235" s="5">
        <f t="shared" si="64"/>
        <v>3.943668533815726E-4</v>
      </c>
      <c r="K235" s="1"/>
      <c r="L235" s="1">
        <f t="shared" si="65"/>
        <v>-796.92999999999984</v>
      </c>
      <c r="M235" s="1"/>
      <c r="N235" s="5">
        <f t="shared" si="66"/>
        <v>-0.49364767680271554</v>
      </c>
      <c r="O235" s="13"/>
      <c r="P235" s="1">
        <f>SUM(OSRRefP22_8x_0)</f>
        <v>4566.1899999999996</v>
      </c>
      <c r="Q235" s="1"/>
      <c r="R235" s="5">
        <f t="shared" si="67"/>
        <v>2.1011657514638385E-4</v>
      </c>
      <c r="S235" s="1"/>
      <c r="T235" s="1">
        <f>SUM(OSRRefT22_8x_0)</f>
        <v>6725.74</v>
      </c>
      <c r="U235" s="1"/>
      <c r="V235" s="5">
        <f t="shared" si="68"/>
        <v>2.9987023882218066E-4</v>
      </c>
      <c r="W235" s="1"/>
      <c r="X235" s="1">
        <f t="shared" si="69"/>
        <v>-2159.5500000000002</v>
      </c>
      <c r="Y235" s="1"/>
      <c r="Z235" s="5">
        <f t="shared" si="70"/>
        <v>-0.32108734503563924</v>
      </c>
    </row>
    <row r="236" spans="1:26" s="24" customFormat="1" hidden="1" outlineLevel="2" x14ac:dyDescent="0.25">
      <c r="A236" s="25"/>
      <c r="B236" s="11" t="str">
        <f>CONCATENATE("          ", "6277", " - ", "EMPLOYEE APPRECIATION")</f>
        <v xml:space="preserve">          6277 - EMPLOYEE APPRECIATION</v>
      </c>
      <c r="C236" s="11"/>
      <c r="D236" s="6">
        <v>817.44</v>
      </c>
      <c r="E236" s="2"/>
      <c r="F236" s="7">
        <f t="shared" si="63"/>
        <v>2.2371913610411129E-4</v>
      </c>
      <c r="G236" s="2"/>
      <c r="H236" s="6">
        <v>1614.37</v>
      </c>
      <c r="I236" s="2"/>
      <c r="J236" s="7">
        <f t="shared" si="64"/>
        <v>3.943668533815726E-4</v>
      </c>
      <c r="K236" s="2"/>
      <c r="L236" s="6">
        <f t="shared" si="65"/>
        <v>-796.92999999999984</v>
      </c>
      <c r="M236" s="2"/>
      <c r="N236" s="7">
        <f t="shared" si="66"/>
        <v>-0.49364767680271554</v>
      </c>
      <c r="O236" s="11"/>
      <c r="P236" s="6">
        <v>4566.1899999999996</v>
      </c>
      <c r="Q236" s="2"/>
      <c r="R236" s="7">
        <f t="shared" si="67"/>
        <v>2.1011657514638385E-4</v>
      </c>
      <c r="S236" s="2"/>
      <c r="T236" s="6">
        <v>6725.74</v>
      </c>
      <c r="U236" s="2"/>
      <c r="V236" s="7">
        <f t="shared" si="68"/>
        <v>2.9987023882218066E-4</v>
      </c>
      <c r="W236" s="2"/>
      <c r="X236" s="6">
        <f t="shared" si="69"/>
        <v>-2159.5500000000002</v>
      </c>
      <c r="Y236" s="2"/>
      <c r="Z236" s="7">
        <f t="shared" si="70"/>
        <v>-0.32108734503563924</v>
      </c>
    </row>
    <row r="237" spans="1:26" s="26" customFormat="1" outlineLevel="1" collapsed="1" x14ac:dyDescent="0.25">
      <c r="A237" s="27"/>
      <c r="B237" s="13" t="str">
        <f>CONCATENATE("     ","Equipment Rental                                  ")</f>
        <v xml:space="preserve">     Equipment Rental                                  </v>
      </c>
      <c r="C237" s="13"/>
      <c r="D237" s="1">
        <f>SUM(OSRRefD22_9x_0)</f>
        <v>7272.72</v>
      </c>
      <c r="E237" s="1"/>
      <c r="F237" s="5">
        <f t="shared" si="63"/>
        <v>1.9904171994606238E-3</v>
      </c>
      <c r="G237" s="1"/>
      <c r="H237" s="1">
        <f>SUM(OSRRefH22_9x_0)</f>
        <v>6320.59</v>
      </c>
      <c r="I237" s="1"/>
      <c r="J237" s="5">
        <f t="shared" si="64"/>
        <v>1.5440271993502322E-3</v>
      </c>
      <c r="K237" s="1"/>
      <c r="L237" s="1">
        <f t="shared" si="65"/>
        <v>952.13000000000011</v>
      </c>
      <c r="M237" s="1"/>
      <c r="N237" s="5">
        <f t="shared" si="66"/>
        <v>0.1506394181555836</v>
      </c>
      <c r="O237" s="13"/>
      <c r="P237" s="1">
        <f>SUM(OSRRefP22_9x_0)</f>
        <v>36709.46</v>
      </c>
      <c r="Q237" s="1"/>
      <c r="R237" s="5">
        <f t="shared" si="67"/>
        <v>1.6892126719810546E-3</v>
      </c>
      <c r="S237" s="1"/>
      <c r="T237" s="1">
        <f>SUM(OSRRefT22_9x_0)</f>
        <v>39723.519999999997</v>
      </c>
      <c r="U237" s="1"/>
      <c r="V237" s="5">
        <f t="shared" si="68"/>
        <v>1.7710915719694293E-3</v>
      </c>
      <c r="W237" s="1"/>
      <c r="X237" s="1">
        <f t="shared" si="69"/>
        <v>-3014.0599999999977</v>
      </c>
      <c r="Y237" s="1"/>
      <c r="Z237" s="5">
        <f t="shared" si="70"/>
        <v>-7.5875954598182582E-2</v>
      </c>
    </row>
    <row r="238" spans="1:26" s="24" customFormat="1" hidden="1" outlineLevel="2" x14ac:dyDescent="0.25">
      <c r="A238" s="25"/>
      <c r="B238" s="11" t="str">
        <f>CONCATENATE("          ", "6351", " - ", "EQUIPMENT RENTAL")</f>
        <v xml:space="preserve">          6351 - EQUIPMENT RENTAL</v>
      </c>
      <c r="C238" s="11"/>
      <c r="D238" s="6">
        <v>7272.72</v>
      </c>
      <c r="E238" s="2"/>
      <c r="F238" s="7">
        <f t="shared" si="63"/>
        <v>1.9904171994606238E-3</v>
      </c>
      <c r="G238" s="2"/>
      <c r="H238" s="6">
        <v>6320.59</v>
      </c>
      <c r="I238" s="2"/>
      <c r="J238" s="7">
        <f t="shared" si="64"/>
        <v>1.5440271993502322E-3</v>
      </c>
      <c r="K238" s="2"/>
      <c r="L238" s="6">
        <f t="shared" si="65"/>
        <v>952.13000000000011</v>
      </c>
      <c r="M238" s="2"/>
      <c r="N238" s="7">
        <f t="shared" si="66"/>
        <v>0.1506394181555836</v>
      </c>
      <c r="O238" s="11"/>
      <c r="P238" s="6">
        <v>36709.46</v>
      </c>
      <c r="Q238" s="2"/>
      <c r="R238" s="7">
        <f t="shared" si="67"/>
        <v>1.6892126719810546E-3</v>
      </c>
      <c r="S238" s="2"/>
      <c r="T238" s="6">
        <v>39723.519999999997</v>
      </c>
      <c r="U238" s="2"/>
      <c r="V238" s="7">
        <f t="shared" si="68"/>
        <v>1.7710915719694293E-3</v>
      </c>
      <c r="W238" s="2"/>
      <c r="X238" s="6">
        <f t="shared" si="69"/>
        <v>-3014.0599999999977</v>
      </c>
      <c r="Y238" s="2"/>
      <c r="Z238" s="7">
        <f t="shared" si="70"/>
        <v>-7.5875954598182582E-2</v>
      </c>
    </row>
    <row r="239" spans="1:26" s="26" customFormat="1" outlineLevel="1" collapsed="1" x14ac:dyDescent="0.25">
      <c r="A239" s="27"/>
      <c r="B239" s="13" t="str">
        <f>CONCATENATE("     ","Freight out/Postage                               ")</f>
        <v xml:space="preserve">     Freight out/Postage                               </v>
      </c>
      <c r="C239" s="13"/>
      <c r="D239" s="1">
        <f>SUM(OSRRefD22_10x_0)</f>
        <v>-13208.339999999997</v>
      </c>
      <c r="E239" s="1"/>
      <c r="F239" s="5">
        <f t="shared" si="63"/>
        <v>-3.614893342837855E-3</v>
      </c>
      <c r="G239" s="1"/>
      <c r="H239" s="1">
        <f>SUM(OSRRefH22_10x_0)</f>
        <v>-8386.48</v>
      </c>
      <c r="I239" s="1"/>
      <c r="J239" s="5">
        <f t="shared" si="64"/>
        <v>-2.0486937496035549E-3</v>
      </c>
      <c r="K239" s="1"/>
      <c r="L239" s="1">
        <f t="shared" si="65"/>
        <v>-4821.8599999999969</v>
      </c>
      <c r="M239" s="1"/>
      <c r="N239" s="5">
        <f t="shared" si="66"/>
        <v>0.57495635832911984</v>
      </c>
      <c r="O239" s="13"/>
      <c r="P239" s="1">
        <f>SUM(OSRRefP22_10x_0)</f>
        <v>-6382.4599999999991</v>
      </c>
      <c r="Q239" s="1"/>
      <c r="R239" s="5">
        <f t="shared" si="67"/>
        <v>-2.9369356864449112E-4</v>
      </c>
      <c r="S239" s="1"/>
      <c r="T239" s="1">
        <f>SUM(OSRRefT22_10x_0)</f>
        <v>2890.6700000000055</v>
      </c>
      <c r="U239" s="1"/>
      <c r="V239" s="5">
        <f t="shared" si="68"/>
        <v>1.2888186329773597E-4</v>
      </c>
      <c r="W239" s="1"/>
      <c r="X239" s="1">
        <f t="shared" si="69"/>
        <v>-9273.1300000000047</v>
      </c>
      <c r="Y239" s="1"/>
      <c r="Z239" s="5">
        <f t="shared" si="70"/>
        <v>-3.2079517897234853</v>
      </c>
    </row>
    <row r="240" spans="1:26" s="24" customFormat="1" hidden="1" outlineLevel="2" x14ac:dyDescent="0.25">
      <c r="A240" s="25"/>
      <c r="B240" s="11" t="str">
        <f>CONCATENATE("          ", "6305", " - ", "FREIGHT OUT")</f>
        <v xml:space="preserve">          6305 - FREIGHT OUT</v>
      </c>
      <c r="C240" s="11"/>
      <c r="D240" s="6">
        <v>2315.63</v>
      </c>
      <c r="E240" s="2"/>
      <c r="F240" s="7">
        <f t="shared" si="63"/>
        <v>6.3374772844094151E-4</v>
      </c>
      <c r="G240" s="2"/>
      <c r="H240" s="6">
        <v>7443.05</v>
      </c>
      <c r="I240" s="2"/>
      <c r="J240" s="7">
        <f t="shared" si="64"/>
        <v>1.8182276727526617E-3</v>
      </c>
      <c r="K240" s="2"/>
      <c r="L240" s="6">
        <f t="shared" si="65"/>
        <v>-5127.42</v>
      </c>
      <c r="M240" s="2"/>
      <c r="N240" s="7">
        <f t="shared" si="66"/>
        <v>-0.68888694822686936</v>
      </c>
      <c r="O240" s="11"/>
      <c r="P240" s="6">
        <v>37295.35</v>
      </c>
      <c r="Q240" s="2"/>
      <c r="R240" s="7">
        <f t="shared" si="67"/>
        <v>1.7161728291826856E-3</v>
      </c>
      <c r="S240" s="2"/>
      <c r="T240" s="6">
        <v>43657.65</v>
      </c>
      <c r="U240" s="2"/>
      <c r="V240" s="7">
        <f t="shared" si="68"/>
        <v>1.9464965835603483E-3</v>
      </c>
      <c r="W240" s="2"/>
      <c r="X240" s="6">
        <f t="shared" si="69"/>
        <v>-6362.3000000000029</v>
      </c>
      <c r="Y240" s="2"/>
      <c r="Z240" s="7">
        <f t="shared" si="70"/>
        <v>-0.14573161862812137</v>
      </c>
    </row>
    <row r="241" spans="1:26" s="24" customFormat="1" hidden="1" outlineLevel="2" x14ac:dyDescent="0.25">
      <c r="A241" s="25"/>
      <c r="B241" s="11" t="str">
        <f>CONCATENATE("          ", "6307", " - ", "POSTAGE")</f>
        <v xml:space="preserve">          6307 - POSTAGE</v>
      </c>
      <c r="C241" s="11"/>
      <c r="D241" s="6">
        <v>-15523.969999999998</v>
      </c>
      <c r="E241" s="2"/>
      <c r="F241" s="7">
        <f t="shared" si="63"/>
        <v>-4.2486410712787963E-3</v>
      </c>
      <c r="G241" s="2"/>
      <c r="H241" s="6">
        <v>-15829.529999999999</v>
      </c>
      <c r="I241" s="2"/>
      <c r="J241" s="7">
        <f t="shared" si="64"/>
        <v>-3.8669214223562166E-3</v>
      </c>
      <c r="K241" s="2"/>
      <c r="L241" s="6">
        <f t="shared" si="65"/>
        <v>305.56000000000131</v>
      </c>
      <c r="M241" s="2"/>
      <c r="N241" s="7">
        <f t="shared" si="66"/>
        <v>-1.930316313876668E-2</v>
      </c>
      <c r="O241" s="11"/>
      <c r="P241" s="6">
        <v>-43677.81</v>
      </c>
      <c r="Q241" s="2"/>
      <c r="R241" s="7">
        <f t="shared" si="67"/>
        <v>-2.0098663978271765E-3</v>
      </c>
      <c r="S241" s="2"/>
      <c r="T241" s="6">
        <v>-40766.979999999996</v>
      </c>
      <c r="U241" s="2"/>
      <c r="V241" s="7">
        <f t="shared" si="68"/>
        <v>-1.8176147202626123E-3</v>
      </c>
      <c r="W241" s="2"/>
      <c r="X241" s="6">
        <f t="shared" si="69"/>
        <v>-2910.8300000000017</v>
      </c>
      <c r="Y241" s="2"/>
      <c r="Z241" s="7">
        <f t="shared" si="70"/>
        <v>7.1401658891583383E-2</v>
      </c>
    </row>
    <row r="242" spans="1:26" s="26" customFormat="1" outlineLevel="1" collapsed="1" x14ac:dyDescent="0.25">
      <c r="A242" s="27"/>
      <c r="B242" s="13" t="str">
        <f>CONCATENATE("     ","General                                           ")</f>
        <v xml:space="preserve">     General                                           </v>
      </c>
      <c r="C242" s="13"/>
      <c r="D242" s="1">
        <f>SUM(OSRRefD22_11x_0)</f>
        <v>14384</v>
      </c>
      <c r="E242" s="1"/>
      <c r="F242" s="5">
        <f t="shared" ref="F242:F244" si="71">IF(D$12=0,0,D242/D$12)</f>
        <v>3.9366510737442947E-3</v>
      </c>
      <c r="G242" s="1"/>
      <c r="H242" s="1">
        <f>SUM(OSRRefH22_11x_0)</f>
        <v>5913.6</v>
      </c>
      <c r="I242" s="1"/>
      <c r="J242" s="5">
        <f t="shared" ref="J242:J244" si="72">IF(H$12=0,0,H242/H$12)</f>
        <v>1.4446055267115147E-3</v>
      </c>
      <c r="K242" s="1"/>
      <c r="L242" s="1">
        <f t="shared" ref="L242:L244" si="73">+D242-H242</f>
        <v>8470.4</v>
      </c>
      <c r="M242" s="1"/>
      <c r="N242" s="5">
        <f t="shared" ref="N242:N244" si="74">IF(H242=0,0,L242/H242)</f>
        <v>1.4323593073593073</v>
      </c>
      <c r="O242" s="13"/>
      <c r="P242" s="1">
        <f>SUM(OSRRefP22_11x_0)</f>
        <v>92846.71</v>
      </c>
      <c r="Q242" s="1"/>
      <c r="R242" s="5">
        <f t="shared" ref="R242:R244" si="75">IF(P$12=0,0,P242/P$12)</f>
        <v>4.2724093212962036E-3</v>
      </c>
      <c r="S242" s="1"/>
      <c r="T242" s="1">
        <f>SUM(OSRRefT22_11x_0)</f>
        <v>69198.559999999998</v>
      </c>
      <c r="U242" s="1"/>
      <c r="V242" s="5">
        <f t="shared" ref="V242:V244" si="76">IF(T$12=0,0,T242/T$12)</f>
        <v>3.0852499075716571E-3</v>
      </c>
      <c r="W242" s="1"/>
      <c r="X242" s="1">
        <f t="shared" ref="X242:X244" si="77">+P242-T242</f>
        <v>23648.150000000009</v>
      </c>
      <c r="Y242" s="1"/>
      <c r="Z242" s="5">
        <f t="shared" ref="Z242:Z244" si="78">IF(T242=0,0,X242/T242)</f>
        <v>0.34174338309930163</v>
      </c>
    </row>
    <row r="243" spans="1:26" s="24" customFormat="1" hidden="1" outlineLevel="2" x14ac:dyDescent="0.25">
      <c r="A243" s="25"/>
      <c r="B243" s="11" t="str">
        <f>CONCATENATE("          ", "6269", " - ", "ENTERTAINMENT")</f>
        <v xml:space="preserve">          6269 - ENTERTAINMENT</v>
      </c>
      <c r="C243" s="11"/>
      <c r="D243" s="6"/>
      <c r="E243" s="2"/>
      <c r="F243" s="7">
        <f t="shared" si="71"/>
        <v>0</v>
      </c>
      <c r="G243" s="2"/>
      <c r="H243" s="6">
        <v>1250</v>
      </c>
      <c r="I243" s="2"/>
      <c r="J243" s="7">
        <f t="shared" si="72"/>
        <v>3.0535662006043584E-4</v>
      </c>
      <c r="K243" s="2"/>
      <c r="L243" s="6">
        <f t="shared" si="73"/>
        <v>-1250</v>
      </c>
      <c r="M243" s="2"/>
      <c r="N243" s="7">
        <f t="shared" si="74"/>
        <v>-1</v>
      </c>
      <c r="O243" s="11"/>
      <c r="P243" s="6">
        <v>7350</v>
      </c>
      <c r="Q243" s="2"/>
      <c r="R243" s="7">
        <f t="shared" si="75"/>
        <v>3.3821562995099225E-4</v>
      </c>
      <c r="S243" s="2"/>
      <c r="T243" s="6">
        <v>6110</v>
      </c>
      <c r="U243" s="2"/>
      <c r="V243" s="7">
        <f t="shared" si="76"/>
        <v>2.7241718520244968E-4</v>
      </c>
      <c r="W243" s="2"/>
      <c r="X243" s="6">
        <f t="shared" si="77"/>
        <v>1240</v>
      </c>
      <c r="Y243" s="2"/>
      <c r="Z243" s="7">
        <f t="shared" si="78"/>
        <v>0.20294599018003273</v>
      </c>
    </row>
    <row r="244" spans="1:26" s="24" customFormat="1" hidden="1" outlineLevel="2" x14ac:dyDescent="0.25">
      <c r="A244" s="25"/>
      <c r="B244" s="11" t="str">
        <f>CONCATENATE("          ", "6279", " - ", "GENERAL EXPENSE")</f>
        <v xml:space="preserve">          6279 - GENERAL EXPENSE</v>
      </c>
      <c r="C244" s="11"/>
      <c r="D244" s="6">
        <v>14384</v>
      </c>
      <c r="E244" s="2"/>
      <c r="F244" s="7">
        <f t="shared" si="71"/>
        <v>3.9366510737442947E-3</v>
      </c>
      <c r="G244" s="2"/>
      <c r="H244" s="6">
        <v>4663.6000000000004</v>
      </c>
      <c r="I244" s="2"/>
      <c r="J244" s="7">
        <f t="shared" si="72"/>
        <v>1.1392489066510789E-3</v>
      </c>
      <c r="K244" s="2"/>
      <c r="L244" s="6">
        <f t="shared" si="73"/>
        <v>9720.4</v>
      </c>
      <c r="M244" s="2"/>
      <c r="N244" s="7">
        <f t="shared" si="74"/>
        <v>2.0843125482459901</v>
      </c>
      <c r="O244" s="11"/>
      <c r="P244" s="6">
        <v>85496.71</v>
      </c>
      <c r="Q244" s="2"/>
      <c r="R244" s="7">
        <f t="shared" si="75"/>
        <v>3.934193691345211E-3</v>
      </c>
      <c r="S244" s="2"/>
      <c r="T244" s="6">
        <v>63088.56</v>
      </c>
      <c r="U244" s="2"/>
      <c r="V244" s="7">
        <f t="shared" si="76"/>
        <v>2.8128327223692078E-3</v>
      </c>
      <c r="W244" s="2"/>
      <c r="X244" s="6">
        <f t="shared" si="77"/>
        <v>22408.150000000009</v>
      </c>
      <c r="Y244" s="2"/>
      <c r="Z244" s="7">
        <f t="shared" si="78"/>
        <v>0.35518563111917612</v>
      </c>
    </row>
    <row r="245" spans="1:26" s="26" customFormat="1" outlineLevel="1" collapsed="1" x14ac:dyDescent="0.25">
      <c r="A245" s="27"/>
      <c r="B245" s="13" t="str">
        <f>CONCATENATE("     ","Insurance                                         ")</f>
        <v xml:space="preserve">     Insurance                                         </v>
      </c>
      <c r="C245" s="13"/>
      <c r="D245" s="1">
        <f>SUM(OSRRefD22_12x_0)</f>
        <v>8563.32</v>
      </c>
      <c r="E245" s="1"/>
      <c r="F245" s="5">
        <f t="shared" ref="F245:F261" si="79">IF(D$12=0,0,D245/D$12)</f>
        <v>2.3436320128487204E-3</v>
      </c>
      <c r="G245" s="1"/>
      <c r="H245" s="1">
        <f>SUM(OSRRefH22_12x_0)</f>
        <v>8064.85</v>
      </c>
      <c r="I245" s="1"/>
      <c r="J245" s="5">
        <f t="shared" ref="J245:J261" si="80">IF(H$12=0,0,H245/H$12)</f>
        <v>1.9701242698355248E-3</v>
      </c>
      <c r="K245" s="1"/>
      <c r="L245" s="1">
        <f t="shared" ref="L245:L261" si="81">+D245-H245</f>
        <v>498.46999999999935</v>
      </c>
      <c r="M245" s="1"/>
      <c r="N245" s="5">
        <f t="shared" ref="N245:N261" si="82">IF(H245=0,0,L245/H245)</f>
        <v>6.180772116034388E-2</v>
      </c>
      <c r="O245" s="13"/>
      <c r="P245" s="1">
        <f>SUM(OSRRefP22_12x_0)</f>
        <v>59943.239999999991</v>
      </c>
      <c r="Q245" s="1"/>
      <c r="R245" s="5">
        <f t="shared" ref="R245:R261" si="83">IF(P$12=0,0,P245/P$12)</f>
        <v>2.7583320650208863E-3</v>
      </c>
      <c r="S245" s="1"/>
      <c r="T245" s="1">
        <f>SUM(OSRRefT22_12x_0)</f>
        <v>61041.95</v>
      </c>
      <c r="U245" s="1"/>
      <c r="V245" s="5">
        <f t="shared" ref="V245:V261" si="84">IF(T$12=0,0,T245/T$12)</f>
        <v>2.7215836658377531E-3</v>
      </c>
      <c r="W245" s="1"/>
      <c r="X245" s="1">
        <f t="shared" ref="X245:X261" si="85">+P245-T245</f>
        <v>-1098.7100000000064</v>
      </c>
      <c r="Y245" s="1"/>
      <c r="Z245" s="5">
        <f t="shared" ref="Z245:Z261" si="86">IF(T245=0,0,X245/T245)</f>
        <v>-1.7999261163839073E-2</v>
      </c>
    </row>
    <row r="246" spans="1:26" s="24" customFormat="1" hidden="1" outlineLevel="2" x14ac:dyDescent="0.25">
      <c r="A246" s="25"/>
      <c r="B246" s="11" t="str">
        <f>CONCATENATE("          ", "6314", " - ", "LIABILITY INSURANCE")</f>
        <v xml:space="preserve">          6314 - LIABILITY INSURANCE</v>
      </c>
      <c r="C246" s="11"/>
      <c r="D246" s="6">
        <v>8563.32</v>
      </c>
      <c r="E246" s="2"/>
      <c r="F246" s="7">
        <f t="shared" si="79"/>
        <v>2.3436320128487204E-3</v>
      </c>
      <c r="G246" s="2"/>
      <c r="H246" s="6">
        <v>8064.85</v>
      </c>
      <c r="I246" s="2"/>
      <c r="J246" s="7">
        <f t="shared" si="80"/>
        <v>1.9701242698355248E-3</v>
      </c>
      <c r="K246" s="2"/>
      <c r="L246" s="6">
        <f t="shared" si="81"/>
        <v>498.46999999999935</v>
      </c>
      <c r="M246" s="2"/>
      <c r="N246" s="7">
        <f t="shared" si="82"/>
        <v>6.180772116034388E-2</v>
      </c>
      <c r="O246" s="11"/>
      <c r="P246" s="6">
        <v>59943.239999999991</v>
      </c>
      <c r="Q246" s="2"/>
      <c r="R246" s="7">
        <f t="shared" si="83"/>
        <v>2.7583320650208863E-3</v>
      </c>
      <c r="S246" s="2"/>
      <c r="T246" s="6">
        <v>61041.95</v>
      </c>
      <c r="U246" s="2"/>
      <c r="V246" s="7">
        <f t="shared" si="84"/>
        <v>2.7215836658377531E-3</v>
      </c>
      <c r="W246" s="2"/>
      <c r="X246" s="6">
        <f t="shared" si="85"/>
        <v>-1098.7100000000064</v>
      </c>
      <c r="Y246" s="2"/>
      <c r="Z246" s="7">
        <f t="shared" si="86"/>
        <v>-1.7999261163839073E-2</v>
      </c>
    </row>
    <row r="247" spans="1:26" s="26" customFormat="1" outlineLevel="1" collapsed="1" x14ac:dyDescent="0.25">
      <c r="A247" s="27"/>
      <c r="B247" s="13" t="str">
        <f>CONCATENATE("     ","Interest                                          ")</f>
        <v xml:space="preserve">     Interest                                          </v>
      </c>
      <c r="C247" s="13"/>
      <c r="D247" s="1">
        <f>SUM(OSRRefD22_13x_0)</f>
        <v>11929</v>
      </c>
      <c r="E247" s="1"/>
      <c r="F247" s="5">
        <f t="shared" si="79"/>
        <v>3.2647601959604903E-3</v>
      </c>
      <c r="G247" s="1"/>
      <c r="H247" s="1">
        <f>SUM(OSRRefH22_13x_0)</f>
        <v>12229</v>
      </c>
      <c r="I247" s="1"/>
      <c r="J247" s="5">
        <f t="shared" si="80"/>
        <v>2.9873648853752559E-3</v>
      </c>
      <c r="K247" s="1"/>
      <c r="L247" s="1">
        <f t="shared" si="81"/>
        <v>-300</v>
      </c>
      <c r="M247" s="1"/>
      <c r="N247" s="5">
        <f t="shared" si="82"/>
        <v>-2.4531850519257502E-2</v>
      </c>
      <c r="O247" s="13"/>
      <c r="P247" s="1">
        <f>SUM(OSRRefP22_13x_0)</f>
        <v>82904</v>
      </c>
      <c r="Q247" s="1"/>
      <c r="R247" s="5">
        <f t="shared" si="83"/>
        <v>3.8148882429193281E-3</v>
      </c>
      <c r="S247" s="1"/>
      <c r="T247" s="1">
        <f>SUM(OSRRefT22_13x_0)</f>
        <v>84988</v>
      </c>
      <c r="U247" s="1"/>
      <c r="V247" s="5">
        <f t="shared" si="84"/>
        <v>3.7892294166916194E-3</v>
      </c>
      <c r="W247" s="1"/>
      <c r="X247" s="1">
        <f t="shared" si="85"/>
        <v>-2084</v>
      </c>
      <c r="Y247" s="1"/>
      <c r="Z247" s="5">
        <f t="shared" si="86"/>
        <v>-2.4521108862427636E-2</v>
      </c>
    </row>
    <row r="248" spans="1:26" s="24" customFormat="1" hidden="1" outlineLevel="2" x14ac:dyDescent="0.25">
      <c r="A248" s="25"/>
      <c r="B248" s="11" t="str">
        <f>CONCATENATE("          ", "6401", " - ", "INTEREST EXPENSE")</f>
        <v xml:space="preserve">          6401 - INTEREST EXPENSE</v>
      </c>
      <c r="C248" s="11"/>
      <c r="D248" s="6">
        <v>11929</v>
      </c>
      <c r="E248" s="2"/>
      <c r="F248" s="7">
        <f t="shared" si="79"/>
        <v>3.2647601959604903E-3</v>
      </c>
      <c r="G248" s="2"/>
      <c r="H248" s="6">
        <v>12229</v>
      </c>
      <c r="I248" s="2"/>
      <c r="J248" s="7">
        <f t="shared" si="80"/>
        <v>2.9873648853752559E-3</v>
      </c>
      <c r="K248" s="2"/>
      <c r="L248" s="6">
        <f t="shared" si="81"/>
        <v>-300</v>
      </c>
      <c r="M248" s="2"/>
      <c r="N248" s="7">
        <f t="shared" si="82"/>
        <v>-2.4531850519257502E-2</v>
      </c>
      <c r="O248" s="11"/>
      <c r="P248" s="6">
        <v>82904</v>
      </c>
      <c r="Q248" s="2"/>
      <c r="R248" s="7">
        <f t="shared" si="83"/>
        <v>3.8148882429193281E-3</v>
      </c>
      <c r="S248" s="2"/>
      <c r="T248" s="6">
        <v>84988</v>
      </c>
      <c r="U248" s="2"/>
      <c r="V248" s="7">
        <f t="shared" si="84"/>
        <v>3.7892294166916194E-3</v>
      </c>
      <c r="W248" s="2"/>
      <c r="X248" s="6">
        <f t="shared" si="85"/>
        <v>-2084</v>
      </c>
      <c r="Y248" s="2"/>
      <c r="Z248" s="7">
        <f t="shared" si="86"/>
        <v>-2.4521108862427636E-2</v>
      </c>
    </row>
    <row r="249" spans="1:26" s="26" customFormat="1" outlineLevel="1" collapsed="1" x14ac:dyDescent="0.25">
      <c r="A249" s="27"/>
      <c r="B249" s="13" t="str">
        <f>CONCATENATE("     ","Inventory Adjustment                              ")</f>
        <v xml:space="preserve">     Inventory Adjustment                              </v>
      </c>
      <c r="C249" s="13"/>
      <c r="D249" s="1">
        <f>SUM(OSRRefD22_14x_0)</f>
        <v>4250</v>
      </c>
      <c r="E249" s="1"/>
      <c r="F249" s="5">
        <f t="shared" si="79"/>
        <v>1.1631512140860159E-3</v>
      </c>
      <c r="G249" s="1"/>
      <c r="H249" s="1">
        <f>SUM(OSRRefH22_14x_0)</f>
        <v>10000</v>
      </c>
      <c r="I249" s="1"/>
      <c r="J249" s="5">
        <f t="shared" si="80"/>
        <v>2.4428529604834867E-3</v>
      </c>
      <c r="K249" s="1"/>
      <c r="L249" s="1">
        <f t="shared" si="81"/>
        <v>-5750</v>
      </c>
      <c r="M249" s="1"/>
      <c r="N249" s="5">
        <f t="shared" si="82"/>
        <v>-0.57499999999999996</v>
      </c>
      <c r="O249" s="13"/>
      <c r="P249" s="1">
        <f>SUM(OSRRefP22_14x_0)</f>
        <v>35450</v>
      </c>
      <c r="Q249" s="1"/>
      <c r="R249" s="5">
        <f t="shared" si="83"/>
        <v>1.6312576981990035E-3</v>
      </c>
      <c r="S249" s="1"/>
      <c r="T249" s="1">
        <f>SUM(OSRRefT22_14x_0)</f>
        <v>70000</v>
      </c>
      <c r="U249" s="1"/>
      <c r="V249" s="5">
        <f t="shared" si="84"/>
        <v>3.1209824818611257E-3</v>
      </c>
      <c r="W249" s="1"/>
      <c r="X249" s="1">
        <f t="shared" si="85"/>
        <v>-34550</v>
      </c>
      <c r="Y249" s="1"/>
      <c r="Z249" s="5">
        <f t="shared" si="86"/>
        <v>-0.49357142857142855</v>
      </c>
    </row>
    <row r="250" spans="1:26" s="24" customFormat="1" hidden="1" outlineLevel="2" x14ac:dyDescent="0.25">
      <c r="A250" s="25"/>
      <c r="B250" s="11" t="str">
        <f>CONCATENATE("          ", "6408", " - ", "INVENTORY ADJUSTMENT")</f>
        <v xml:space="preserve">          6408 - INVENTORY ADJUSTMENT</v>
      </c>
      <c r="C250" s="11"/>
      <c r="D250" s="6">
        <v>4250</v>
      </c>
      <c r="E250" s="2"/>
      <c r="F250" s="7">
        <f t="shared" si="79"/>
        <v>1.1631512140860159E-3</v>
      </c>
      <c r="G250" s="2"/>
      <c r="H250" s="6">
        <v>10000</v>
      </c>
      <c r="I250" s="2"/>
      <c r="J250" s="7">
        <f t="shared" si="80"/>
        <v>2.4428529604834867E-3</v>
      </c>
      <c r="K250" s="2"/>
      <c r="L250" s="6">
        <f t="shared" si="81"/>
        <v>-5750</v>
      </c>
      <c r="M250" s="2"/>
      <c r="N250" s="7">
        <f t="shared" si="82"/>
        <v>-0.57499999999999996</v>
      </c>
      <c r="O250" s="11"/>
      <c r="P250" s="6">
        <v>35450</v>
      </c>
      <c r="Q250" s="2"/>
      <c r="R250" s="7">
        <f t="shared" si="83"/>
        <v>1.6312576981990035E-3</v>
      </c>
      <c r="S250" s="2"/>
      <c r="T250" s="6">
        <v>70000</v>
      </c>
      <c r="U250" s="2"/>
      <c r="V250" s="7">
        <f t="shared" si="84"/>
        <v>3.1209824818611257E-3</v>
      </c>
      <c r="W250" s="2"/>
      <c r="X250" s="6">
        <f t="shared" si="85"/>
        <v>-34550</v>
      </c>
      <c r="Y250" s="2"/>
      <c r="Z250" s="7">
        <f t="shared" si="86"/>
        <v>-0.49357142857142855</v>
      </c>
    </row>
    <row r="251" spans="1:26" s="26" customFormat="1" outlineLevel="1" collapsed="1" x14ac:dyDescent="0.25">
      <c r="A251" s="27"/>
      <c r="B251" s="13" t="str">
        <f>CONCATENATE("     ","Professional Services                             ")</f>
        <v xml:space="preserve">     Professional Services                             </v>
      </c>
      <c r="C251" s="13"/>
      <c r="D251" s="1">
        <f>SUM(OSRRefD22_15x_0)</f>
        <v>0</v>
      </c>
      <c r="E251" s="1"/>
      <c r="F251" s="5">
        <f t="shared" si="79"/>
        <v>0</v>
      </c>
      <c r="G251" s="1"/>
      <c r="H251" s="1">
        <f>SUM(OSRRefH22_15x_0)</f>
        <v>0</v>
      </c>
      <c r="I251" s="1"/>
      <c r="J251" s="5">
        <f t="shared" si="80"/>
        <v>0</v>
      </c>
      <c r="K251" s="1"/>
      <c r="L251" s="1">
        <f t="shared" si="81"/>
        <v>0</v>
      </c>
      <c r="M251" s="1"/>
      <c r="N251" s="5">
        <f t="shared" si="82"/>
        <v>0</v>
      </c>
      <c r="O251" s="13"/>
      <c r="P251" s="1">
        <f>SUM(OSRRefP22_15x_0)</f>
        <v>6324.56</v>
      </c>
      <c r="Q251" s="1"/>
      <c r="R251" s="5">
        <f t="shared" si="83"/>
        <v>2.9102925776365276E-4</v>
      </c>
      <c r="S251" s="1"/>
      <c r="T251" s="1">
        <f>SUM(OSRRefT22_15x_0)</f>
        <v>9956.43</v>
      </c>
      <c r="U251" s="1"/>
      <c r="V251" s="5">
        <f t="shared" si="84"/>
        <v>4.4391205159823667E-4</v>
      </c>
      <c r="W251" s="1"/>
      <c r="X251" s="1">
        <f t="shared" si="85"/>
        <v>-3631.87</v>
      </c>
      <c r="Y251" s="1"/>
      <c r="Z251" s="5">
        <f t="shared" si="86"/>
        <v>-0.36477633047186592</v>
      </c>
    </row>
    <row r="252" spans="1:26" s="24" customFormat="1" hidden="1" outlineLevel="2" x14ac:dyDescent="0.25">
      <c r="A252" s="25"/>
      <c r="B252" s="11" t="str">
        <f>CONCATENATE("          ", "6336", " - ", "PROFESSIONAL SERVICES")</f>
        <v xml:space="preserve">          6336 - PROFESSIONAL SERVICES</v>
      </c>
      <c r="C252" s="11"/>
      <c r="D252" s="6"/>
      <c r="E252" s="2"/>
      <c r="F252" s="7">
        <f t="shared" si="79"/>
        <v>0</v>
      </c>
      <c r="G252" s="2"/>
      <c r="H252" s="6"/>
      <c r="I252" s="2"/>
      <c r="J252" s="7">
        <f t="shared" si="80"/>
        <v>0</v>
      </c>
      <c r="K252" s="2"/>
      <c r="L252" s="6">
        <f t="shared" si="81"/>
        <v>0</v>
      </c>
      <c r="M252" s="2"/>
      <c r="N252" s="7">
        <f t="shared" si="82"/>
        <v>0</v>
      </c>
      <c r="O252" s="11"/>
      <c r="P252" s="6">
        <v>6324.56</v>
      </c>
      <c r="Q252" s="2"/>
      <c r="R252" s="7">
        <f t="shared" si="83"/>
        <v>2.9102925776365276E-4</v>
      </c>
      <c r="S252" s="2"/>
      <c r="T252" s="6">
        <v>9956.43</v>
      </c>
      <c r="U252" s="2"/>
      <c r="V252" s="7">
        <f t="shared" si="84"/>
        <v>4.4391205159823667E-4</v>
      </c>
      <c r="W252" s="2"/>
      <c r="X252" s="6">
        <f t="shared" si="85"/>
        <v>-3631.87</v>
      </c>
      <c r="Y252" s="2"/>
      <c r="Z252" s="7">
        <f t="shared" si="86"/>
        <v>-0.36477633047186592</v>
      </c>
    </row>
    <row r="253" spans="1:26" s="26" customFormat="1" outlineLevel="1" collapsed="1" x14ac:dyDescent="0.25">
      <c r="A253" s="27"/>
      <c r="B253" s="13" t="str">
        <f>CONCATENATE("     ","R/H Commissions                                   ")</f>
        <v xml:space="preserve">     R/H Commissions                                   </v>
      </c>
      <c r="C253" s="13"/>
      <c r="D253" s="1">
        <f>SUM(OSRRefD22_16x_0)</f>
        <v>52199.14</v>
      </c>
      <c r="E253" s="1"/>
      <c r="F253" s="5">
        <f t="shared" si="79"/>
        <v>1.4285998368293158E-2</v>
      </c>
      <c r="G253" s="1"/>
      <c r="H253" s="1">
        <f>SUM(OSRRefH22_16x_0)</f>
        <v>50133.85</v>
      </c>
      <c r="I253" s="1"/>
      <c r="J253" s="5">
        <f t="shared" si="80"/>
        <v>1.2246962389293504E-2</v>
      </c>
      <c r="K253" s="1"/>
      <c r="L253" s="1">
        <f t="shared" si="81"/>
        <v>2065.2900000000009</v>
      </c>
      <c r="M253" s="1"/>
      <c r="N253" s="5">
        <f t="shared" si="82"/>
        <v>4.1195519594046756E-2</v>
      </c>
      <c r="O253" s="13"/>
      <c r="P253" s="1">
        <f>SUM(OSRRefP22_16x_0)</f>
        <v>523790.01000000007</v>
      </c>
      <c r="Q253" s="1"/>
      <c r="R253" s="5">
        <f t="shared" si="83"/>
        <v>2.4102580706692051E-2</v>
      </c>
      <c r="S253" s="1"/>
      <c r="T253" s="1">
        <f>SUM(OSRRefT22_16x_0)</f>
        <v>499632.82000000007</v>
      </c>
      <c r="U253" s="1"/>
      <c r="V253" s="5">
        <f t="shared" si="84"/>
        <v>2.2276361122612474E-2</v>
      </c>
      <c r="W253" s="1"/>
      <c r="X253" s="1">
        <f t="shared" si="85"/>
        <v>24157.190000000002</v>
      </c>
      <c r="Y253" s="1"/>
      <c r="Z253" s="5">
        <f t="shared" si="86"/>
        <v>4.8349886222446313E-2</v>
      </c>
    </row>
    <row r="254" spans="1:26" s="24" customFormat="1" hidden="1" outlineLevel="2" x14ac:dyDescent="0.25">
      <c r="A254" s="25"/>
      <c r="B254" s="11" t="str">
        <f>CONCATENATE("          ", "6387", " - ", "COMMISSION DUE HOUSING")</f>
        <v xml:space="preserve">          6387 - COMMISSION DUE HOUSING</v>
      </c>
      <c r="C254" s="11"/>
      <c r="D254" s="6">
        <v>52199.14</v>
      </c>
      <c r="E254" s="2"/>
      <c r="F254" s="7">
        <f t="shared" si="79"/>
        <v>1.4285998368293158E-2</v>
      </c>
      <c r="G254" s="2"/>
      <c r="H254" s="6">
        <v>50133.85</v>
      </c>
      <c r="I254" s="2"/>
      <c r="J254" s="7">
        <f t="shared" si="80"/>
        <v>1.2246962389293504E-2</v>
      </c>
      <c r="K254" s="2"/>
      <c r="L254" s="6">
        <f t="shared" si="81"/>
        <v>2065.2900000000009</v>
      </c>
      <c r="M254" s="2"/>
      <c r="N254" s="7">
        <f t="shared" si="82"/>
        <v>4.1195519594046756E-2</v>
      </c>
      <c r="O254" s="11"/>
      <c r="P254" s="6">
        <v>523790.01000000007</v>
      </c>
      <c r="Q254" s="2"/>
      <c r="R254" s="7">
        <f t="shared" si="83"/>
        <v>2.4102580706692051E-2</v>
      </c>
      <c r="S254" s="2"/>
      <c r="T254" s="6">
        <v>499632.82000000007</v>
      </c>
      <c r="U254" s="2"/>
      <c r="V254" s="7">
        <f t="shared" si="84"/>
        <v>2.2276361122612474E-2</v>
      </c>
      <c r="W254" s="2"/>
      <c r="X254" s="6">
        <f t="shared" si="85"/>
        <v>24157.190000000002</v>
      </c>
      <c r="Y254" s="2"/>
      <c r="Z254" s="7">
        <f t="shared" si="86"/>
        <v>4.8349886222446313E-2</v>
      </c>
    </row>
    <row r="255" spans="1:26" s="26" customFormat="1" outlineLevel="1" collapsed="1" x14ac:dyDescent="0.25">
      <c r="A255" s="27"/>
      <c r="B255" s="13" t="str">
        <f>CONCATENATE("     ","Rent                                              ")</f>
        <v xml:space="preserve">     Rent                                              </v>
      </c>
      <c r="C255" s="13"/>
      <c r="D255" s="1">
        <f>SUM(OSRRefD22_17x_0)</f>
        <v>9900</v>
      </c>
      <c r="E255" s="1"/>
      <c r="F255" s="5">
        <f t="shared" si="79"/>
        <v>2.709458122223896E-3</v>
      </c>
      <c r="G255" s="1"/>
      <c r="H255" s="1">
        <f>SUM(OSRRefH22_17x_0)</f>
        <v>9900</v>
      </c>
      <c r="I255" s="1"/>
      <c r="J255" s="5">
        <f t="shared" si="80"/>
        <v>2.4184244308786519E-3</v>
      </c>
      <c r="K255" s="1"/>
      <c r="L255" s="1">
        <f t="shared" si="81"/>
        <v>0</v>
      </c>
      <c r="M255" s="1"/>
      <c r="N255" s="5">
        <f t="shared" si="82"/>
        <v>0</v>
      </c>
      <c r="O255" s="13"/>
      <c r="P255" s="1">
        <f>SUM(OSRRefP22_17x_0)</f>
        <v>69300</v>
      </c>
      <c r="Q255" s="1"/>
      <c r="R255" s="5">
        <f t="shared" si="83"/>
        <v>3.1888902252522129E-3</v>
      </c>
      <c r="S255" s="1"/>
      <c r="T255" s="1">
        <f>SUM(OSRRefT22_17x_0)</f>
        <v>69400.850000000006</v>
      </c>
      <c r="U255" s="1"/>
      <c r="V255" s="5">
        <f t="shared" si="84"/>
        <v>3.0942691010895961E-3</v>
      </c>
      <c r="W255" s="1"/>
      <c r="X255" s="1">
        <f t="shared" si="85"/>
        <v>-100.85000000000582</v>
      </c>
      <c r="Y255" s="1"/>
      <c r="Z255" s="5">
        <f t="shared" si="86"/>
        <v>-1.4531522308445187E-3</v>
      </c>
    </row>
    <row r="256" spans="1:26" s="24" customFormat="1" hidden="1" outlineLevel="2" x14ac:dyDescent="0.25">
      <c r="A256" s="25"/>
      <c r="B256" s="11" t="str">
        <f>CONCATENATE("          ", "6273", " - ", "RENT")</f>
        <v xml:space="preserve">          6273 - RENT</v>
      </c>
      <c r="C256" s="11"/>
      <c r="D256" s="6">
        <v>9900</v>
      </c>
      <c r="E256" s="2"/>
      <c r="F256" s="7">
        <f t="shared" si="79"/>
        <v>2.709458122223896E-3</v>
      </c>
      <c r="G256" s="2"/>
      <c r="H256" s="6">
        <v>9900</v>
      </c>
      <c r="I256" s="2"/>
      <c r="J256" s="7">
        <f t="shared" si="80"/>
        <v>2.4184244308786519E-3</v>
      </c>
      <c r="K256" s="2"/>
      <c r="L256" s="6">
        <f t="shared" si="81"/>
        <v>0</v>
      </c>
      <c r="M256" s="2"/>
      <c r="N256" s="7">
        <f t="shared" si="82"/>
        <v>0</v>
      </c>
      <c r="O256" s="11"/>
      <c r="P256" s="6">
        <v>69300</v>
      </c>
      <c r="Q256" s="2"/>
      <c r="R256" s="7">
        <f t="shared" si="83"/>
        <v>3.1888902252522129E-3</v>
      </c>
      <c r="S256" s="2"/>
      <c r="T256" s="6">
        <v>69400.850000000006</v>
      </c>
      <c r="U256" s="2"/>
      <c r="V256" s="7">
        <f t="shared" si="84"/>
        <v>3.0942691010895961E-3</v>
      </c>
      <c r="W256" s="2"/>
      <c r="X256" s="6">
        <f t="shared" si="85"/>
        <v>-100.85000000000582</v>
      </c>
      <c r="Y256" s="2"/>
      <c r="Z256" s="7">
        <f t="shared" si="86"/>
        <v>-1.4531522308445187E-3</v>
      </c>
    </row>
    <row r="257" spans="1:26" s="26" customFormat="1" outlineLevel="1" collapsed="1" x14ac:dyDescent="0.25">
      <c r="A257" s="27"/>
      <c r="B257" s="13" t="str">
        <f>CONCATENATE("     ","Repair and Maintenance                            ")</f>
        <v xml:space="preserve">     Repair and Maintenance                            </v>
      </c>
      <c r="C257" s="13"/>
      <c r="D257" s="1">
        <f>SUM(OSRRefD22_18x_0)</f>
        <v>52367.28</v>
      </c>
      <c r="E257" s="1"/>
      <c r="F257" s="5">
        <f t="shared" si="79"/>
        <v>1.4332015367148785E-2</v>
      </c>
      <c r="G257" s="1"/>
      <c r="H257" s="1">
        <f>SUM(OSRRefH22_18x_0)</f>
        <v>31511.39</v>
      </c>
      <c r="I257" s="1"/>
      <c r="J257" s="5">
        <f t="shared" si="80"/>
        <v>7.6977692350449732E-3</v>
      </c>
      <c r="K257" s="1"/>
      <c r="L257" s="1">
        <f t="shared" si="81"/>
        <v>20855.89</v>
      </c>
      <c r="M257" s="1"/>
      <c r="N257" s="5">
        <f t="shared" si="82"/>
        <v>0.66185242859804028</v>
      </c>
      <c r="O257" s="13"/>
      <c r="P257" s="1">
        <f>SUM(OSRRefP22_18x_0)</f>
        <v>318115.18999999994</v>
      </c>
      <c r="Q257" s="1"/>
      <c r="R257" s="5">
        <f t="shared" si="83"/>
        <v>1.463830331739178E-2</v>
      </c>
      <c r="S257" s="1"/>
      <c r="T257" s="1">
        <f>SUM(OSRRefT22_18x_0)</f>
        <v>337970.71</v>
      </c>
      <c r="U257" s="1"/>
      <c r="V257" s="5">
        <f t="shared" si="84"/>
        <v>1.506858093274524E-2</v>
      </c>
      <c r="W257" s="1"/>
      <c r="X257" s="1">
        <f t="shared" si="85"/>
        <v>-19855.520000000077</v>
      </c>
      <c r="Y257" s="1"/>
      <c r="Z257" s="5">
        <f t="shared" si="86"/>
        <v>-5.8749233032649707E-2</v>
      </c>
    </row>
    <row r="258" spans="1:26" s="24" customFormat="1" hidden="1" outlineLevel="2" x14ac:dyDescent="0.25">
      <c r="A258" s="25"/>
      <c r="B258" s="11" t="str">
        <f>CONCATENATE("          ", "6371", " - ", "COMPUTER SOFTWARE MAINTENANCE")</f>
        <v xml:space="preserve">          6371 - COMPUTER SOFTWARE MAINTENANCE</v>
      </c>
      <c r="C258" s="11"/>
      <c r="D258" s="6">
        <v>601</v>
      </c>
      <c r="E258" s="2"/>
      <c r="F258" s="7">
        <f t="shared" si="79"/>
        <v>1.6448326580369307E-4</v>
      </c>
      <c r="G258" s="2"/>
      <c r="H258" s="6">
        <v>601</v>
      </c>
      <c r="I258" s="2"/>
      <c r="J258" s="7">
        <f t="shared" si="80"/>
        <v>1.4681546292505756E-4</v>
      </c>
      <c r="K258" s="2"/>
      <c r="L258" s="6">
        <f t="shared" si="81"/>
        <v>0</v>
      </c>
      <c r="M258" s="2"/>
      <c r="N258" s="7">
        <f t="shared" si="82"/>
        <v>0</v>
      </c>
      <c r="O258" s="11"/>
      <c r="P258" s="6">
        <v>50054.259999999995</v>
      </c>
      <c r="Q258" s="2"/>
      <c r="R258" s="7">
        <f t="shared" si="83"/>
        <v>2.3032834119225513E-3</v>
      </c>
      <c r="S258" s="2"/>
      <c r="T258" s="6">
        <v>77631.59</v>
      </c>
      <c r="U258" s="2"/>
      <c r="V258" s="7">
        <f t="shared" si="84"/>
        <v>3.4612404632717903E-3</v>
      </c>
      <c r="W258" s="2"/>
      <c r="X258" s="6">
        <f t="shared" si="85"/>
        <v>-27577.33</v>
      </c>
      <c r="Y258" s="2"/>
      <c r="Z258" s="7">
        <f t="shared" si="86"/>
        <v>-0.35523335281423457</v>
      </c>
    </row>
    <row r="259" spans="1:26" s="24" customFormat="1" hidden="1" outlineLevel="2" x14ac:dyDescent="0.25">
      <c r="A259" s="25"/>
      <c r="B259" s="11" t="str">
        <f>CONCATENATE("          ", "6372", " - ", "COMPUTER HARDWARE MAINTENANCE")</f>
        <v xml:space="preserve">          6372 - COMPUTER HARDWARE MAINTENANCE</v>
      </c>
      <c r="C259" s="11"/>
      <c r="D259" s="6">
        <v>52.31</v>
      </c>
      <c r="E259" s="2"/>
      <c r="F259" s="7">
        <f t="shared" si="79"/>
        <v>1.4316338825609293E-5</v>
      </c>
      <c r="G259" s="2"/>
      <c r="H259" s="6">
        <v>930.52</v>
      </c>
      <c r="I259" s="2"/>
      <c r="J259" s="7">
        <f t="shared" si="80"/>
        <v>2.273123536789094E-4</v>
      </c>
      <c r="K259" s="2"/>
      <c r="L259" s="6">
        <f t="shared" si="81"/>
        <v>-878.21</v>
      </c>
      <c r="M259" s="2"/>
      <c r="N259" s="7">
        <f t="shared" si="82"/>
        <v>-0.9437841207067017</v>
      </c>
      <c r="O259" s="11"/>
      <c r="P259" s="6">
        <v>52.31</v>
      </c>
      <c r="Q259" s="2"/>
      <c r="R259" s="7">
        <f t="shared" si="83"/>
        <v>2.4070829391478105E-6</v>
      </c>
      <c r="S259" s="2"/>
      <c r="T259" s="6">
        <v>930.52</v>
      </c>
      <c r="U259" s="2"/>
      <c r="V259" s="7">
        <f t="shared" si="84"/>
        <v>4.1487665986020209E-5</v>
      </c>
      <c r="W259" s="2"/>
      <c r="X259" s="6">
        <f t="shared" si="85"/>
        <v>-878.21</v>
      </c>
      <c r="Y259" s="2"/>
      <c r="Z259" s="7">
        <f t="shared" si="86"/>
        <v>-0.9437841207067017</v>
      </c>
    </row>
    <row r="260" spans="1:26" s="24" customFormat="1" hidden="1" outlineLevel="2" x14ac:dyDescent="0.25">
      <c r="A260" s="25"/>
      <c r="B260" s="11" t="str">
        <f>CONCATENATE("          ", "6373", " - ", "MAINTENANCE CONTRACTS")</f>
        <v xml:space="preserve">          6373 - MAINTENANCE CONTRACTS</v>
      </c>
      <c r="C260" s="11"/>
      <c r="D260" s="6">
        <v>19640.11</v>
      </c>
      <c r="E260" s="2"/>
      <c r="F260" s="7">
        <f t="shared" si="79"/>
        <v>5.375157127360683E-3</v>
      </c>
      <c r="G260" s="2"/>
      <c r="H260" s="6">
        <v>15860.66</v>
      </c>
      <c r="I260" s="2"/>
      <c r="J260" s="7">
        <f t="shared" si="80"/>
        <v>3.8745260236222019E-3</v>
      </c>
      <c r="K260" s="2"/>
      <c r="L260" s="6">
        <f t="shared" si="81"/>
        <v>3779.4500000000007</v>
      </c>
      <c r="M260" s="2"/>
      <c r="N260" s="7">
        <f t="shared" si="82"/>
        <v>0.23829084035594994</v>
      </c>
      <c r="O260" s="11"/>
      <c r="P260" s="6">
        <v>118724.55999999998</v>
      </c>
      <c r="Q260" s="2"/>
      <c r="R260" s="7">
        <f t="shared" si="83"/>
        <v>5.4631975307556967E-3</v>
      </c>
      <c r="S260" s="2"/>
      <c r="T260" s="6">
        <v>137533.1</v>
      </c>
      <c r="U260" s="2"/>
      <c r="V260" s="7">
        <f t="shared" si="84"/>
        <v>6.1319770825150628E-3</v>
      </c>
      <c r="W260" s="2"/>
      <c r="X260" s="6">
        <f t="shared" si="85"/>
        <v>-18808.540000000023</v>
      </c>
      <c r="Y260" s="2"/>
      <c r="Z260" s="7">
        <f t="shared" si="86"/>
        <v>-0.13675646080834375</v>
      </c>
    </row>
    <row r="261" spans="1:26" s="24" customFormat="1" hidden="1" outlineLevel="2" x14ac:dyDescent="0.25">
      <c r="A261" s="25"/>
      <c r="B261" s="11" t="str">
        <f>CONCATENATE("          ", "6375", " - ", "OUTSIDE REPAIRS &amp; MAINTENANCE")</f>
        <v xml:space="preserve">          6375 - OUTSIDE REPAIRS &amp; MAINTENANCE</v>
      </c>
      <c r="C261" s="11"/>
      <c r="D261" s="6">
        <v>32073.859999999997</v>
      </c>
      <c r="E261" s="2"/>
      <c r="F261" s="7">
        <f t="shared" si="79"/>
        <v>8.7780586351588006E-3</v>
      </c>
      <c r="G261" s="2"/>
      <c r="H261" s="6">
        <v>14119.21</v>
      </c>
      <c r="I261" s="2"/>
      <c r="J261" s="7">
        <f t="shared" si="80"/>
        <v>3.4491153948188048E-3</v>
      </c>
      <c r="K261" s="2"/>
      <c r="L261" s="6">
        <f t="shared" si="81"/>
        <v>17954.649999999998</v>
      </c>
      <c r="M261" s="2"/>
      <c r="N261" s="7">
        <f t="shared" si="82"/>
        <v>1.2716469264215207</v>
      </c>
      <c r="O261" s="11"/>
      <c r="P261" s="6">
        <v>149284.06</v>
      </c>
      <c r="Q261" s="2"/>
      <c r="R261" s="7">
        <f t="shared" si="83"/>
        <v>6.8694152917743844E-3</v>
      </c>
      <c r="S261" s="2"/>
      <c r="T261" s="6">
        <v>121875.5</v>
      </c>
      <c r="U261" s="2"/>
      <c r="V261" s="7">
        <f t="shared" si="84"/>
        <v>5.4338757209723663E-3</v>
      </c>
      <c r="W261" s="2"/>
      <c r="X261" s="6">
        <f t="shared" si="85"/>
        <v>27408.559999999998</v>
      </c>
      <c r="Y261" s="2"/>
      <c r="Z261" s="7">
        <f t="shared" si="86"/>
        <v>0.22488982609302113</v>
      </c>
    </row>
    <row r="262" spans="1:26" s="26" customFormat="1" outlineLevel="1" collapsed="1" x14ac:dyDescent="0.25">
      <c r="A262" s="27"/>
      <c r="B262" s="13" t="str">
        <f>CONCATENATE("     ","Royalty &amp; Commissions                             ")</f>
        <v xml:space="preserve">     Royalty &amp; Commissions                             </v>
      </c>
      <c r="C262" s="13"/>
      <c r="D262" s="1">
        <f>SUM(OSRRefD22_19x_0)</f>
        <v>34451.32</v>
      </c>
      <c r="E262" s="1"/>
      <c r="F262" s="5">
        <f t="shared" ref="F262:F265" si="87">IF(D$12=0,0,D262/D$12)</f>
        <v>9.4287281611449038E-3</v>
      </c>
      <c r="G262" s="1"/>
      <c r="H262" s="1">
        <f>SUM(OSRRefH22_19x_0)</f>
        <v>44531.75</v>
      </c>
      <c r="I262" s="1"/>
      <c r="J262" s="5">
        <f t="shared" ref="J262:J265" si="88">IF(H$12=0,0,H262/H$12)</f>
        <v>1.087845173230105E-2</v>
      </c>
      <c r="K262" s="1"/>
      <c r="L262" s="1">
        <f t="shared" ref="L262:L265" si="89">+D262-H262</f>
        <v>-10080.43</v>
      </c>
      <c r="M262" s="1"/>
      <c r="N262" s="5">
        <f t="shared" ref="N262:N265" si="90">IF(H262=0,0,L262/H262)</f>
        <v>-0.22636500923498404</v>
      </c>
      <c r="O262" s="13"/>
      <c r="P262" s="1">
        <f>SUM(OSRRefP22_19x_0)</f>
        <v>246949.06</v>
      </c>
      <c r="Q262" s="1"/>
      <c r="R262" s="5">
        <f t="shared" ref="R262:R265" si="91">IF(P$12=0,0,P262/P$12)</f>
        <v>1.1363541754245631E-2</v>
      </c>
      <c r="S262" s="1"/>
      <c r="T262" s="1">
        <f>SUM(OSRRefT22_19x_0)</f>
        <v>288537.78000000003</v>
      </c>
      <c r="U262" s="1"/>
      <c r="V262" s="5">
        <f t="shared" ref="V262:V265" si="92">IF(T$12=0,0,T262/T$12)</f>
        <v>1.2864590810501422E-2</v>
      </c>
      <c r="W262" s="1"/>
      <c r="X262" s="1">
        <f t="shared" ref="X262:X265" si="93">+P262-T262</f>
        <v>-41588.72000000003</v>
      </c>
      <c r="Y262" s="1"/>
      <c r="Z262" s="5">
        <f t="shared" ref="Z262:Z265" si="94">IF(T262=0,0,X262/T262)</f>
        <v>-0.14413613357668456</v>
      </c>
    </row>
    <row r="263" spans="1:26" s="24" customFormat="1" hidden="1" outlineLevel="2" x14ac:dyDescent="0.25">
      <c r="A263" s="25"/>
      <c r="B263" s="11" t="str">
        <f>CONCATENATE("          ", "6253", " - ", "ROYALTY DUE ATHLETICS-LRG")</f>
        <v xml:space="preserve">          6253 - ROYALTY DUE ATHLETICS-LRG</v>
      </c>
      <c r="C263" s="11"/>
      <c r="D263" s="6"/>
      <c r="E263" s="2"/>
      <c r="F263" s="7">
        <f t="shared" si="87"/>
        <v>0</v>
      </c>
      <c r="G263" s="2"/>
      <c r="H263" s="6">
        <v>9007.2199999999993</v>
      </c>
      <c r="I263" s="2"/>
      <c r="J263" s="7">
        <f t="shared" si="88"/>
        <v>2.200331404272607E-3</v>
      </c>
      <c r="K263" s="2"/>
      <c r="L263" s="6">
        <f t="shared" si="89"/>
        <v>-9007.2199999999993</v>
      </c>
      <c r="M263" s="2"/>
      <c r="N263" s="7">
        <f t="shared" si="90"/>
        <v>-1</v>
      </c>
      <c r="O263" s="11"/>
      <c r="P263" s="6">
        <v>4366.95</v>
      </c>
      <c r="Q263" s="2"/>
      <c r="R263" s="7">
        <f t="shared" si="91"/>
        <v>2.0094840070945382E-4</v>
      </c>
      <c r="S263" s="2"/>
      <c r="T263" s="6">
        <v>35179.64</v>
      </c>
      <c r="U263" s="2"/>
      <c r="V263" s="7">
        <f t="shared" si="92"/>
        <v>1.5685005736882989E-3</v>
      </c>
      <c r="W263" s="2"/>
      <c r="X263" s="6">
        <f t="shared" si="93"/>
        <v>-30812.69</v>
      </c>
      <c r="Y263" s="2"/>
      <c r="Z263" s="7">
        <f t="shared" si="94"/>
        <v>-0.87586712086877516</v>
      </c>
    </row>
    <row r="264" spans="1:26" s="24" customFormat="1" hidden="1" outlineLevel="2" x14ac:dyDescent="0.25">
      <c r="A264" s="25"/>
      <c r="B264" s="11" t="str">
        <f>CONCATENATE("          ", "6254", " - ", "ROYALTY &amp; COMMISSIONS")</f>
        <v xml:space="preserve">          6254 - ROYALTY &amp; COMMISSIONS</v>
      </c>
      <c r="C264" s="11"/>
      <c r="D264" s="6">
        <v>18402.18</v>
      </c>
      <c r="E264" s="2"/>
      <c r="F264" s="7">
        <f t="shared" si="87"/>
        <v>5.0363571785480947E-3</v>
      </c>
      <c r="G264" s="2"/>
      <c r="H264" s="6">
        <v>21661.41</v>
      </c>
      <c r="I264" s="2"/>
      <c r="J264" s="7">
        <f t="shared" si="88"/>
        <v>5.2915639546746605E-3</v>
      </c>
      <c r="K264" s="2"/>
      <c r="L264" s="6">
        <f t="shared" si="89"/>
        <v>-3259.2299999999996</v>
      </c>
      <c r="M264" s="2"/>
      <c r="N264" s="7">
        <f t="shared" si="90"/>
        <v>-0.1504625045184039</v>
      </c>
      <c r="O264" s="11"/>
      <c r="P264" s="6">
        <v>97327.87</v>
      </c>
      <c r="Q264" s="2"/>
      <c r="R264" s="7">
        <f t="shared" si="91"/>
        <v>4.4786131787535079E-3</v>
      </c>
      <c r="S264" s="2"/>
      <c r="T264" s="6">
        <v>111635.19</v>
      </c>
      <c r="U264" s="2"/>
      <c r="V264" s="7">
        <f t="shared" si="92"/>
        <v>4.9773067478462614E-3</v>
      </c>
      <c r="W264" s="2"/>
      <c r="X264" s="6">
        <f t="shared" si="93"/>
        <v>-14307.320000000007</v>
      </c>
      <c r="Y264" s="2"/>
      <c r="Z264" s="7">
        <f t="shared" si="94"/>
        <v>-0.12816137993763443</v>
      </c>
    </row>
    <row r="265" spans="1:26" s="24" customFormat="1" hidden="1" outlineLevel="2" x14ac:dyDescent="0.25">
      <c r="A265" s="25"/>
      <c r="B265" s="11" t="str">
        <f>CONCATENATE("          ", "6259", " - ", "ROYALTY &amp; COMMISSIONS")</f>
        <v xml:space="preserve">          6259 - ROYALTY &amp; COMMISSIONS</v>
      </c>
      <c r="C265" s="11"/>
      <c r="D265" s="6">
        <v>16049.14</v>
      </c>
      <c r="E265" s="2"/>
      <c r="F265" s="7">
        <f t="shared" si="87"/>
        <v>4.3923709825968099E-3</v>
      </c>
      <c r="G265" s="2"/>
      <c r="H265" s="6">
        <v>13863.12</v>
      </c>
      <c r="I265" s="2"/>
      <c r="J265" s="7">
        <f t="shared" si="88"/>
        <v>3.3865563733537834E-3</v>
      </c>
      <c r="K265" s="2"/>
      <c r="L265" s="6">
        <f t="shared" si="89"/>
        <v>2186.0199999999986</v>
      </c>
      <c r="M265" s="2"/>
      <c r="N265" s="7">
        <f t="shared" si="90"/>
        <v>0.15768600430494711</v>
      </c>
      <c r="O265" s="11"/>
      <c r="P265" s="6">
        <v>145254.24</v>
      </c>
      <c r="Q265" s="2"/>
      <c r="R265" s="7">
        <f t="shared" si="91"/>
        <v>6.6839801747826683E-3</v>
      </c>
      <c r="S265" s="2"/>
      <c r="T265" s="6">
        <v>141722.95000000001</v>
      </c>
      <c r="U265" s="2"/>
      <c r="V265" s="7">
        <f t="shared" si="92"/>
        <v>6.3187834889668606E-3</v>
      </c>
      <c r="W265" s="2"/>
      <c r="X265" s="6">
        <f t="shared" si="93"/>
        <v>3531.289999999979</v>
      </c>
      <c r="Y265" s="2"/>
      <c r="Z265" s="7">
        <f t="shared" si="94"/>
        <v>2.4916853621802106E-2</v>
      </c>
    </row>
    <row r="266" spans="1:26" s="26" customFormat="1" outlineLevel="1" collapsed="1" x14ac:dyDescent="0.25">
      <c r="A266" s="27"/>
      <c r="B266" s="13" t="str">
        <f>CONCATENATE("     ","Services                                          ")</f>
        <v xml:space="preserve">     Services                                          </v>
      </c>
      <c r="C266" s="13"/>
      <c r="D266" s="1">
        <f>SUM(OSRRefD22_20x_0)</f>
        <v>47808.850000000006</v>
      </c>
      <c r="E266" s="1"/>
      <c r="F266" s="5">
        <f t="shared" ref="F266:F271" si="95">IF(D$12=0,0,D266/D$12)</f>
        <v>1.308445221683676E-2</v>
      </c>
      <c r="G266" s="1"/>
      <c r="H266" s="1">
        <f>SUM(OSRRefH22_20x_0)</f>
        <v>44744.02</v>
      </c>
      <c r="I266" s="1"/>
      <c r="J266" s="5">
        <f t="shared" ref="J266:J271" si="96">IF(H$12=0,0,H266/H$12)</f>
        <v>1.0930306172093233E-2</v>
      </c>
      <c r="K266" s="1"/>
      <c r="L266" s="1">
        <f t="shared" ref="L266:L271" si="97">+D266-H266</f>
        <v>3064.830000000009</v>
      </c>
      <c r="M266" s="1"/>
      <c r="N266" s="5">
        <f t="shared" ref="N266:N271" si="98">IF(H266=0,0,L266/H266)</f>
        <v>6.8496974567774843E-2</v>
      </c>
      <c r="O266" s="13"/>
      <c r="P266" s="1">
        <f>SUM(OSRRefP22_20x_0)</f>
        <v>330791.76</v>
      </c>
      <c r="Q266" s="1"/>
      <c r="R266" s="5">
        <f t="shared" ref="R266:R271" si="99">IF(P$12=0,0,P266/P$12)</f>
        <v>1.5221624964761557E-2</v>
      </c>
      <c r="S266" s="1"/>
      <c r="T266" s="1">
        <f>SUM(OSRRefT22_20x_0)</f>
        <v>300866.95</v>
      </c>
      <c r="U266" s="1"/>
      <c r="V266" s="5">
        <f t="shared" ref="V266:V271" si="100">IF(T$12=0,0,T266/T$12)</f>
        <v>1.3414292576014104E-2</v>
      </c>
      <c r="W266" s="1"/>
      <c r="X266" s="1">
        <f t="shared" ref="X266:X271" si="101">+P266-T266</f>
        <v>29924.809999999998</v>
      </c>
      <c r="Y266" s="1"/>
      <c r="Z266" s="5">
        <f t="shared" ref="Z266:Z271" si="102">IF(T266=0,0,X266/T266)</f>
        <v>9.9461938242136588E-2</v>
      </c>
    </row>
    <row r="267" spans="1:26" s="24" customFormat="1" hidden="1" outlineLevel="2" x14ac:dyDescent="0.25">
      <c r="A267" s="25"/>
      <c r="B267" s="11" t="str">
        <f>CONCATENATE("          ", "6282", " - ", "JANITORIAL/EXTERMINATOR EXPENS")</f>
        <v xml:space="preserve">          6282 - JANITORIAL/EXTERMINATOR EXPENS</v>
      </c>
      <c r="C267" s="11"/>
      <c r="D267" s="6">
        <v>1722.29</v>
      </c>
      <c r="E267" s="2"/>
      <c r="F267" s="7">
        <f t="shared" si="95"/>
        <v>4.7136087164898925E-4</v>
      </c>
      <c r="G267" s="2"/>
      <c r="H267" s="6">
        <v>3978.46</v>
      </c>
      <c r="I267" s="2"/>
      <c r="J267" s="7">
        <f t="shared" si="96"/>
        <v>9.718792789165133E-4</v>
      </c>
      <c r="K267" s="2"/>
      <c r="L267" s="6">
        <f t="shared" si="97"/>
        <v>-2256.17</v>
      </c>
      <c r="M267" s="2"/>
      <c r="N267" s="7">
        <f t="shared" si="98"/>
        <v>-0.56709631364899993</v>
      </c>
      <c r="O267" s="11"/>
      <c r="P267" s="6">
        <v>27244.01</v>
      </c>
      <c r="Q267" s="2"/>
      <c r="R267" s="7">
        <f t="shared" si="99"/>
        <v>1.2536530618423309E-3</v>
      </c>
      <c r="S267" s="2"/>
      <c r="T267" s="6">
        <v>22249.75</v>
      </c>
      <c r="U267" s="2"/>
      <c r="V267" s="7">
        <f t="shared" si="100"/>
        <v>9.9201542822556542E-4</v>
      </c>
      <c r="W267" s="2"/>
      <c r="X267" s="6">
        <f t="shared" si="101"/>
        <v>4994.2599999999984</v>
      </c>
      <c r="Y267" s="2"/>
      <c r="Z267" s="7">
        <f t="shared" si="102"/>
        <v>0.22446364565893992</v>
      </c>
    </row>
    <row r="268" spans="1:26" s="24" customFormat="1" hidden="1" outlineLevel="2" x14ac:dyDescent="0.25">
      <c r="A268" s="25"/>
      <c r="B268" s="11" t="str">
        <f>CONCATENATE("          ", "6283", " - ", "PLANT SERVICE")</f>
        <v xml:space="preserve">          6283 - PLANT SERVICE</v>
      </c>
      <c r="C268" s="11"/>
      <c r="D268" s="6"/>
      <c r="E268" s="2"/>
      <c r="F268" s="7">
        <f t="shared" si="95"/>
        <v>0</v>
      </c>
      <c r="G268" s="2"/>
      <c r="H268" s="6">
        <v>349</v>
      </c>
      <c r="I268" s="2"/>
      <c r="J268" s="7">
        <f t="shared" si="96"/>
        <v>8.5255568320873688E-5</v>
      </c>
      <c r="K268" s="2"/>
      <c r="L268" s="6">
        <f t="shared" si="97"/>
        <v>-349</v>
      </c>
      <c r="M268" s="2"/>
      <c r="N268" s="7">
        <f t="shared" si="98"/>
        <v>-1</v>
      </c>
      <c r="O268" s="11"/>
      <c r="P268" s="6">
        <v>1341.1</v>
      </c>
      <c r="Q268" s="2"/>
      <c r="R268" s="7">
        <f t="shared" si="99"/>
        <v>6.1711698139765405E-5</v>
      </c>
      <c r="S268" s="2"/>
      <c r="T268" s="6">
        <v>2565.5</v>
      </c>
      <c r="U268" s="2"/>
      <c r="V268" s="7">
        <f t="shared" si="100"/>
        <v>1.1438400796021026E-4</v>
      </c>
      <c r="W268" s="2"/>
      <c r="X268" s="6">
        <f t="shared" si="101"/>
        <v>-1224.4000000000001</v>
      </c>
      <c r="Y268" s="2"/>
      <c r="Z268" s="7">
        <f t="shared" si="102"/>
        <v>-0.47725589553693243</v>
      </c>
    </row>
    <row r="269" spans="1:26" s="24" customFormat="1" hidden="1" outlineLevel="2" x14ac:dyDescent="0.25">
      <c r="A269" s="25"/>
      <c r="B269" s="11" t="str">
        <f>CONCATENATE("          ", "6284", " - ", "TRASH REMOVAL EXPENSE")</f>
        <v xml:space="preserve">          6284 - TRASH REMOVAL EXPENSE</v>
      </c>
      <c r="C269" s="11"/>
      <c r="D269" s="6">
        <v>5553.82</v>
      </c>
      <c r="E269" s="2"/>
      <c r="F269" s="7">
        <f t="shared" si="95"/>
        <v>1.5199841119565168E-3</v>
      </c>
      <c r="G269" s="2"/>
      <c r="H269" s="6">
        <v>4557.46</v>
      </c>
      <c r="I269" s="2"/>
      <c r="J269" s="7">
        <f t="shared" si="96"/>
        <v>1.1133204653285072E-3</v>
      </c>
      <c r="K269" s="2"/>
      <c r="L269" s="6">
        <f t="shared" si="97"/>
        <v>996.35999999999967</v>
      </c>
      <c r="M269" s="2"/>
      <c r="N269" s="7">
        <f t="shared" si="98"/>
        <v>0.21862177616479347</v>
      </c>
      <c r="O269" s="11"/>
      <c r="P269" s="6">
        <v>30988.739999999998</v>
      </c>
      <c r="Q269" s="2"/>
      <c r="R269" s="7">
        <f t="shared" si="99"/>
        <v>1.4259695538078247E-3</v>
      </c>
      <c r="S269" s="2"/>
      <c r="T269" s="6">
        <v>41979.219999999994</v>
      </c>
      <c r="U269" s="2"/>
      <c r="V269" s="7">
        <f t="shared" si="100"/>
        <v>1.8716630031742026E-3</v>
      </c>
      <c r="W269" s="2"/>
      <c r="X269" s="6">
        <f t="shared" si="101"/>
        <v>-10990.479999999996</v>
      </c>
      <c r="Y269" s="2"/>
      <c r="Z269" s="7">
        <f t="shared" si="102"/>
        <v>-0.26180762767864668</v>
      </c>
    </row>
    <row r="270" spans="1:26" s="24" customFormat="1" hidden="1" outlineLevel="2" x14ac:dyDescent="0.25">
      <c r="A270" s="25"/>
      <c r="B270" s="11" t="str">
        <f>CONCATENATE("          ", "6285", " - ", "JANITORIAL SERVICES")</f>
        <v xml:space="preserve">          6285 - JANITORIAL SERVICES</v>
      </c>
      <c r="C270" s="11"/>
      <c r="D270" s="6">
        <v>32988.080000000002</v>
      </c>
      <c r="E270" s="2"/>
      <c r="F270" s="7">
        <f t="shared" si="95"/>
        <v>9.02826477702744E-3</v>
      </c>
      <c r="G270" s="2"/>
      <c r="H270" s="6">
        <v>29862.400000000001</v>
      </c>
      <c r="I270" s="2"/>
      <c r="J270" s="7">
        <f t="shared" si="96"/>
        <v>7.2949452247142079E-3</v>
      </c>
      <c r="K270" s="2"/>
      <c r="L270" s="6">
        <f t="shared" si="97"/>
        <v>3125.6800000000003</v>
      </c>
      <c r="M270" s="2"/>
      <c r="N270" s="7">
        <f t="shared" si="98"/>
        <v>0.10466941705957994</v>
      </c>
      <c r="O270" s="11"/>
      <c r="P270" s="6">
        <v>211813.22</v>
      </c>
      <c r="Q270" s="2"/>
      <c r="R270" s="7">
        <f t="shared" si="99"/>
        <v>9.7467403584011042E-3</v>
      </c>
      <c r="S270" s="2"/>
      <c r="T270" s="6">
        <v>182057.63</v>
      </c>
      <c r="U270" s="2"/>
      <c r="V270" s="7">
        <f t="shared" si="100"/>
        <v>8.1171239131307797E-3</v>
      </c>
      <c r="W270" s="2"/>
      <c r="X270" s="6">
        <f t="shared" si="101"/>
        <v>29755.589999999997</v>
      </c>
      <c r="Y270" s="2"/>
      <c r="Z270" s="7">
        <f t="shared" si="102"/>
        <v>0.16344049958246734</v>
      </c>
    </row>
    <row r="271" spans="1:26" s="24" customFormat="1" hidden="1" outlineLevel="2" x14ac:dyDescent="0.25">
      <c r="A271" s="25"/>
      <c r="B271" s="11" t="str">
        <f>CONCATENATE("          ", "6286", " - ", "LAUNDRY EXPENSE")</f>
        <v xml:space="preserve">          6286 - LAUNDRY EXPENSE</v>
      </c>
      <c r="C271" s="11"/>
      <c r="D271" s="6">
        <v>7544.66</v>
      </c>
      <c r="E271" s="2"/>
      <c r="F271" s="7">
        <f t="shared" si="95"/>
        <v>2.064842456203812E-3</v>
      </c>
      <c r="G271" s="2"/>
      <c r="H271" s="6">
        <v>5996.7</v>
      </c>
      <c r="I271" s="2"/>
      <c r="J271" s="7">
        <f t="shared" si="96"/>
        <v>1.4649056348131325E-3</v>
      </c>
      <c r="K271" s="2"/>
      <c r="L271" s="6">
        <f t="shared" si="97"/>
        <v>1547.96</v>
      </c>
      <c r="M271" s="2"/>
      <c r="N271" s="7">
        <f t="shared" si="98"/>
        <v>0.2581353077525973</v>
      </c>
      <c r="O271" s="11"/>
      <c r="P271" s="6">
        <v>59404.69</v>
      </c>
      <c r="Q271" s="2"/>
      <c r="R271" s="7">
        <f t="shared" si="99"/>
        <v>2.733550292570532E-3</v>
      </c>
      <c r="S271" s="2"/>
      <c r="T271" s="6">
        <v>52014.85</v>
      </c>
      <c r="U271" s="2"/>
      <c r="V271" s="7">
        <f t="shared" si="100"/>
        <v>2.3191062235233453E-3</v>
      </c>
      <c r="W271" s="2"/>
      <c r="X271" s="6">
        <f t="shared" si="101"/>
        <v>7389.8400000000038</v>
      </c>
      <c r="Y271" s="2"/>
      <c r="Z271" s="7">
        <f t="shared" si="102"/>
        <v>0.14207173528328937</v>
      </c>
    </row>
    <row r="272" spans="1:26" s="26" customFormat="1" outlineLevel="1" collapsed="1" x14ac:dyDescent="0.25">
      <c r="A272" s="27"/>
      <c r="B272" s="13" t="str">
        <f>CONCATENATE("     ","Subscriptions &amp; Dues                              ")</f>
        <v xml:space="preserve">     Subscriptions &amp; Dues                              </v>
      </c>
      <c r="C272" s="13"/>
      <c r="D272" s="1">
        <f>SUM(OSRRefD22_21x_0)</f>
        <v>1920.48</v>
      </c>
      <c r="E272" s="1"/>
      <c r="F272" s="5">
        <f t="shared" ref="F272:F274" si="103">IF(D$12=0,0,D272/D$12)</f>
        <v>5.256020337948028E-4</v>
      </c>
      <c r="G272" s="1"/>
      <c r="H272" s="1">
        <f>SUM(OSRRefH22_21x_0)</f>
        <v>4391.0599999999995</v>
      </c>
      <c r="I272" s="1"/>
      <c r="J272" s="5">
        <f t="shared" ref="J272:J274" si="104">IF(H$12=0,0,H272/H$12)</f>
        <v>1.0726713920660618E-3</v>
      </c>
      <c r="K272" s="1"/>
      <c r="L272" s="1">
        <f t="shared" ref="L272:L274" si="105">+D272-H272</f>
        <v>-2470.5799999999995</v>
      </c>
      <c r="M272" s="1"/>
      <c r="N272" s="5">
        <f t="shared" ref="N272:N274" si="106">IF(H272=0,0,L272/H272)</f>
        <v>-0.56263863395171088</v>
      </c>
      <c r="O272" s="13"/>
      <c r="P272" s="1">
        <f>SUM(OSRRefP22_21x_0)</f>
        <v>6721.24</v>
      </c>
      <c r="Q272" s="1"/>
      <c r="R272" s="5">
        <f t="shared" ref="R272:R274" si="107">IF(P$12=0,0,P272/P$12)</f>
        <v>3.0928277831997376E-4</v>
      </c>
      <c r="S272" s="1"/>
      <c r="T272" s="1">
        <f>SUM(OSRRefT22_21x_0)</f>
        <v>17943.98</v>
      </c>
      <c r="U272" s="1"/>
      <c r="V272" s="5">
        <f t="shared" ref="V272:V274" si="108">IF(T$12=0,0,T272/T$12)</f>
        <v>8.0004067478380567E-4</v>
      </c>
      <c r="W272" s="1"/>
      <c r="X272" s="1">
        <f t="shared" ref="X272:X274" si="109">+P272-T272</f>
        <v>-11222.74</v>
      </c>
      <c r="Y272" s="1"/>
      <c r="Z272" s="5">
        <f t="shared" ref="Z272:Z274" si="110">IF(T272=0,0,X272/T272)</f>
        <v>-0.62543203904596412</v>
      </c>
    </row>
    <row r="273" spans="1:26" s="24" customFormat="1" hidden="1" outlineLevel="2" x14ac:dyDescent="0.25">
      <c r="A273" s="25"/>
      <c r="B273" s="11" t="str">
        <f>CONCATENATE("          ", "6258", " - ", "MEMBERSHIP DUES")</f>
        <v xml:space="preserve">          6258 - MEMBERSHIP DUES</v>
      </c>
      <c r="C273" s="11"/>
      <c r="D273" s="6">
        <v>1214.3</v>
      </c>
      <c r="E273" s="2"/>
      <c r="F273" s="7">
        <f t="shared" si="103"/>
        <v>3.3233282806227035E-4</v>
      </c>
      <c r="G273" s="2"/>
      <c r="H273" s="6">
        <v>506.4</v>
      </c>
      <c r="I273" s="2"/>
      <c r="J273" s="7">
        <f t="shared" si="104"/>
        <v>1.2370607391888375E-4</v>
      </c>
      <c r="K273" s="2"/>
      <c r="L273" s="6">
        <f t="shared" si="105"/>
        <v>707.9</v>
      </c>
      <c r="M273" s="2"/>
      <c r="N273" s="7">
        <f t="shared" si="106"/>
        <v>1.3979067930489733</v>
      </c>
      <c r="O273" s="11"/>
      <c r="P273" s="6">
        <v>1621.7</v>
      </c>
      <c r="Q273" s="2"/>
      <c r="R273" s="7">
        <f t="shared" si="107"/>
        <v>7.4623712529459067E-5</v>
      </c>
      <c r="S273" s="2"/>
      <c r="T273" s="6">
        <v>6094.04</v>
      </c>
      <c r="U273" s="2"/>
      <c r="V273" s="7">
        <f t="shared" si="108"/>
        <v>2.7170560119658537E-4</v>
      </c>
      <c r="W273" s="2"/>
      <c r="X273" s="6">
        <f t="shared" si="109"/>
        <v>-4472.34</v>
      </c>
      <c r="Y273" s="2"/>
      <c r="Z273" s="7">
        <f t="shared" si="110"/>
        <v>-0.73388753601879875</v>
      </c>
    </row>
    <row r="274" spans="1:26" s="24" customFormat="1" hidden="1" outlineLevel="2" x14ac:dyDescent="0.25">
      <c r="A274" s="25"/>
      <c r="B274" s="11" t="str">
        <f>CONCATENATE("          ", "6275", " - ", "SUBSCRIPTIONS")</f>
        <v xml:space="preserve">          6275 - SUBSCRIPTIONS</v>
      </c>
      <c r="C274" s="11"/>
      <c r="D274" s="6">
        <v>706.18</v>
      </c>
      <c r="E274" s="2"/>
      <c r="F274" s="7">
        <f t="shared" si="103"/>
        <v>1.9326920573253239E-4</v>
      </c>
      <c r="G274" s="2"/>
      <c r="H274" s="6">
        <v>3884.66</v>
      </c>
      <c r="I274" s="2"/>
      <c r="J274" s="7">
        <f t="shared" si="104"/>
        <v>9.4896531814717805E-4</v>
      </c>
      <c r="K274" s="2"/>
      <c r="L274" s="6">
        <f t="shared" si="105"/>
        <v>-3178.48</v>
      </c>
      <c r="M274" s="2"/>
      <c r="N274" s="7">
        <f t="shared" si="106"/>
        <v>-0.81821317695757156</v>
      </c>
      <c r="O274" s="11"/>
      <c r="P274" s="6">
        <v>5099.54</v>
      </c>
      <c r="Q274" s="2"/>
      <c r="R274" s="7">
        <f t="shared" si="107"/>
        <v>2.3465906579051471E-4</v>
      </c>
      <c r="S274" s="2"/>
      <c r="T274" s="6">
        <v>11849.94</v>
      </c>
      <c r="U274" s="2"/>
      <c r="V274" s="7">
        <f t="shared" si="108"/>
        <v>5.2833507358722041E-4</v>
      </c>
      <c r="W274" s="2"/>
      <c r="X274" s="6">
        <f t="shared" si="109"/>
        <v>-6750.4000000000005</v>
      </c>
      <c r="Y274" s="2"/>
      <c r="Z274" s="7">
        <f t="shared" si="110"/>
        <v>-0.56965689277751619</v>
      </c>
    </row>
    <row r="275" spans="1:26" s="26" customFormat="1" outlineLevel="1" collapsed="1" x14ac:dyDescent="0.25">
      <c r="A275" s="27"/>
      <c r="B275" s="13" t="str">
        <f>CONCATENATE("     ","Supplies                                          ")</f>
        <v xml:space="preserve">     Supplies                                          </v>
      </c>
      <c r="C275" s="13"/>
      <c r="D275" s="1">
        <f>SUM(OSRRefD22_22x_0)</f>
        <v>45327.42</v>
      </c>
      <c r="E275" s="1"/>
      <c r="F275" s="5">
        <f t="shared" ref="F275:F283" si="111">IF(D$12=0,0,D275/D$12)</f>
        <v>1.2405327906914532E-2</v>
      </c>
      <c r="G275" s="1"/>
      <c r="H275" s="1">
        <f>SUM(OSRRefH22_22x_0)</f>
        <v>51218.000000000007</v>
      </c>
      <c r="I275" s="1"/>
      <c r="J275" s="5">
        <f t="shared" ref="J275:J283" si="112">IF(H$12=0,0,H275/H$12)</f>
        <v>1.2511804293004324E-2</v>
      </c>
      <c r="K275" s="1"/>
      <c r="L275" s="1">
        <f t="shared" ref="L275:L283" si="113">+D275-H275</f>
        <v>-5890.580000000009</v>
      </c>
      <c r="M275" s="1"/>
      <c r="N275" s="5">
        <f t="shared" ref="N275:N283" si="114">IF(H275=0,0,L275/H275)</f>
        <v>-0.11500995743683877</v>
      </c>
      <c r="O275" s="13"/>
      <c r="P275" s="1">
        <f>SUM(OSRRefP22_22x_0)</f>
        <v>406239.97999999992</v>
      </c>
      <c r="Q275" s="1"/>
      <c r="R275" s="5">
        <f t="shared" ref="R275:R283" si="115">IF(P$12=0,0,P275/P$12)</f>
        <v>1.8693430033602514E-2</v>
      </c>
      <c r="S275" s="1"/>
      <c r="T275" s="1">
        <f>SUM(OSRRefT22_22x_0)</f>
        <v>461382.52999999991</v>
      </c>
      <c r="U275" s="1"/>
      <c r="V275" s="5">
        <f t="shared" ref="V275:V283" si="116">IF(T$12=0,0,T275/T$12)</f>
        <v>2.0570954193810928E-2</v>
      </c>
      <c r="W275" s="1"/>
      <c r="X275" s="1">
        <f t="shared" ref="X275:X283" si="117">+P275-T275</f>
        <v>-55142.549999999988</v>
      </c>
      <c r="Y275" s="1"/>
      <c r="Z275" s="5">
        <f t="shared" ref="Z275:Z283" si="118">IF(T275=0,0,X275/T275)</f>
        <v>-0.11951590364724039</v>
      </c>
    </row>
    <row r="276" spans="1:26" s="24" customFormat="1" hidden="1" outlineLevel="2" x14ac:dyDescent="0.25">
      <c r="A276" s="25"/>
      <c r="B276" s="11" t="str">
        <f>CONCATENATE("          ", "6234", " - ", "EXPENDABLE SUPPLIES &amp; EQUIPMEN")</f>
        <v xml:space="preserve">          6234 - EXPENDABLE SUPPLIES &amp; EQUIPMEN</v>
      </c>
      <c r="C276" s="11"/>
      <c r="D276" s="6">
        <v>2346.9899999999998</v>
      </c>
      <c r="E276" s="2"/>
      <c r="F276" s="7">
        <f t="shared" si="111"/>
        <v>6.4233041598770314E-4</v>
      </c>
      <c r="G276" s="2"/>
      <c r="H276" s="6">
        <v>39.630000000000003</v>
      </c>
      <c r="I276" s="2"/>
      <c r="J276" s="7">
        <f t="shared" si="112"/>
        <v>9.6810262823960586E-6</v>
      </c>
      <c r="K276" s="2"/>
      <c r="L276" s="6">
        <f t="shared" si="113"/>
        <v>2307.3599999999997</v>
      </c>
      <c r="M276" s="2"/>
      <c r="N276" s="7">
        <f t="shared" si="114"/>
        <v>58.22255866767599</v>
      </c>
      <c r="O276" s="11"/>
      <c r="P276" s="6">
        <v>17978.190000000002</v>
      </c>
      <c r="Q276" s="2"/>
      <c r="R276" s="7">
        <f t="shared" si="115"/>
        <v>8.2727957227600414E-4</v>
      </c>
      <c r="S276" s="2"/>
      <c r="T276" s="6">
        <v>11462.02</v>
      </c>
      <c r="U276" s="2"/>
      <c r="V276" s="7">
        <f t="shared" si="116"/>
        <v>5.1103948038202661E-4</v>
      </c>
      <c r="W276" s="2"/>
      <c r="X276" s="6">
        <f t="shared" si="117"/>
        <v>6516.1700000000019</v>
      </c>
      <c r="Y276" s="2"/>
      <c r="Z276" s="7">
        <f t="shared" si="118"/>
        <v>0.56850101465535763</v>
      </c>
    </row>
    <row r="277" spans="1:26" s="24" customFormat="1" hidden="1" outlineLevel="2" x14ac:dyDescent="0.25">
      <c r="A277" s="25"/>
      <c r="B277" s="11" t="str">
        <f>CONCATENATE("          ", "6237", " - ", "JANITORIAL SUPPLIES")</f>
        <v xml:space="preserve">          6237 - JANITORIAL SUPPLIES</v>
      </c>
      <c r="C277" s="11"/>
      <c r="D277" s="6">
        <v>13291.59</v>
      </c>
      <c r="E277" s="2"/>
      <c r="F277" s="7">
        <f t="shared" si="111"/>
        <v>3.6376774225020114E-3</v>
      </c>
      <c r="G277" s="2"/>
      <c r="H277" s="6">
        <v>12201.79</v>
      </c>
      <c r="I277" s="2"/>
      <c r="J277" s="7">
        <f t="shared" si="112"/>
        <v>2.9807178824697803E-3</v>
      </c>
      <c r="K277" s="2"/>
      <c r="L277" s="6">
        <f t="shared" si="113"/>
        <v>1089.7999999999993</v>
      </c>
      <c r="M277" s="2"/>
      <c r="N277" s="7">
        <f t="shared" si="114"/>
        <v>8.9314764473081343E-2</v>
      </c>
      <c r="O277" s="11"/>
      <c r="P277" s="6">
        <v>99474.17</v>
      </c>
      <c r="Q277" s="2"/>
      <c r="R277" s="7">
        <f t="shared" si="115"/>
        <v>4.5773767442723939E-3</v>
      </c>
      <c r="S277" s="2"/>
      <c r="T277" s="6">
        <v>107195.5</v>
      </c>
      <c r="U277" s="2"/>
      <c r="V277" s="7">
        <f t="shared" si="116"/>
        <v>4.7793611090620617E-3</v>
      </c>
      <c r="W277" s="2"/>
      <c r="X277" s="6">
        <f t="shared" si="117"/>
        <v>-7721.3300000000017</v>
      </c>
      <c r="Y277" s="2"/>
      <c r="Z277" s="7">
        <f t="shared" si="118"/>
        <v>-7.2030355751873928E-2</v>
      </c>
    </row>
    <row r="278" spans="1:26" s="24" customFormat="1" hidden="1" outlineLevel="2" x14ac:dyDescent="0.25">
      <c r="A278" s="25"/>
      <c r="B278" s="11" t="str">
        <f>CONCATENATE("          ", "6239", " - ", "KITCHEN SUPPLIES")</f>
        <v xml:space="preserve">          6239 - KITCHEN SUPPLIES</v>
      </c>
      <c r="C278" s="11"/>
      <c r="D278" s="6">
        <v>5781.44</v>
      </c>
      <c r="E278" s="2"/>
      <c r="F278" s="7">
        <f t="shared" si="111"/>
        <v>1.5822797541565777E-3</v>
      </c>
      <c r="G278" s="2"/>
      <c r="H278" s="6">
        <v>4861.57</v>
      </c>
      <c r="I278" s="2"/>
      <c r="J278" s="7">
        <f t="shared" si="112"/>
        <v>1.1876100667097703E-3</v>
      </c>
      <c r="K278" s="2"/>
      <c r="L278" s="6">
        <f t="shared" si="113"/>
        <v>919.86999999999989</v>
      </c>
      <c r="M278" s="2"/>
      <c r="N278" s="7">
        <f t="shared" si="114"/>
        <v>0.18921253833638105</v>
      </c>
      <c r="O278" s="11"/>
      <c r="P278" s="6">
        <v>60843.469999999994</v>
      </c>
      <c r="Q278" s="2"/>
      <c r="R278" s="7">
        <f t="shared" si="115"/>
        <v>2.799756807408748E-3</v>
      </c>
      <c r="S278" s="2"/>
      <c r="T278" s="6">
        <v>38062.700000000004</v>
      </c>
      <c r="U278" s="2"/>
      <c r="V278" s="7">
        <f t="shared" si="116"/>
        <v>1.6970431416047926E-3</v>
      </c>
      <c r="W278" s="2"/>
      <c r="X278" s="6">
        <f t="shared" si="117"/>
        <v>22780.76999999999</v>
      </c>
      <c r="Y278" s="2"/>
      <c r="Z278" s="7">
        <f t="shared" si="118"/>
        <v>0.59850641178896891</v>
      </c>
    </row>
    <row r="279" spans="1:26" s="24" customFormat="1" hidden="1" outlineLevel="2" x14ac:dyDescent="0.25">
      <c r="A279" s="25"/>
      <c r="B279" s="11" t="str">
        <f>CONCATENATE("          ", "6241", " - ", "OFFICE EXPENSE")</f>
        <v xml:space="preserve">          6241 - OFFICE EXPENSE</v>
      </c>
      <c r="C279" s="11"/>
      <c r="D279" s="6">
        <v>5040.93</v>
      </c>
      <c r="E279" s="2"/>
      <c r="F279" s="7">
        <f t="shared" si="111"/>
        <v>1.3796150234406167E-3</v>
      </c>
      <c r="G279" s="2"/>
      <c r="H279" s="6">
        <v>10192.969999999999</v>
      </c>
      <c r="I279" s="2"/>
      <c r="J279" s="7">
        <f t="shared" si="112"/>
        <v>2.4899926940619363E-3</v>
      </c>
      <c r="K279" s="2"/>
      <c r="L279" s="6">
        <f t="shared" si="113"/>
        <v>-5152.0399999999991</v>
      </c>
      <c r="M279" s="2"/>
      <c r="N279" s="7">
        <f t="shared" si="114"/>
        <v>-0.50545032507698928</v>
      </c>
      <c r="O279" s="11"/>
      <c r="P279" s="6">
        <v>84370.4</v>
      </c>
      <c r="Q279" s="2"/>
      <c r="R279" s="7">
        <f t="shared" si="115"/>
        <v>3.8823657122744482E-3</v>
      </c>
      <c r="S279" s="2"/>
      <c r="T279" s="6">
        <v>100916.83</v>
      </c>
      <c r="U279" s="2"/>
      <c r="V279" s="7">
        <f t="shared" si="116"/>
        <v>4.4994236936422476E-3</v>
      </c>
      <c r="W279" s="2"/>
      <c r="X279" s="6">
        <f t="shared" si="117"/>
        <v>-16546.430000000008</v>
      </c>
      <c r="Y279" s="2"/>
      <c r="Z279" s="7">
        <f t="shared" si="118"/>
        <v>-0.16396105585163553</v>
      </c>
    </row>
    <row r="280" spans="1:26" s="24" customFormat="1" hidden="1" outlineLevel="2" x14ac:dyDescent="0.25">
      <c r="A280" s="25"/>
      <c r="B280" s="11" t="str">
        <f>CONCATENATE("          ", "6243", " - ", "PAPER SUPPLIES")</f>
        <v xml:space="preserve">          6243 - PAPER SUPPLIES</v>
      </c>
      <c r="C280" s="11"/>
      <c r="D280" s="6">
        <v>12048.35</v>
      </c>
      <c r="E280" s="2"/>
      <c r="F280" s="7">
        <f t="shared" si="111"/>
        <v>3.2974242188784117E-3</v>
      </c>
      <c r="G280" s="2"/>
      <c r="H280" s="6">
        <v>12689.37</v>
      </c>
      <c r="I280" s="2"/>
      <c r="J280" s="7">
        <f t="shared" si="112"/>
        <v>3.0998265071170345E-3</v>
      </c>
      <c r="K280" s="2"/>
      <c r="L280" s="6">
        <f t="shared" si="113"/>
        <v>-641.02000000000044</v>
      </c>
      <c r="M280" s="2"/>
      <c r="N280" s="7">
        <f t="shared" si="114"/>
        <v>-5.0516298287464262E-2</v>
      </c>
      <c r="O280" s="11"/>
      <c r="P280" s="6">
        <v>81638.67</v>
      </c>
      <c r="Q280" s="2"/>
      <c r="R280" s="7">
        <f t="shared" si="115"/>
        <v>3.756663156790636E-3</v>
      </c>
      <c r="S280" s="2"/>
      <c r="T280" s="6">
        <v>103997.79999999999</v>
      </c>
      <c r="U280" s="2"/>
      <c r="V280" s="7">
        <f t="shared" si="116"/>
        <v>4.6367901707442417E-3</v>
      </c>
      <c r="W280" s="2"/>
      <c r="X280" s="6">
        <f t="shared" si="117"/>
        <v>-22359.12999999999</v>
      </c>
      <c r="Y280" s="2"/>
      <c r="Z280" s="7">
        <f t="shared" si="118"/>
        <v>-0.21499618261155518</v>
      </c>
    </row>
    <row r="281" spans="1:26" s="24" customFormat="1" hidden="1" outlineLevel="2" x14ac:dyDescent="0.25">
      <c r="A281" s="25"/>
      <c r="B281" s="11" t="str">
        <f>CONCATENATE("          ", "6245", " - ", "PRINTING")</f>
        <v xml:space="preserve">          6245 - PRINTING</v>
      </c>
      <c r="C281" s="11"/>
      <c r="D281" s="6">
        <v>1269.46</v>
      </c>
      <c r="E281" s="2"/>
      <c r="F281" s="7">
        <f t="shared" si="111"/>
        <v>3.4742916240791384E-4</v>
      </c>
      <c r="G281" s="2"/>
      <c r="H281" s="6">
        <v>5274.36</v>
      </c>
      <c r="I281" s="2"/>
      <c r="J281" s="7">
        <f t="shared" si="112"/>
        <v>1.2884485940655682E-3</v>
      </c>
      <c r="K281" s="2"/>
      <c r="L281" s="6">
        <f t="shared" si="113"/>
        <v>-4004.8999999999996</v>
      </c>
      <c r="M281" s="2"/>
      <c r="N281" s="7">
        <f t="shared" si="114"/>
        <v>-0.75931487422170652</v>
      </c>
      <c r="O281" s="11"/>
      <c r="P281" s="6">
        <v>8688.18</v>
      </c>
      <c r="Q281" s="2"/>
      <c r="R281" s="7">
        <f t="shared" si="115"/>
        <v>3.9979296215341661E-4</v>
      </c>
      <c r="S281" s="2"/>
      <c r="T281" s="6">
        <v>16827.419999999998</v>
      </c>
      <c r="U281" s="2"/>
      <c r="V281" s="7">
        <f t="shared" si="116"/>
        <v>7.5025832907027912E-4</v>
      </c>
      <c r="W281" s="2"/>
      <c r="X281" s="6">
        <f t="shared" si="117"/>
        <v>-8139.239999999998</v>
      </c>
      <c r="Y281" s="2"/>
      <c r="Z281" s="7">
        <f t="shared" si="118"/>
        <v>-0.48368912168353789</v>
      </c>
    </row>
    <row r="282" spans="1:26" s="24" customFormat="1" hidden="1" outlineLevel="2" x14ac:dyDescent="0.25">
      <c r="A282" s="25"/>
      <c r="B282" s="11" t="str">
        <f>CONCATENATE("          ", "6247", " - ", "STORE SUPPLIES")</f>
        <v xml:space="preserve">          6247 - STORE SUPPLIES</v>
      </c>
      <c r="C282" s="11"/>
      <c r="D282" s="6">
        <v>3210.7</v>
      </c>
      <c r="E282" s="2"/>
      <c r="F282" s="7">
        <f t="shared" si="111"/>
        <v>8.7871284778022853E-4</v>
      </c>
      <c r="G282" s="2"/>
      <c r="H282" s="6">
        <v>5135.3999999999996</v>
      </c>
      <c r="I282" s="2"/>
      <c r="J282" s="7">
        <f t="shared" si="112"/>
        <v>1.2545027093266896E-3</v>
      </c>
      <c r="K282" s="2"/>
      <c r="L282" s="6">
        <f t="shared" si="113"/>
        <v>-1924.6999999999998</v>
      </c>
      <c r="M282" s="2"/>
      <c r="N282" s="7">
        <f t="shared" si="114"/>
        <v>-0.37479066869182537</v>
      </c>
      <c r="O282" s="11"/>
      <c r="P282" s="6">
        <v>51060.54</v>
      </c>
      <c r="Q282" s="2"/>
      <c r="R282" s="7">
        <f t="shared" si="115"/>
        <v>2.3495881226854201E-3</v>
      </c>
      <c r="S282" s="2"/>
      <c r="T282" s="6">
        <v>62703.149999999994</v>
      </c>
      <c r="U282" s="2"/>
      <c r="V282" s="7">
        <f t="shared" si="116"/>
        <v>2.7956490386787203E-3</v>
      </c>
      <c r="W282" s="2"/>
      <c r="X282" s="6">
        <f t="shared" si="117"/>
        <v>-11642.609999999993</v>
      </c>
      <c r="Y282" s="2"/>
      <c r="Z282" s="7">
        <f t="shared" si="118"/>
        <v>-0.18567823147640899</v>
      </c>
    </row>
    <row r="283" spans="1:26" s="24" customFormat="1" hidden="1" outlineLevel="2" x14ac:dyDescent="0.25">
      <c r="A283" s="25"/>
      <c r="B283" s="11" t="str">
        <f>CONCATENATE("          ", "6248", " - ", "UNIFORMS")</f>
        <v xml:space="preserve">          6248 - UNIFORMS</v>
      </c>
      <c r="C283" s="11"/>
      <c r="D283" s="6">
        <v>2337.96</v>
      </c>
      <c r="E283" s="2"/>
      <c r="F283" s="7">
        <f t="shared" si="111"/>
        <v>6.398590617610687E-4</v>
      </c>
      <c r="G283" s="2"/>
      <c r="H283" s="6">
        <v>822.91</v>
      </c>
      <c r="I283" s="2"/>
      <c r="J283" s="7">
        <f t="shared" si="112"/>
        <v>2.010248129711466E-4</v>
      </c>
      <c r="K283" s="2"/>
      <c r="L283" s="6">
        <f t="shared" si="113"/>
        <v>1515.0500000000002</v>
      </c>
      <c r="M283" s="2"/>
      <c r="N283" s="7">
        <f t="shared" si="114"/>
        <v>1.8410883328675072</v>
      </c>
      <c r="O283" s="11"/>
      <c r="P283" s="6">
        <v>2186.36</v>
      </c>
      <c r="Q283" s="2"/>
      <c r="R283" s="7">
        <f t="shared" si="115"/>
        <v>1.0060695574144918E-4</v>
      </c>
      <c r="S283" s="2"/>
      <c r="T283" s="6">
        <v>20217.11</v>
      </c>
      <c r="U283" s="2"/>
      <c r="V283" s="7">
        <f t="shared" si="116"/>
        <v>9.0138923062656261E-4</v>
      </c>
      <c r="W283" s="2"/>
      <c r="X283" s="6">
        <f t="shared" si="117"/>
        <v>-18030.75</v>
      </c>
      <c r="Y283" s="2"/>
      <c r="Z283" s="7">
        <f t="shared" si="118"/>
        <v>-0.89185595765171177</v>
      </c>
    </row>
    <row r="284" spans="1:26" s="26" customFormat="1" outlineLevel="1" collapsed="1" x14ac:dyDescent="0.25">
      <c r="A284" s="27"/>
      <c r="B284" s="13" t="str">
        <f>CONCATENATE("     ","Telephone/Data Lines                              ")</f>
        <v xml:space="preserve">     Telephone/Data Lines                              </v>
      </c>
      <c r="C284" s="13"/>
      <c r="D284" s="1">
        <f>SUM(OSRRefD22_23x_0)</f>
        <v>7077.25</v>
      </c>
      <c r="E284" s="1"/>
      <c r="F284" s="5">
        <f t="shared" ref="F284:F286" si="119">IF(D$12=0,0,D284/D$12)</f>
        <v>1.9369204540918251E-3</v>
      </c>
      <c r="G284" s="1"/>
      <c r="H284" s="1">
        <f>SUM(OSRRefH22_23x_0)</f>
        <v>1072.67</v>
      </c>
      <c r="I284" s="1"/>
      <c r="J284" s="5">
        <f t="shared" ref="J284:J286" si="120">IF(H$12=0,0,H284/H$12)</f>
        <v>2.6203750851218219E-4</v>
      </c>
      <c r="K284" s="1"/>
      <c r="L284" s="1">
        <f t="shared" ref="L284:L286" si="121">+D284-H284</f>
        <v>6004.58</v>
      </c>
      <c r="M284" s="1"/>
      <c r="N284" s="5">
        <f t="shared" ref="N284:N286" si="122">IF(H284=0,0,L284/H284)</f>
        <v>5.5977886954981493</v>
      </c>
      <c r="O284" s="13"/>
      <c r="P284" s="1">
        <f>SUM(OSRRefP22_23x_0)</f>
        <v>42035.839999999997</v>
      </c>
      <c r="Q284" s="1"/>
      <c r="R284" s="5">
        <f t="shared" ref="R284:R286" si="123">IF(P$12=0,0,P284/P$12)</f>
        <v>1.9343099464107644E-3</v>
      </c>
      <c r="S284" s="1"/>
      <c r="T284" s="1">
        <f>SUM(OSRRefT22_23x_0)</f>
        <v>39045.729999999996</v>
      </c>
      <c r="U284" s="1"/>
      <c r="V284" s="5">
        <f t="shared" ref="V284:V286" si="124">IF(T$12=0,0,T284/T$12)</f>
        <v>1.7408719903068484E-3</v>
      </c>
      <c r="W284" s="1"/>
      <c r="X284" s="1">
        <f t="shared" ref="X284:X286" si="125">+P284-T284</f>
        <v>2990.1100000000006</v>
      </c>
      <c r="Y284" s="1"/>
      <c r="Z284" s="5">
        <f t="shared" ref="Z284:Z286" si="126">IF(T284=0,0,X284/T284)</f>
        <v>7.6579692580981351E-2</v>
      </c>
    </row>
    <row r="285" spans="1:26" s="24" customFormat="1" hidden="1" outlineLevel="2" x14ac:dyDescent="0.25">
      <c r="A285" s="25"/>
      <c r="B285" s="11" t="str">
        <f>CONCATENATE("          ", "6303", " - ", "DATA PHONE LINES")</f>
        <v xml:space="preserve">          6303 - DATA PHONE LINES</v>
      </c>
      <c r="C285" s="11"/>
      <c r="D285" s="6">
        <v>295</v>
      </c>
      <c r="E285" s="2"/>
      <c r="F285" s="7">
        <f t="shared" si="119"/>
        <v>8.073637838949993E-5</v>
      </c>
      <c r="G285" s="2"/>
      <c r="H285" s="6">
        <v>885</v>
      </c>
      <c r="I285" s="2"/>
      <c r="J285" s="7">
        <f t="shared" si="120"/>
        <v>2.1619248700278858E-4</v>
      </c>
      <c r="K285" s="2"/>
      <c r="L285" s="6">
        <f t="shared" si="121"/>
        <v>-590</v>
      </c>
      <c r="M285" s="2"/>
      <c r="N285" s="7">
        <f t="shared" si="122"/>
        <v>-0.66666666666666663</v>
      </c>
      <c r="O285" s="11"/>
      <c r="P285" s="6">
        <v>2065</v>
      </c>
      <c r="Q285" s="2"/>
      <c r="R285" s="7">
        <f t="shared" si="123"/>
        <v>9.5022486510040681E-5</v>
      </c>
      <c r="S285" s="2"/>
      <c r="T285" s="6">
        <v>1770</v>
      </c>
      <c r="U285" s="2"/>
      <c r="V285" s="7">
        <f t="shared" si="124"/>
        <v>7.8916271327059888E-5</v>
      </c>
      <c r="W285" s="2"/>
      <c r="X285" s="6">
        <f t="shared" si="125"/>
        <v>295</v>
      </c>
      <c r="Y285" s="2"/>
      <c r="Z285" s="7">
        <f t="shared" si="126"/>
        <v>0.16666666666666666</v>
      </c>
    </row>
    <row r="286" spans="1:26" s="24" customFormat="1" hidden="1" outlineLevel="2" x14ac:dyDescent="0.25">
      <c r="A286" s="25"/>
      <c r="B286" s="11" t="str">
        <f>CONCATENATE("          ", "6309", " - ", "TELEPHONE")</f>
        <v xml:space="preserve">          6309 - TELEPHONE</v>
      </c>
      <c r="C286" s="11"/>
      <c r="D286" s="6">
        <v>6782.25</v>
      </c>
      <c r="E286" s="2"/>
      <c r="F286" s="7">
        <f t="shared" si="119"/>
        <v>1.8561840757023251E-3</v>
      </c>
      <c r="G286" s="2"/>
      <c r="H286" s="6">
        <v>187.67</v>
      </c>
      <c r="I286" s="2"/>
      <c r="J286" s="7">
        <f t="shared" si="120"/>
        <v>4.584502150939359E-5</v>
      </c>
      <c r="K286" s="2"/>
      <c r="L286" s="6">
        <f t="shared" si="121"/>
        <v>6594.58</v>
      </c>
      <c r="M286" s="2"/>
      <c r="N286" s="7">
        <f t="shared" si="122"/>
        <v>35.139233761389676</v>
      </c>
      <c r="O286" s="11"/>
      <c r="P286" s="6">
        <v>39970.839999999997</v>
      </c>
      <c r="Q286" s="2"/>
      <c r="R286" s="7">
        <f t="shared" si="123"/>
        <v>1.8392874599007236E-3</v>
      </c>
      <c r="S286" s="2"/>
      <c r="T286" s="6">
        <v>37275.729999999996</v>
      </c>
      <c r="U286" s="2"/>
      <c r="V286" s="7">
        <f t="shared" si="124"/>
        <v>1.6619557189797886E-3</v>
      </c>
      <c r="W286" s="2"/>
      <c r="X286" s="6">
        <f t="shared" si="125"/>
        <v>2695.1100000000006</v>
      </c>
      <c r="Y286" s="2"/>
      <c r="Z286" s="7">
        <f t="shared" si="126"/>
        <v>7.2302004548267754E-2</v>
      </c>
    </row>
    <row r="287" spans="1:26" s="26" customFormat="1" outlineLevel="1" collapsed="1" x14ac:dyDescent="0.25">
      <c r="A287" s="27"/>
      <c r="B287" s="13" t="str">
        <f>CONCATENATE("     ","Training                                          ")</f>
        <v xml:space="preserve">     Training                                          </v>
      </c>
      <c r="C287" s="13"/>
      <c r="D287" s="1">
        <f>SUM(OSRRefD22_24x_0)</f>
        <v>2329.41</v>
      </c>
      <c r="E287" s="1"/>
      <c r="F287" s="5">
        <f t="shared" ref="F287:F292" si="127">IF(D$12=0,0,D287/D$12)</f>
        <v>6.3751907520096613E-4</v>
      </c>
      <c r="G287" s="1"/>
      <c r="H287" s="1">
        <f>SUM(OSRRefH22_24x_0)</f>
        <v>1786.86</v>
      </c>
      <c r="I287" s="1"/>
      <c r="J287" s="5">
        <f t="shared" ref="J287:J292" si="128">IF(H$12=0,0,H287/H$12)</f>
        <v>4.3650362409695226E-4</v>
      </c>
      <c r="K287" s="1"/>
      <c r="L287" s="1">
        <f t="shared" ref="L287:L292" si="129">+D287-H287</f>
        <v>542.54999999999995</v>
      </c>
      <c r="M287" s="1"/>
      <c r="N287" s="5">
        <f t="shared" ref="N287:N292" si="130">IF(H287=0,0,L287/H287)</f>
        <v>0.30363318894597224</v>
      </c>
      <c r="O287" s="13"/>
      <c r="P287" s="1">
        <f>SUM(OSRRefP22_24x_0)</f>
        <v>18725.72</v>
      </c>
      <c r="Q287" s="1"/>
      <c r="R287" s="5">
        <f t="shared" ref="R287:R292" si="131">IF(P$12=0,0,P287/P$12)</f>
        <v>8.6167771239263884E-4</v>
      </c>
      <c r="S287" s="1"/>
      <c r="T287" s="1">
        <f>SUM(OSRRefT22_24x_0)</f>
        <v>16432.740000000002</v>
      </c>
      <c r="U287" s="1"/>
      <c r="V287" s="5">
        <f t="shared" ref="V287:V292" si="132">IF(T$12=0,0,T287/T$12)</f>
        <v>7.3266133812826574E-4</v>
      </c>
      <c r="W287" s="1"/>
      <c r="X287" s="1">
        <f t="shared" ref="X287:X292" si="133">+P287-T287</f>
        <v>2292.9799999999996</v>
      </c>
      <c r="Y287" s="1"/>
      <c r="Z287" s="5">
        <f t="shared" ref="Z287:Z292" si="134">IF(T287=0,0,X287/T287)</f>
        <v>0.13953728958165221</v>
      </c>
    </row>
    <row r="288" spans="1:26" s="24" customFormat="1" hidden="1" outlineLevel="2" x14ac:dyDescent="0.25">
      <c r="A288" s="25"/>
      <c r="B288" s="11" t="str">
        <f>CONCATENATE("          ", "6376", " - ", "TRAINING")</f>
        <v xml:space="preserve">          6376 - TRAINING</v>
      </c>
      <c r="C288" s="11"/>
      <c r="D288" s="6">
        <v>2329.41</v>
      </c>
      <c r="E288" s="2"/>
      <c r="F288" s="7">
        <f t="shared" si="127"/>
        <v>6.3751907520096613E-4</v>
      </c>
      <c r="G288" s="2"/>
      <c r="H288" s="6">
        <v>1786.86</v>
      </c>
      <c r="I288" s="2"/>
      <c r="J288" s="7">
        <f t="shared" si="128"/>
        <v>4.3650362409695226E-4</v>
      </c>
      <c r="K288" s="2"/>
      <c r="L288" s="6">
        <f t="shared" si="129"/>
        <v>542.54999999999995</v>
      </c>
      <c r="M288" s="2"/>
      <c r="N288" s="7">
        <f t="shared" si="130"/>
        <v>0.30363318894597224</v>
      </c>
      <c r="O288" s="11"/>
      <c r="P288" s="6">
        <v>18725.72</v>
      </c>
      <c r="Q288" s="2"/>
      <c r="R288" s="7">
        <f t="shared" si="131"/>
        <v>8.6167771239263884E-4</v>
      </c>
      <c r="S288" s="2"/>
      <c r="T288" s="6">
        <v>16432.740000000002</v>
      </c>
      <c r="U288" s="2"/>
      <c r="V288" s="7">
        <f t="shared" si="132"/>
        <v>7.3266133812826574E-4</v>
      </c>
      <c r="W288" s="2"/>
      <c r="X288" s="6">
        <f t="shared" si="133"/>
        <v>2292.9799999999996</v>
      </c>
      <c r="Y288" s="2"/>
      <c r="Z288" s="7">
        <f t="shared" si="134"/>
        <v>0.13953728958165221</v>
      </c>
    </row>
    <row r="289" spans="1:26" s="26" customFormat="1" outlineLevel="1" collapsed="1" x14ac:dyDescent="0.25">
      <c r="A289" s="27"/>
      <c r="B289" s="13" t="str">
        <f>CONCATENATE("     ","Travel                                            ")</f>
        <v xml:space="preserve">     Travel                                            </v>
      </c>
      <c r="C289" s="13"/>
      <c r="D289" s="1">
        <f>SUM(OSRRefD22_25x_0)</f>
        <v>-191.55000000000004</v>
      </c>
      <c r="E289" s="1"/>
      <c r="F289" s="5">
        <f t="shared" si="127"/>
        <v>-5.2423909425453268E-5</v>
      </c>
      <c r="G289" s="1"/>
      <c r="H289" s="1">
        <f>SUM(OSRRefH22_25x_0)</f>
        <v>237.17</v>
      </c>
      <c r="I289" s="1"/>
      <c r="J289" s="5">
        <f t="shared" si="128"/>
        <v>5.7937143663786851E-5</v>
      </c>
      <c r="K289" s="1"/>
      <c r="L289" s="1">
        <f t="shared" si="129"/>
        <v>-428.72</v>
      </c>
      <c r="M289" s="1"/>
      <c r="N289" s="5">
        <f t="shared" si="130"/>
        <v>-1.8076485221571028</v>
      </c>
      <c r="O289" s="13"/>
      <c r="P289" s="1">
        <f>SUM(OSRRefP22_25x_0)</f>
        <v>5755.59</v>
      </c>
      <c r="Q289" s="1"/>
      <c r="R289" s="5">
        <f t="shared" si="131"/>
        <v>2.6484768674688865E-4</v>
      </c>
      <c r="S289" s="1"/>
      <c r="T289" s="1">
        <f>SUM(OSRRefT22_25x_0)</f>
        <v>6515.3399999999992</v>
      </c>
      <c r="U289" s="1"/>
      <c r="V289" s="5">
        <f t="shared" si="132"/>
        <v>2.9048945719098662E-4</v>
      </c>
      <c r="W289" s="1"/>
      <c r="X289" s="1">
        <f t="shared" si="133"/>
        <v>-759.74999999999909</v>
      </c>
      <c r="Y289" s="1"/>
      <c r="Z289" s="5">
        <f t="shared" si="134"/>
        <v>-0.11660941716011738</v>
      </c>
    </row>
    <row r="290" spans="1:26" s="24" customFormat="1" hidden="1" outlineLevel="2" x14ac:dyDescent="0.25">
      <c r="A290" s="25"/>
      <c r="B290" s="11" t="str">
        <f>CONCATENATE("          ", "6292", " - ", "TRAVEL/CONFERENCE")</f>
        <v xml:space="preserve">          6292 - TRAVEL/CONFERENCE</v>
      </c>
      <c r="C290" s="11"/>
      <c r="D290" s="6">
        <v>176.42</v>
      </c>
      <c r="E290" s="2"/>
      <c r="F290" s="7">
        <f t="shared" si="127"/>
        <v>4.8283091103307039E-5</v>
      </c>
      <c r="G290" s="2"/>
      <c r="H290" s="6">
        <v>196.04</v>
      </c>
      <c r="I290" s="2"/>
      <c r="J290" s="7">
        <f t="shared" si="128"/>
        <v>4.7889689437318272E-5</v>
      </c>
      <c r="K290" s="2"/>
      <c r="L290" s="6">
        <f t="shared" si="129"/>
        <v>-19.620000000000005</v>
      </c>
      <c r="M290" s="2"/>
      <c r="N290" s="7">
        <f t="shared" si="130"/>
        <v>-0.10008161599673539</v>
      </c>
      <c r="O290" s="11"/>
      <c r="P290" s="6">
        <v>4228.84</v>
      </c>
      <c r="Q290" s="2"/>
      <c r="R290" s="7">
        <f t="shared" si="131"/>
        <v>1.9459316796761281E-4</v>
      </c>
      <c r="S290" s="2"/>
      <c r="T290" s="6">
        <v>3319.09</v>
      </c>
      <c r="U290" s="2"/>
      <c r="V290" s="7">
        <f t="shared" si="132"/>
        <v>1.4798316779600633E-4</v>
      </c>
      <c r="W290" s="2"/>
      <c r="X290" s="6">
        <f t="shared" si="133"/>
        <v>909.75</v>
      </c>
      <c r="Y290" s="2"/>
      <c r="Z290" s="7">
        <f t="shared" si="134"/>
        <v>0.27409621311865601</v>
      </c>
    </row>
    <row r="291" spans="1:26" s="24" customFormat="1" hidden="1" outlineLevel="2" x14ac:dyDescent="0.25">
      <c r="A291" s="25"/>
      <c r="B291" s="11" t="str">
        <f>CONCATENATE("          ", "6294", " - ", "TRAVEL OPERATIONAL")</f>
        <v xml:space="preserve">          6294 - TRAVEL OPERATIONAL</v>
      </c>
      <c r="C291" s="11"/>
      <c r="D291" s="6">
        <v>-506.75</v>
      </c>
      <c r="E291" s="2"/>
      <c r="F291" s="7">
        <f t="shared" si="127"/>
        <v>-1.3868867711484438E-4</v>
      </c>
      <c r="G291" s="2"/>
      <c r="H291" s="6">
        <v>41.13</v>
      </c>
      <c r="I291" s="2"/>
      <c r="J291" s="7">
        <f t="shared" si="128"/>
        <v>1.0047454226468581E-5</v>
      </c>
      <c r="K291" s="2"/>
      <c r="L291" s="6">
        <f t="shared" si="129"/>
        <v>-547.88</v>
      </c>
      <c r="M291" s="2"/>
      <c r="N291" s="7">
        <f t="shared" si="130"/>
        <v>-13.320690493557013</v>
      </c>
      <c r="O291" s="11"/>
      <c r="P291" s="6">
        <v>357.68</v>
      </c>
      <c r="Q291" s="2"/>
      <c r="R291" s="7">
        <f t="shared" si="131"/>
        <v>1.6458907009642303E-5</v>
      </c>
      <c r="S291" s="2"/>
      <c r="T291" s="6">
        <v>2301.89</v>
      </c>
      <c r="U291" s="2"/>
      <c r="V291" s="7">
        <f t="shared" si="132"/>
        <v>1.0263083378816152E-4</v>
      </c>
      <c r="W291" s="2"/>
      <c r="X291" s="6">
        <f t="shared" si="133"/>
        <v>-1944.2099999999998</v>
      </c>
      <c r="Y291" s="2"/>
      <c r="Z291" s="7">
        <f t="shared" si="134"/>
        <v>-0.84461464275008791</v>
      </c>
    </row>
    <row r="292" spans="1:26" s="24" customFormat="1" hidden="1" outlineLevel="2" x14ac:dyDescent="0.25">
      <c r="A292" s="25"/>
      <c r="B292" s="11" t="str">
        <f>CONCATENATE("          ", "6298", " - ", "VEHICLE MILEAGE")</f>
        <v xml:space="preserve">          6298 - VEHICLE MILEAGE</v>
      </c>
      <c r="C292" s="11"/>
      <c r="D292" s="6">
        <v>138.78</v>
      </c>
      <c r="E292" s="2"/>
      <c r="F292" s="7">
        <f t="shared" si="127"/>
        <v>3.7981676586084069E-5</v>
      </c>
      <c r="G292" s="2"/>
      <c r="H292" s="6"/>
      <c r="I292" s="2"/>
      <c r="J292" s="7">
        <f t="shared" si="128"/>
        <v>0</v>
      </c>
      <c r="K292" s="2"/>
      <c r="L292" s="6">
        <f t="shared" si="129"/>
        <v>138.78</v>
      </c>
      <c r="M292" s="2"/>
      <c r="N292" s="7">
        <f t="shared" si="130"/>
        <v>0</v>
      </c>
      <c r="O292" s="11"/>
      <c r="P292" s="6">
        <v>1169.07</v>
      </c>
      <c r="Q292" s="2"/>
      <c r="R292" s="7">
        <f t="shared" si="131"/>
        <v>5.3795611769633537E-5</v>
      </c>
      <c r="S292" s="2"/>
      <c r="T292" s="6">
        <v>894.36</v>
      </c>
      <c r="U292" s="2"/>
      <c r="V292" s="7">
        <f t="shared" si="132"/>
        <v>3.9875455606818806E-5</v>
      </c>
      <c r="W292" s="2"/>
      <c r="X292" s="6">
        <f t="shared" si="133"/>
        <v>274.70999999999992</v>
      </c>
      <c r="Y292" s="2"/>
      <c r="Z292" s="7">
        <f t="shared" si="134"/>
        <v>0.30715819133234928</v>
      </c>
    </row>
    <row r="293" spans="1:26" s="26" customFormat="1" outlineLevel="1" collapsed="1" x14ac:dyDescent="0.25">
      <c r="A293" s="27"/>
      <c r="B293" s="13" t="str">
        <f>CONCATENATE("     ","Utilities                                         ")</f>
        <v xml:space="preserve">     Utilities                                         </v>
      </c>
      <c r="C293" s="13"/>
      <c r="D293" s="1">
        <f>SUM(OSRRefD22_26x_0)</f>
        <v>22986.14</v>
      </c>
      <c r="E293" s="1"/>
      <c r="F293" s="5">
        <f t="shared" ref="F293:F294" si="135">IF(D$12=0,0,D293/D$12)</f>
        <v>6.2909074466237962E-3</v>
      </c>
      <c r="G293" s="1"/>
      <c r="H293" s="1">
        <f>SUM(OSRRefH22_26x_0)</f>
        <v>14835.04</v>
      </c>
      <c r="I293" s="1"/>
      <c r="J293" s="5">
        <f t="shared" ref="J293:J294" si="136">IF(H$12=0,0,H293/H$12)</f>
        <v>3.6239821382890946E-3</v>
      </c>
      <c r="K293" s="1"/>
      <c r="L293" s="1">
        <f t="shared" ref="L293:L294" si="137">+D293-H293</f>
        <v>8151.0999999999985</v>
      </c>
      <c r="M293" s="1"/>
      <c r="N293" s="5">
        <f t="shared" ref="N293:N294" si="138">IF(H293=0,0,L293/H293)</f>
        <v>0.54944914203129869</v>
      </c>
      <c r="O293" s="13"/>
      <c r="P293" s="1">
        <f>SUM(OSRRefP22_26x_0)</f>
        <v>157357.94</v>
      </c>
      <c r="Q293" s="1"/>
      <c r="R293" s="5">
        <f t="shared" ref="R293:R294" si="139">IF(P$12=0,0,P293/P$12)</f>
        <v>7.2409407897810127E-3</v>
      </c>
      <c r="S293" s="1"/>
      <c r="T293" s="1">
        <f>SUM(OSRRefT22_26x_0)</f>
        <v>103861.88</v>
      </c>
      <c r="U293" s="1"/>
      <c r="V293" s="5">
        <f t="shared" ref="V293:V294" si="140">IF(T$12=0,0,T293/T$12)</f>
        <v>4.6307301144737486E-3</v>
      </c>
      <c r="W293" s="1"/>
      <c r="X293" s="1">
        <f t="shared" ref="X293:X294" si="141">+P293-T293</f>
        <v>53496.06</v>
      </c>
      <c r="Y293" s="1"/>
      <c r="Z293" s="5">
        <f t="shared" ref="Z293:Z294" si="142">IF(T293=0,0,X293/T293)</f>
        <v>0.51506924388428166</v>
      </c>
    </row>
    <row r="294" spans="1:26" s="24" customFormat="1" hidden="1" outlineLevel="2" x14ac:dyDescent="0.25">
      <c r="A294" s="25"/>
      <c r="B294" s="11" t="str">
        <f>CONCATENATE("          ", "6274", " - ", "UTILITIES")</f>
        <v xml:space="preserve">          6274 - UTILITIES</v>
      </c>
      <c r="C294" s="11"/>
      <c r="D294" s="6">
        <v>22986.14</v>
      </c>
      <c r="E294" s="2"/>
      <c r="F294" s="7">
        <f t="shared" si="135"/>
        <v>6.2909074466237962E-3</v>
      </c>
      <c r="G294" s="2"/>
      <c r="H294" s="6">
        <v>14835.04</v>
      </c>
      <c r="I294" s="2"/>
      <c r="J294" s="7">
        <f t="shared" si="136"/>
        <v>3.6239821382890946E-3</v>
      </c>
      <c r="K294" s="2"/>
      <c r="L294" s="6">
        <f t="shared" si="137"/>
        <v>8151.0999999999985</v>
      </c>
      <c r="M294" s="2"/>
      <c r="N294" s="7">
        <f t="shared" si="138"/>
        <v>0.54944914203129869</v>
      </c>
      <c r="O294" s="11"/>
      <c r="P294" s="6">
        <v>157357.94</v>
      </c>
      <c r="Q294" s="2"/>
      <c r="R294" s="7">
        <f t="shared" si="139"/>
        <v>7.2409407897810127E-3</v>
      </c>
      <c r="S294" s="2"/>
      <c r="T294" s="6">
        <v>103861.88</v>
      </c>
      <c r="U294" s="2"/>
      <c r="V294" s="7">
        <f t="shared" si="140"/>
        <v>4.6307301144737486E-3</v>
      </c>
      <c r="W294" s="2"/>
      <c r="X294" s="6">
        <f t="shared" si="141"/>
        <v>53496.06</v>
      </c>
      <c r="Y294" s="2"/>
      <c r="Z294" s="7">
        <f t="shared" si="142"/>
        <v>0.51506924388428166</v>
      </c>
    </row>
    <row r="295" spans="1:26" s="59" customFormat="1" x14ac:dyDescent="0.25">
      <c r="A295" s="37"/>
      <c r="B295" s="37"/>
      <c r="C295" s="37"/>
      <c r="D295" s="1"/>
      <c r="E295" s="1"/>
      <c r="F295" s="5"/>
      <c r="G295" s="1"/>
      <c r="H295" s="1"/>
      <c r="I295" s="1"/>
      <c r="J295" s="5"/>
      <c r="K295" s="1"/>
      <c r="L295" s="1"/>
      <c r="M295" s="1"/>
      <c r="N295" s="5"/>
      <c r="O295" s="37"/>
      <c r="P295" s="1"/>
      <c r="Q295" s="1"/>
      <c r="R295" s="5"/>
      <c r="S295" s="1"/>
      <c r="T295" s="1"/>
      <c r="U295" s="1"/>
      <c r="V295" s="5"/>
      <c r="W295" s="1"/>
      <c r="X295" s="1"/>
      <c r="Y295" s="1"/>
      <c r="Z295" s="5"/>
    </row>
    <row r="296" spans="1:26" s="23" customFormat="1" collapsed="1" x14ac:dyDescent="0.25">
      <c r="A296" s="10"/>
      <c r="B296" s="29" t="s">
        <v>0</v>
      </c>
      <c r="C296" s="10"/>
      <c r="D296" s="4">
        <f>SUM(OSRRefD25x_0)</f>
        <v>118231.34000000001</v>
      </c>
      <c r="E296" s="4"/>
      <c r="F296" s="12">
        <f t="shared" ref="F296:F309" si="143">IF(D$12=0,0,D296/D$12)</f>
        <v>3.2357865097415658E-2</v>
      </c>
      <c r="G296" s="4"/>
      <c r="H296" s="4">
        <f>SUM(OSRRefH25x_0)</f>
        <v>100711.89000000001</v>
      </c>
      <c r="I296" s="4"/>
      <c r="J296" s="12">
        <f t="shared" ref="J296:J309" si="144">IF(H$12=0,0,H296/H$12)</f>
        <v>2.4602433864238729E-2</v>
      </c>
      <c r="K296" s="4"/>
      <c r="L296" s="4">
        <f t="shared" ref="L296:L309" si="145">+D296-H296</f>
        <v>17519.449999999997</v>
      </c>
      <c r="M296" s="4"/>
      <c r="N296" s="12">
        <f t="shared" ref="N296:N309" si="146">IF(H296=0,0,L296/H296)</f>
        <v>0.17395612375063157</v>
      </c>
      <c r="O296" s="10"/>
      <c r="P296" s="4">
        <f>SUM(OSRRefP25x_0)</f>
        <v>1077123.2</v>
      </c>
      <c r="Q296" s="4"/>
      <c r="R296" s="12">
        <f t="shared" ref="R296:R309" si="147">IF(P$12=0,0,P296/P$12)</f>
        <v>4.9564612465690966E-2</v>
      </c>
      <c r="S296" s="4"/>
      <c r="T296" s="4">
        <f>SUM(OSRRefT25x_0)</f>
        <v>972083.69</v>
      </c>
      <c r="U296" s="4"/>
      <c r="V296" s="12">
        <f t="shared" ref="V296:V309" si="148">IF(T$12=0,0,T296/T$12)</f>
        <v>4.334080239132744E-2</v>
      </c>
      <c r="W296" s="4"/>
      <c r="X296" s="4">
        <f t="shared" ref="X296:X309" si="149">+P296-T296</f>
        <v>105039.51000000001</v>
      </c>
      <c r="Y296" s="4"/>
      <c r="Z296" s="12">
        <f t="shared" ref="Z296:Z309" si="150">IF(T296=0,0,X296/T296)</f>
        <v>0.10805603579255611</v>
      </c>
    </row>
    <row r="297" spans="1:26" s="24" customFormat="1" hidden="1" outlineLevel="1" x14ac:dyDescent="0.25">
      <c r="A297" s="44"/>
      <c r="B297" s="11" t="str">
        <f>CONCATENATE("          ", "4098", " - ", "TAXABLE SALES-GRAD RENTALS")</f>
        <v xml:space="preserve">          4098 - TAXABLE SALES-GRAD RENTALS</v>
      </c>
      <c r="C297" s="11"/>
      <c r="D297" s="2">
        <f>--320</f>
        <v>320</v>
      </c>
      <c r="E297" s="2"/>
      <c r="F297" s="19">
        <f t="shared" si="143"/>
        <v>8.7578444354711793E-5</v>
      </c>
      <c r="G297" s="2"/>
      <c r="H297" s="2">
        <f>0</f>
        <v>0</v>
      </c>
      <c r="I297" s="2"/>
      <c r="J297" s="19">
        <f t="shared" si="144"/>
        <v>0</v>
      </c>
      <c r="K297" s="2"/>
      <c r="L297" s="2">
        <f t="shared" si="145"/>
        <v>320</v>
      </c>
      <c r="M297" s="2"/>
      <c r="N297" s="19">
        <f t="shared" si="146"/>
        <v>0</v>
      </c>
      <c r="O297" s="11"/>
      <c r="P297" s="2">
        <f>--1946.85</f>
        <v>1946.85</v>
      </c>
      <c r="Q297" s="2"/>
      <c r="R297" s="19">
        <f t="shared" si="147"/>
        <v>8.9585727778243435E-5</v>
      </c>
      <c r="S297" s="2"/>
      <c r="T297" s="2">
        <f>--2269.5</f>
        <v>2269.5</v>
      </c>
      <c r="U297" s="2"/>
      <c r="V297" s="19">
        <f t="shared" si="148"/>
        <v>1.0118671060834035E-4</v>
      </c>
      <c r="W297" s="2"/>
      <c r="X297" s="2">
        <f t="shared" si="149"/>
        <v>-322.65000000000009</v>
      </c>
      <c r="Y297" s="2"/>
      <c r="Z297" s="19">
        <f t="shared" si="150"/>
        <v>-0.14216787838731001</v>
      </c>
    </row>
    <row r="298" spans="1:26" s="24" customFormat="1" hidden="1" outlineLevel="1" x14ac:dyDescent="0.25">
      <c r="A298" s="44"/>
      <c r="B298" s="11" t="str">
        <f>CONCATENATE("          ", "4187", " - ", "NON-TAXABLE SALES-COMPUTER REP")</f>
        <v xml:space="preserve">          4187 - NON-TAXABLE SALES-COMPUTER REP</v>
      </c>
      <c r="C298" s="11"/>
      <c r="D298" s="2">
        <f>--1922.01</f>
        <v>1922.01</v>
      </c>
      <c r="E298" s="2"/>
      <c r="F298" s="19">
        <f t="shared" si="143"/>
        <v>5.2602076823187371E-4</v>
      </c>
      <c r="G298" s="2"/>
      <c r="H298" s="2">
        <f>-1799.01</f>
        <v>-1799.01</v>
      </c>
      <c r="I298" s="2"/>
      <c r="J298" s="19">
        <f t="shared" si="144"/>
        <v>-4.3947169044393974E-4</v>
      </c>
      <c r="K298" s="2"/>
      <c r="L298" s="2">
        <f t="shared" si="145"/>
        <v>3721.02</v>
      </c>
      <c r="M298" s="2"/>
      <c r="N298" s="19">
        <f t="shared" si="146"/>
        <v>-2.0683709373488752</v>
      </c>
      <c r="O298" s="11"/>
      <c r="P298" s="2">
        <f>--15110.93</f>
        <v>15110.93</v>
      </c>
      <c r="Q298" s="2"/>
      <c r="R298" s="19">
        <f t="shared" si="147"/>
        <v>6.9534050463882283E-4</v>
      </c>
      <c r="S298" s="2"/>
      <c r="T298" s="2">
        <f>--3510.74</f>
        <v>3510.74</v>
      </c>
      <c r="U298" s="2"/>
      <c r="V298" s="19">
        <f t="shared" si="148"/>
        <v>1.5652797197670182E-4</v>
      </c>
      <c r="W298" s="2"/>
      <c r="X298" s="2">
        <f t="shared" si="149"/>
        <v>11600.19</v>
      </c>
      <c r="Y298" s="2"/>
      <c r="Z298" s="19">
        <f t="shared" si="150"/>
        <v>3.3042008237579545</v>
      </c>
    </row>
    <row r="299" spans="1:26" s="24" customFormat="1" hidden="1" outlineLevel="1" x14ac:dyDescent="0.25">
      <c r="A299" s="44"/>
      <c r="B299" s="11" t="str">
        <f>CONCATENATE("          ", "4197", " - ", "NON-TAXABLE SALES-RETURNED CHE")</f>
        <v xml:space="preserve">          4197 - NON-TAXABLE SALES-RETURNED CHE</v>
      </c>
      <c r="C299" s="11"/>
      <c r="D299" s="2">
        <f>0</f>
        <v>0</v>
      </c>
      <c r="E299" s="2"/>
      <c r="F299" s="19">
        <f t="shared" si="143"/>
        <v>0</v>
      </c>
      <c r="G299" s="2"/>
      <c r="H299" s="2">
        <f>--75</f>
        <v>75</v>
      </c>
      <c r="I299" s="2"/>
      <c r="J299" s="19">
        <f t="shared" si="144"/>
        <v>1.832139720362615E-5</v>
      </c>
      <c r="K299" s="2"/>
      <c r="L299" s="2">
        <f t="shared" si="145"/>
        <v>-75</v>
      </c>
      <c r="M299" s="2"/>
      <c r="N299" s="19">
        <f t="shared" si="146"/>
        <v>-1</v>
      </c>
      <c r="O299" s="11"/>
      <c r="P299" s="2">
        <f>--30</f>
        <v>30</v>
      </c>
      <c r="Q299" s="2"/>
      <c r="R299" s="19">
        <f t="shared" si="147"/>
        <v>1.3804719589836419E-6</v>
      </c>
      <c r="S299" s="2"/>
      <c r="T299" s="2">
        <f>--335</f>
        <v>335</v>
      </c>
      <c r="U299" s="2"/>
      <c r="V299" s="19">
        <f t="shared" si="148"/>
        <v>1.4936130448906816E-5</v>
      </c>
      <c r="W299" s="2"/>
      <c r="X299" s="2">
        <f t="shared" si="149"/>
        <v>-305</v>
      </c>
      <c r="Y299" s="2"/>
      <c r="Z299" s="19">
        <f t="shared" si="150"/>
        <v>-0.91044776119402981</v>
      </c>
    </row>
    <row r="300" spans="1:26" s="24" customFormat="1" hidden="1" outlineLevel="1" x14ac:dyDescent="0.25">
      <c r="A300" s="44"/>
      <c r="B300" s="11" t="str">
        <f>CONCATENATE("          ", "4198", " - ", "NON-TAXABLE SALES-GRAD RENTALS")</f>
        <v xml:space="preserve">          4198 - NON-TAXABLE SALES-GRAD RENTALS</v>
      </c>
      <c r="C300" s="11"/>
      <c r="D300" s="2">
        <f>--3237.1</f>
        <v>3237.1</v>
      </c>
      <c r="E300" s="2"/>
      <c r="F300" s="19">
        <f t="shared" si="143"/>
        <v>8.859380694394922E-4</v>
      </c>
      <c r="G300" s="2"/>
      <c r="H300" s="2">
        <f>--15</f>
        <v>15</v>
      </c>
      <c r="I300" s="2"/>
      <c r="J300" s="19">
        <f t="shared" si="144"/>
        <v>3.6642794407252302E-6</v>
      </c>
      <c r="K300" s="2"/>
      <c r="L300" s="2">
        <f t="shared" si="145"/>
        <v>3222.1</v>
      </c>
      <c r="M300" s="2"/>
      <c r="N300" s="19">
        <f t="shared" si="146"/>
        <v>214.80666666666667</v>
      </c>
      <c r="O300" s="11"/>
      <c r="P300" s="2">
        <f>--3732.1</f>
        <v>3732.1</v>
      </c>
      <c r="Q300" s="2"/>
      <c r="R300" s="19">
        <f t="shared" si="147"/>
        <v>1.7173531327076166E-4</v>
      </c>
      <c r="S300" s="2"/>
      <c r="T300" s="2">
        <f>--465</f>
        <v>465</v>
      </c>
      <c r="U300" s="2"/>
      <c r="V300" s="19">
        <f t="shared" si="148"/>
        <v>2.0732240772363192E-5</v>
      </c>
      <c r="W300" s="2"/>
      <c r="X300" s="2">
        <f t="shared" si="149"/>
        <v>3267.1</v>
      </c>
      <c r="Y300" s="2"/>
      <c r="Z300" s="19">
        <f t="shared" si="150"/>
        <v>7.0260215053763435</v>
      </c>
    </row>
    <row r="301" spans="1:26" s="24" customFormat="1" hidden="1" outlineLevel="1" x14ac:dyDescent="0.25">
      <c r="A301" s="44"/>
      <c r="B301" s="11" t="str">
        <f>CONCATENATE("          ", "4387", " - ", "SALES RETURN NON TAXABLE-COMPU")</f>
        <v xml:space="preserve">          4387 - SALES RETURN NON TAXABLE-COMPU</v>
      </c>
      <c r="C301" s="11"/>
      <c r="D301" s="2">
        <f t="shared" ref="D301:D302" si="151">0</f>
        <v>0</v>
      </c>
      <c r="E301" s="2"/>
      <c r="F301" s="19">
        <f t="shared" si="143"/>
        <v>0</v>
      </c>
      <c r="G301" s="2"/>
      <c r="H301" s="2">
        <f t="shared" ref="H301:H302" si="152">0</f>
        <v>0</v>
      </c>
      <c r="I301" s="2"/>
      <c r="J301" s="19">
        <f t="shared" si="144"/>
        <v>0</v>
      </c>
      <c r="K301" s="2"/>
      <c r="L301" s="2">
        <f t="shared" si="145"/>
        <v>0</v>
      </c>
      <c r="M301" s="2"/>
      <c r="N301" s="19">
        <f t="shared" si="146"/>
        <v>0</v>
      </c>
      <c r="O301" s="11"/>
      <c r="P301" s="2">
        <f>-7889</f>
        <v>-7889</v>
      </c>
      <c r="Q301" s="2"/>
      <c r="R301" s="19">
        <f t="shared" si="147"/>
        <v>-3.6301810948073172E-4</v>
      </c>
      <c r="S301" s="2"/>
      <c r="T301" s="2">
        <f t="shared" ref="T301:T302" si="153">0</f>
        <v>0</v>
      </c>
      <c r="U301" s="2"/>
      <c r="V301" s="19">
        <f t="shared" si="148"/>
        <v>0</v>
      </c>
      <c r="W301" s="2"/>
      <c r="X301" s="2">
        <f t="shared" si="149"/>
        <v>-7889</v>
      </c>
      <c r="Y301" s="2"/>
      <c r="Z301" s="19">
        <f t="shared" si="150"/>
        <v>0</v>
      </c>
    </row>
    <row r="302" spans="1:26" s="24" customFormat="1" hidden="1" outlineLevel="1" x14ac:dyDescent="0.25">
      <c r="A302" s="44"/>
      <c r="B302" s="11" t="str">
        <f>CONCATENATE("          ", "5087", " - ", "PURCHASES @ COST-COMPUTER REPA")</f>
        <v xml:space="preserve">          5087 - PURCHASES @ COST-COMPUTER REPA</v>
      </c>
      <c r="C302" s="11"/>
      <c r="D302" s="2">
        <f t="shared" si="151"/>
        <v>0</v>
      </c>
      <c r="E302" s="2"/>
      <c r="F302" s="19">
        <f t="shared" si="143"/>
        <v>0</v>
      </c>
      <c r="G302" s="2"/>
      <c r="H302" s="2">
        <f t="shared" si="152"/>
        <v>0</v>
      </c>
      <c r="I302" s="2"/>
      <c r="J302" s="19">
        <f t="shared" si="144"/>
        <v>0</v>
      </c>
      <c r="K302" s="2"/>
      <c r="L302" s="2">
        <f t="shared" si="145"/>
        <v>0</v>
      </c>
      <c r="M302" s="2"/>
      <c r="N302" s="19">
        <f t="shared" si="146"/>
        <v>0</v>
      </c>
      <c r="O302" s="11"/>
      <c r="P302" s="2">
        <f>-56.72</f>
        <v>-56.72</v>
      </c>
      <c r="Q302" s="2"/>
      <c r="R302" s="19">
        <f t="shared" si="147"/>
        <v>-2.6100123171184056E-6</v>
      </c>
      <c r="S302" s="2"/>
      <c r="T302" s="2">
        <f t="shared" si="153"/>
        <v>0</v>
      </c>
      <c r="U302" s="2"/>
      <c r="V302" s="19">
        <f t="shared" si="148"/>
        <v>0</v>
      </c>
      <c r="W302" s="2"/>
      <c r="X302" s="2">
        <f t="shared" si="149"/>
        <v>-56.72</v>
      </c>
      <c r="Y302" s="2"/>
      <c r="Z302" s="19">
        <f t="shared" si="150"/>
        <v>0</v>
      </c>
    </row>
    <row r="303" spans="1:26" s="24" customFormat="1" hidden="1" outlineLevel="1" x14ac:dyDescent="0.25">
      <c r="A303" s="44"/>
      <c r="B303" s="11" t="str">
        <f>CONCATENATE("          ", "9150", " - ", "MISC. INCOME")</f>
        <v xml:space="preserve">          9150 - MISC. INCOME</v>
      </c>
      <c r="C303" s="11"/>
      <c r="D303" s="2">
        <f>--95475.46</f>
        <v>95475.46</v>
      </c>
      <c r="E303" s="2"/>
      <c r="F303" s="19">
        <f t="shared" si="143"/>
        <v>2.6129975815157851E-2</v>
      </c>
      <c r="G303" s="2"/>
      <c r="H303" s="2">
        <f>--67225.96</f>
        <v>67225.960000000006</v>
      </c>
      <c r="I303" s="2"/>
      <c r="J303" s="19">
        <f t="shared" si="144"/>
        <v>1.6422313540734448E-2</v>
      </c>
      <c r="K303" s="2"/>
      <c r="L303" s="2">
        <f t="shared" si="145"/>
        <v>28249.5</v>
      </c>
      <c r="M303" s="2"/>
      <c r="N303" s="19">
        <f t="shared" si="146"/>
        <v>0.42021713040617042</v>
      </c>
      <c r="O303" s="11"/>
      <c r="P303" s="2">
        <f>--539751.19</f>
        <v>539751.18999999994</v>
      </c>
      <c r="Q303" s="2"/>
      <c r="R303" s="19">
        <f t="shared" si="147"/>
        <v>2.4837046087435061E-2</v>
      </c>
      <c r="S303" s="2"/>
      <c r="T303" s="2">
        <f>--647036.64</f>
        <v>647036.64</v>
      </c>
      <c r="U303" s="2"/>
      <c r="V303" s="19">
        <f t="shared" si="148"/>
        <v>2.8848428836604052E-2</v>
      </c>
      <c r="W303" s="2"/>
      <c r="X303" s="2">
        <f t="shared" si="149"/>
        <v>-107285.45000000007</v>
      </c>
      <c r="Y303" s="2"/>
      <c r="Z303" s="19">
        <f t="shared" si="150"/>
        <v>-0.16581047094952778</v>
      </c>
    </row>
    <row r="304" spans="1:26" s="24" customFormat="1" hidden="1" outlineLevel="1" x14ac:dyDescent="0.25">
      <c r="A304" s="44"/>
      <c r="B304" s="11" t="str">
        <f>CONCATENATE("          ", "9151", " - ", "MISC. INCOME")</f>
        <v xml:space="preserve">          9151 - MISC. INCOME</v>
      </c>
      <c r="C304" s="11"/>
      <c r="D304" s="2">
        <f>-1539.13</f>
        <v>-1539.13</v>
      </c>
      <c r="E304" s="2"/>
      <c r="F304" s="19">
        <f t="shared" si="143"/>
        <v>-4.2123315956146113E-4</v>
      </c>
      <c r="G304" s="2"/>
      <c r="H304" s="2">
        <f>--8392.5</f>
        <v>8392.5</v>
      </c>
      <c r="I304" s="2"/>
      <c r="J304" s="19">
        <f t="shared" si="144"/>
        <v>2.0501643470857661E-3</v>
      </c>
      <c r="K304" s="2"/>
      <c r="L304" s="2">
        <f t="shared" si="145"/>
        <v>-9931.630000000001</v>
      </c>
      <c r="M304" s="2"/>
      <c r="N304" s="19">
        <f t="shared" si="146"/>
        <v>-1.183393506106643</v>
      </c>
      <c r="O304" s="11"/>
      <c r="P304" s="2">
        <f>--85953.38</f>
        <v>85953.38</v>
      </c>
      <c r="Q304" s="2"/>
      <c r="R304" s="19">
        <f t="shared" si="147"/>
        <v>3.9552076956621794E-3</v>
      </c>
      <c r="S304" s="2"/>
      <c r="T304" s="2">
        <f>--9042.27</f>
        <v>9042.27</v>
      </c>
      <c r="U304" s="2"/>
      <c r="V304" s="19">
        <f t="shared" si="148"/>
        <v>4.0315380380369147E-4</v>
      </c>
      <c r="W304" s="2"/>
      <c r="X304" s="2">
        <f t="shared" si="149"/>
        <v>76911.11</v>
      </c>
      <c r="Y304" s="2"/>
      <c r="Z304" s="19">
        <f t="shared" si="150"/>
        <v>8.5057303088715557</v>
      </c>
    </row>
    <row r="305" spans="1:26" s="24" customFormat="1" hidden="1" outlineLevel="1" x14ac:dyDescent="0.25">
      <c r="A305" s="44"/>
      <c r="B305" s="11" t="str">
        <f>CONCATENATE("          ", "9152", " - ", "MISC. INCOME")</f>
        <v xml:space="preserve">          9152 - MISC. INCOME</v>
      </c>
      <c r="C305" s="11"/>
      <c r="D305" s="2">
        <f>--469.1</f>
        <v>469.1</v>
      </c>
      <c r="E305" s="2"/>
      <c r="F305" s="19">
        <f t="shared" si="143"/>
        <v>1.2838452577123533E-4</v>
      </c>
      <c r="G305" s="2"/>
      <c r="H305" s="2">
        <f>--6007.5</f>
        <v>6007.5</v>
      </c>
      <c r="I305" s="2"/>
      <c r="J305" s="19">
        <f t="shared" si="144"/>
        <v>1.4675439160104545E-3</v>
      </c>
      <c r="K305" s="2"/>
      <c r="L305" s="2">
        <f t="shared" si="145"/>
        <v>-5538.4</v>
      </c>
      <c r="M305" s="2"/>
      <c r="N305" s="19">
        <f t="shared" si="146"/>
        <v>-0.92191427382438618</v>
      </c>
      <c r="O305" s="11"/>
      <c r="P305" s="2">
        <f>--4699.86</f>
        <v>4699.8599999999997</v>
      </c>
      <c r="Q305" s="2"/>
      <c r="R305" s="19">
        <f t="shared" si="147"/>
        <v>2.1626749803829528E-4</v>
      </c>
      <c r="S305" s="2"/>
      <c r="T305" s="2">
        <f>--9852.58</f>
        <v>9852.58</v>
      </c>
      <c r="U305" s="2"/>
      <c r="V305" s="19">
        <f t="shared" si="148"/>
        <v>4.3928185115907554E-4</v>
      </c>
      <c r="W305" s="2"/>
      <c r="X305" s="2">
        <f t="shared" si="149"/>
        <v>-5152.72</v>
      </c>
      <c r="Y305" s="2"/>
      <c r="Z305" s="19">
        <f t="shared" si="150"/>
        <v>-0.5229817976611203</v>
      </c>
    </row>
    <row r="306" spans="1:26" s="24" customFormat="1" hidden="1" outlineLevel="1" x14ac:dyDescent="0.25">
      <c r="A306" s="44"/>
      <c r="B306" s="11" t="str">
        <f>CONCATENATE("          ", "9153", " - ", "MISC. INCOME")</f>
        <v xml:space="preserve">          9153 - MISC. INCOME</v>
      </c>
      <c r="C306" s="11"/>
      <c r="D306" s="2">
        <f>0</f>
        <v>0</v>
      </c>
      <c r="E306" s="2"/>
      <c r="F306" s="19">
        <f t="shared" si="143"/>
        <v>0</v>
      </c>
      <c r="G306" s="2"/>
      <c r="H306" s="2">
        <f>0</f>
        <v>0</v>
      </c>
      <c r="I306" s="2"/>
      <c r="J306" s="19">
        <f t="shared" si="144"/>
        <v>0</v>
      </c>
      <c r="K306" s="2"/>
      <c r="L306" s="2">
        <f t="shared" si="145"/>
        <v>0</v>
      </c>
      <c r="M306" s="2"/>
      <c r="N306" s="19">
        <f t="shared" si="146"/>
        <v>0</v>
      </c>
      <c r="O306" s="11"/>
      <c r="P306" s="2">
        <f>--450</f>
        <v>450</v>
      </c>
      <c r="Q306" s="2"/>
      <c r="R306" s="19">
        <f t="shared" si="147"/>
        <v>2.0707079384754629E-5</v>
      </c>
      <c r="S306" s="2"/>
      <c r="T306" s="2">
        <f>0</f>
        <v>0</v>
      </c>
      <c r="U306" s="2"/>
      <c r="V306" s="19">
        <f t="shared" si="148"/>
        <v>0</v>
      </c>
      <c r="W306" s="2"/>
      <c r="X306" s="2">
        <f t="shared" si="149"/>
        <v>450</v>
      </c>
      <c r="Y306" s="2"/>
      <c r="Z306" s="19">
        <f t="shared" si="150"/>
        <v>0</v>
      </c>
    </row>
    <row r="307" spans="1:26" s="24" customFormat="1" hidden="1" outlineLevel="1" x14ac:dyDescent="0.25">
      <c r="A307" s="44"/>
      <c r="B307" s="11" t="str">
        <f>CONCATENATE("          ", "9160", " - ", "MISC. INCOME")</f>
        <v xml:space="preserve">          9160 - MISC. INCOME</v>
      </c>
      <c r="C307" s="11"/>
      <c r="D307" s="2">
        <f>--18346.8</f>
        <v>18346.8</v>
      </c>
      <c r="E307" s="2"/>
      <c r="F307" s="19">
        <f t="shared" si="143"/>
        <v>5.0212006340219564E-3</v>
      </c>
      <c r="G307" s="2"/>
      <c r="H307" s="2">
        <f>--11830.38</f>
        <v>11830.38</v>
      </c>
      <c r="I307" s="2"/>
      <c r="J307" s="19">
        <f t="shared" si="144"/>
        <v>2.8899878806644629E-3</v>
      </c>
      <c r="K307" s="2"/>
      <c r="L307" s="2">
        <f t="shared" si="145"/>
        <v>6516.42</v>
      </c>
      <c r="M307" s="2"/>
      <c r="N307" s="19">
        <f t="shared" si="146"/>
        <v>0.55082085275367321</v>
      </c>
      <c r="O307" s="11"/>
      <c r="P307" s="2">
        <f>--144872</f>
        <v>144872</v>
      </c>
      <c r="Q307" s="2"/>
      <c r="R307" s="19">
        <f t="shared" si="147"/>
        <v>6.6663911213959391E-3</v>
      </c>
      <c r="S307" s="2"/>
      <c r="T307" s="2">
        <f>--72676.4</f>
        <v>72676.399999999994</v>
      </c>
      <c r="U307" s="2"/>
      <c r="V307" s="19">
        <f t="shared" si="148"/>
        <v>3.2403110177818841E-3</v>
      </c>
      <c r="W307" s="2"/>
      <c r="X307" s="2">
        <f t="shared" si="149"/>
        <v>72195.600000000006</v>
      </c>
      <c r="Y307" s="2"/>
      <c r="Z307" s="19">
        <f t="shared" si="150"/>
        <v>0.99338437236847188</v>
      </c>
    </row>
    <row r="308" spans="1:26" s="24" customFormat="1" hidden="1" outlineLevel="1" x14ac:dyDescent="0.25">
      <c r="A308" s="44"/>
      <c r="B308" s="11" t="str">
        <f>CONCATENATE("          ", "9163", " - ", "MISC. INCOME")</f>
        <v xml:space="preserve">          9163 - MISC. INCOME</v>
      </c>
      <c r="C308" s="11"/>
      <c r="D308" s="2">
        <f t="shared" ref="D308:D309" si="154">0</f>
        <v>0</v>
      </c>
      <c r="E308" s="2"/>
      <c r="F308" s="19">
        <f t="shared" si="143"/>
        <v>0</v>
      </c>
      <c r="G308" s="2"/>
      <c r="H308" s="2">
        <f>0</f>
        <v>0</v>
      </c>
      <c r="I308" s="2"/>
      <c r="J308" s="19">
        <f t="shared" si="144"/>
        <v>0</v>
      </c>
      <c r="K308" s="2"/>
      <c r="L308" s="2">
        <f t="shared" si="145"/>
        <v>0</v>
      </c>
      <c r="M308" s="2"/>
      <c r="N308" s="19">
        <f t="shared" si="146"/>
        <v>0</v>
      </c>
      <c r="O308" s="11"/>
      <c r="P308" s="2">
        <f>--61106.55</f>
        <v>61106.55</v>
      </c>
      <c r="Q308" s="2"/>
      <c r="R308" s="19">
        <f t="shared" si="147"/>
        <v>2.8118626261743954E-3</v>
      </c>
      <c r="S308" s="2"/>
      <c r="T308" s="2">
        <f>0</f>
        <v>0</v>
      </c>
      <c r="U308" s="2"/>
      <c r="V308" s="19">
        <f t="shared" si="148"/>
        <v>0</v>
      </c>
      <c r="W308" s="2"/>
      <c r="X308" s="2">
        <f t="shared" si="149"/>
        <v>61106.55</v>
      </c>
      <c r="Y308" s="2"/>
      <c r="Z308" s="19">
        <f t="shared" si="150"/>
        <v>0</v>
      </c>
    </row>
    <row r="309" spans="1:26" s="24" customFormat="1" hidden="1" outlineLevel="1" x14ac:dyDescent="0.25">
      <c r="A309" s="44"/>
      <c r="B309" s="11" t="str">
        <f>CONCATENATE("          ", "9165", " - ", "OTHER INCOME")</f>
        <v xml:space="preserve">          9165 - OTHER INCOME</v>
      </c>
      <c r="C309" s="11"/>
      <c r="D309" s="2">
        <f t="shared" si="154"/>
        <v>0</v>
      </c>
      <c r="E309" s="2"/>
      <c r="F309" s="19">
        <f t="shared" si="143"/>
        <v>0</v>
      </c>
      <c r="G309" s="2"/>
      <c r="H309" s="2">
        <f>--8964.56</f>
        <v>8964.56</v>
      </c>
      <c r="I309" s="2"/>
      <c r="J309" s="19">
        <f t="shared" si="144"/>
        <v>2.1899101935431843E-3</v>
      </c>
      <c r="K309" s="2"/>
      <c r="L309" s="2">
        <f t="shared" si="145"/>
        <v>-8964.56</v>
      </c>
      <c r="M309" s="2"/>
      <c r="N309" s="19">
        <f t="shared" si="146"/>
        <v>-1</v>
      </c>
      <c r="O309" s="11"/>
      <c r="P309" s="2">
        <f>--227416.06</f>
        <v>227416.06</v>
      </c>
      <c r="Q309" s="2"/>
      <c r="R309" s="19">
        <f t="shared" si="147"/>
        <v>1.0464716461751381E-2</v>
      </c>
      <c r="S309" s="2"/>
      <c r="T309" s="2">
        <f>--226895.56</f>
        <v>226895.56</v>
      </c>
      <c r="U309" s="2"/>
      <c r="V309" s="19">
        <f t="shared" si="148"/>
        <v>1.0116243828172427E-2</v>
      </c>
      <c r="W309" s="2"/>
      <c r="X309" s="2">
        <f t="shared" si="149"/>
        <v>520.5</v>
      </c>
      <c r="Y309" s="2"/>
      <c r="Z309" s="19">
        <f t="shared" si="150"/>
        <v>2.2940069871794761E-3</v>
      </c>
    </row>
    <row r="310" spans="1:26" x14ac:dyDescent="0.25">
      <c r="A310" s="9"/>
      <c r="B310" s="10"/>
      <c r="C310" s="10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O310" s="10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10"/>
      <c r="B311" s="28" t="s">
        <v>3</v>
      </c>
      <c r="C311" s="28"/>
      <c r="D311" s="21">
        <f>+D198-D200+D296</f>
        <v>479413.84000000212</v>
      </c>
      <c r="E311" s="14"/>
      <c r="F311" s="22">
        <f>IF(D$12=0,0,D311/D$12)</f>
        <v>0.13120724471662151</v>
      </c>
      <c r="G311" s="14"/>
      <c r="H311" s="21">
        <f>+H198-H200+H296</f>
        <v>428279.34000000067</v>
      </c>
      <c r="I311" s="14"/>
      <c r="J311" s="22">
        <f>IF(H$12=0,0,H311/H$12)</f>
        <v>0.10462234536329154</v>
      </c>
      <c r="K311" s="16"/>
      <c r="L311" s="21">
        <f>+D311-H311</f>
        <v>51134.500000001455</v>
      </c>
      <c r="M311" s="16"/>
      <c r="N311" s="22">
        <f>IF(H311=0,0,L311/H311)</f>
        <v>0.11939520594199425</v>
      </c>
      <c r="O311" s="29"/>
      <c r="P311" s="21">
        <f>+P198-P200+P296</f>
        <v>2647207.1999999983</v>
      </c>
      <c r="Q311" s="14"/>
      <c r="R311" s="22">
        <f>IF(P$12=0,0,P311/P$12)</f>
        <v>0.12181317697398664</v>
      </c>
      <c r="S311" s="14"/>
      <c r="T311" s="21">
        <f>+T198-T200+T296</f>
        <v>2969584.6300000013</v>
      </c>
      <c r="U311" s="14"/>
      <c r="V311" s="22">
        <f>IF(T$12=0,0,T311/T$12)</f>
        <v>0.13240030869477223</v>
      </c>
      <c r="W311" s="16"/>
      <c r="X311" s="21">
        <f>+P311-T311</f>
        <v>-322377.43000000296</v>
      </c>
      <c r="Y311" s="16"/>
      <c r="Z311" s="22">
        <f>IF(T311=0,0,X311/T311)</f>
        <v>-0.1085597718762448</v>
      </c>
    </row>
    <row r="312" spans="1:26" x14ac:dyDescent="0.25">
      <c r="A312" s="9"/>
      <c r="B312" s="10"/>
      <c r="C312" s="9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3" customFormat="1" x14ac:dyDescent="0.25">
      <c r="A313" s="51"/>
      <c r="B313" s="10" t="s">
        <v>13</v>
      </c>
      <c r="C313" s="10"/>
      <c r="D313" s="4">
        <v>313763.34000000003</v>
      </c>
      <c r="E313" s="4"/>
      <c r="F313" s="12">
        <f>IF(D$12=0,0,D313/D$12)</f>
        <v>8.5871578789807862E-2</v>
      </c>
      <c r="G313" s="4"/>
      <c r="H313" s="4">
        <v>284355.18</v>
      </c>
      <c r="I313" s="4"/>
      <c r="J313" s="12">
        <f>IF(H$12=0,0,H313/H$12)</f>
        <v>6.9463789329181472E-2</v>
      </c>
      <c r="K313" s="4"/>
      <c r="L313" s="4">
        <f>+D313-H313</f>
        <v>29408.160000000033</v>
      </c>
      <c r="M313" s="4"/>
      <c r="N313" s="12">
        <f>IF(H313=0,0,L313/H313)</f>
        <v>0.103420517959265</v>
      </c>
      <c r="O313" s="10"/>
      <c r="P313" s="4">
        <v>2266308.3199999998</v>
      </c>
      <c r="Q313" s="4"/>
      <c r="R313" s="12">
        <f>IF(P$12=0,0,P313/P$12)</f>
        <v>0.10428583620571087</v>
      </c>
      <c r="S313" s="4"/>
      <c r="T313" s="4">
        <v>2263007.34</v>
      </c>
      <c r="U313" s="4"/>
      <c r="V313" s="12">
        <f>IF(T$12=0,0,T313/T$12)</f>
        <v>0.10089723234947348</v>
      </c>
      <c r="W313" s="4"/>
      <c r="X313" s="4">
        <f>+P313-T313</f>
        <v>3300.9799999999814</v>
      </c>
      <c r="Y313" s="4"/>
      <c r="Z313" s="12">
        <f>IF(T313=0,0,X313/T313)</f>
        <v>1.4586695949470414E-3</v>
      </c>
    </row>
    <row r="314" spans="1:26" x14ac:dyDescent="0.25">
      <c r="A314" s="9"/>
      <c r="B314" s="10"/>
      <c r="C314" s="10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O314" s="10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3" customFormat="1" ht="15.75" thickBot="1" x14ac:dyDescent="0.3">
      <c r="A315" s="10"/>
      <c r="B315" s="28" t="s">
        <v>4</v>
      </c>
      <c r="C315" s="28"/>
      <c r="D315" s="34">
        <f>+D311-D313</f>
        <v>165650.5000000021</v>
      </c>
      <c r="E315" s="14"/>
      <c r="F315" s="31">
        <f>IF(D$12=0,0,D315/D$12)</f>
        <v>4.5335665926813651E-2</v>
      </c>
      <c r="G315" s="14"/>
      <c r="H315" s="34">
        <f>+H311-H313</f>
        <v>143924.16000000067</v>
      </c>
      <c r="I315" s="14"/>
      <c r="J315" s="31">
        <f>IF(H$12=0,0,H315/H$12)</f>
        <v>3.5158556034110063E-2</v>
      </c>
      <c r="K315" s="16"/>
      <c r="L315" s="34">
        <f>D315-H315</f>
        <v>21726.340000001423</v>
      </c>
      <c r="M315" s="16"/>
      <c r="N315" s="31">
        <f>IF(H315=0,0,L315/H315)</f>
        <v>0.1509568650600519</v>
      </c>
      <c r="O315" s="29"/>
      <c r="P315" s="34">
        <f>+P311-P313</f>
        <v>380898.87999999849</v>
      </c>
      <c r="Q315" s="14"/>
      <c r="R315" s="31">
        <f>IF(P$12=0,0,P315/P$12)</f>
        <v>1.7527340768275768E-2</v>
      </c>
      <c r="S315" s="14"/>
      <c r="T315" s="34">
        <f>+T311-T313</f>
        <v>706577.29000000143</v>
      </c>
      <c r="U315" s="14"/>
      <c r="V315" s="31">
        <f>IF(T$12=0,0,T315/T$12)</f>
        <v>3.1503076345298753E-2</v>
      </c>
      <c r="W315" s="16"/>
      <c r="X315" s="34">
        <f>P315-T315</f>
        <v>-325678.41000000294</v>
      </c>
      <c r="Y315" s="16"/>
      <c r="Z315" s="31">
        <f>IF(T315=0,0,X315/T315)</f>
        <v>-0.46092397053973005</v>
      </c>
    </row>
    <row r="316" spans="1:26" ht="15.75" thickTop="1" x14ac:dyDescent="0.25">
      <c r="A316" s="9"/>
      <c r="B316" s="9"/>
      <c r="C316" s="9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3" customFormat="1" x14ac:dyDescent="0.25">
      <c r="A317" s="51"/>
      <c r="B317" s="10" t="s">
        <v>2</v>
      </c>
      <c r="C317" s="10"/>
      <c r="D317" s="4">
        <f>-115087.38</f>
        <v>-115087.38</v>
      </c>
      <c r="E317" s="4"/>
      <c r="F317" s="12">
        <f t="shared" ref="F317:F318" si="155">IF(D$12=0,0,D317/D$12)</f>
        <v>-3.1497417828936156E-2</v>
      </c>
      <c r="G317" s="4"/>
      <c r="H317" s="4">
        <f>--562010.51</f>
        <v>562010.51</v>
      </c>
      <c r="I317" s="4"/>
      <c r="J317" s="12">
        <f t="shared" ref="J317:J318" si="156">IF(H$12=0,0,H317/H$12)</f>
        <v>0.13729090381763343</v>
      </c>
      <c r="K317" s="4"/>
      <c r="L317" s="4">
        <f t="shared" ref="L317:L318" si="157">+D317-H317</f>
        <v>-677097.89</v>
      </c>
      <c r="M317" s="4"/>
      <c r="N317" s="12">
        <f t="shared" ref="N317:N318" si="158">IF(H317=0,0,L317/H317)</f>
        <v>-1.2047779853796685</v>
      </c>
      <c r="O317" s="10"/>
      <c r="P317" s="4">
        <f>--409123.52</f>
        <v>409123.52</v>
      </c>
      <c r="Q317" s="4"/>
      <c r="R317" s="12">
        <f t="shared" ref="R317:R318" si="159">IF(P$12=0,0,P317/P$12)</f>
        <v>1.8826118237356106E-2</v>
      </c>
      <c r="S317" s="4"/>
      <c r="T317" s="4">
        <f>-628794.24</f>
        <v>-628794.24</v>
      </c>
      <c r="U317" s="4"/>
      <c r="V317" s="12">
        <f t="shared" ref="V317:V318" si="160">IF(T$12=0,0,T317/T$12)</f>
        <v>-2.8035082967645432E-2</v>
      </c>
      <c r="W317" s="4"/>
      <c r="X317" s="4">
        <f t="shared" ref="X317:X318" si="161">+P317-T317</f>
        <v>1037917.76</v>
      </c>
      <c r="Y317" s="4"/>
      <c r="Z317" s="12">
        <f t="shared" ref="Z317:Z318" si="162">IF(T317=0,0,X317/T317)</f>
        <v>-1.6506476904114136</v>
      </c>
    </row>
    <row r="318" spans="1:26" s="23" customFormat="1" x14ac:dyDescent="0.25">
      <c r="A318" s="51"/>
      <c r="B318" s="10" t="s">
        <v>1</v>
      </c>
      <c r="C318" s="10"/>
      <c r="D318" s="4">
        <f>--12580.13</f>
        <v>12580.13</v>
      </c>
      <c r="E318" s="4"/>
      <c r="F318" s="12">
        <f t="shared" si="155"/>
        <v>3.4429631724376261E-3</v>
      </c>
      <c r="G318" s="4"/>
      <c r="H318" s="4">
        <f>--16464.35</f>
        <v>16464.349999999999</v>
      </c>
      <c r="I318" s="4"/>
      <c r="J318" s="12">
        <f t="shared" si="156"/>
        <v>4.0219986139936291E-3</v>
      </c>
      <c r="K318" s="4"/>
      <c r="L318" s="4">
        <f t="shared" si="157"/>
        <v>-3884.2199999999993</v>
      </c>
      <c r="M318" s="4"/>
      <c r="N318" s="12">
        <f t="shared" si="158"/>
        <v>-0.23591699641953673</v>
      </c>
      <c r="O318" s="10"/>
      <c r="P318" s="4">
        <f>--171645.07</f>
        <v>171645.07</v>
      </c>
      <c r="Q318" s="4"/>
      <c r="R318" s="12">
        <f t="shared" si="159"/>
        <v>7.8983735344261459E-3</v>
      </c>
      <c r="S318" s="4"/>
      <c r="T318" s="4">
        <f>--344104.27</f>
        <v>344104.27</v>
      </c>
      <c r="U318" s="4"/>
      <c r="V318" s="12">
        <f t="shared" si="160"/>
        <v>1.5342048551480155E-2</v>
      </c>
      <c r="W318" s="4"/>
      <c r="X318" s="4">
        <f t="shared" si="161"/>
        <v>-172459.2</v>
      </c>
      <c r="Y318" s="4"/>
      <c r="Z318" s="12">
        <f t="shared" si="162"/>
        <v>-0.50118296991781008</v>
      </c>
    </row>
    <row r="319" spans="1:26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ht="15.75" thickBot="1" x14ac:dyDescent="0.3">
      <c r="A320" s="10"/>
      <c r="B320" s="28" t="s">
        <v>5</v>
      </c>
      <c r="C320" s="28"/>
      <c r="D320" s="30">
        <f>SUM(D315:D319)</f>
        <v>63143.250000002088</v>
      </c>
      <c r="E320" s="14"/>
      <c r="F320" s="33">
        <f>IF(D$12=0,0,D320/D$12)</f>
        <v>1.7281211270315119E-2</v>
      </c>
      <c r="G320" s="14"/>
      <c r="H320" s="30">
        <f>SUM(H315:H319)</f>
        <v>722399.0200000006</v>
      </c>
      <c r="I320" s="14"/>
      <c r="J320" s="33">
        <f>IF(H$12=0,0,H320/H$12)</f>
        <v>0.17647145846573709</v>
      </c>
      <c r="K320" s="16"/>
      <c r="L320" s="30">
        <f>+D320-H320</f>
        <v>-659255.76999999851</v>
      </c>
      <c r="M320" s="16"/>
      <c r="N320" s="33">
        <f>IF(H320=0,0,L320/H320)</f>
        <v>-0.91259228175586116</v>
      </c>
      <c r="O320" s="29"/>
      <c r="P320" s="30">
        <f>SUM(P315:P319)</f>
        <v>961667.46999999858</v>
      </c>
      <c r="Q320" s="14"/>
      <c r="R320" s="33">
        <f>IF(P$12=0,0,P320/P$12)</f>
        <v>4.4251832540058024E-2</v>
      </c>
      <c r="S320" s="14"/>
      <c r="T320" s="30">
        <f>SUM(T315:T319)</f>
        <v>421887.32000000146</v>
      </c>
      <c r="U320" s="14"/>
      <c r="V320" s="33">
        <f>IF(T$12=0,0,T320/T$12)</f>
        <v>1.8810041929133478E-2</v>
      </c>
      <c r="W320" s="16"/>
      <c r="X320" s="30">
        <f>+P320-T320</f>
        <v>539780.14999999711</v>
      </c>
      <c r="Y320" s="16"/>
      <c r="Z320" s="33">
        <f>IF(T320=0,0,X320/T320)</f>
        <v>1.2794415105910157</v>
      </c>
    </row>
    <row r="321" spans="1:24" ht="15.75" thickTop="1" x14ac:dyDescent="0.25">
      <c r="A321" s="9"/>
      <c r="C321" s="9"/>
      <c r="D321" s="17"/>
      <c r="E321" s="17"/>
      <c r="G321" s="17"/>
      <c r="H321" s="17"/>
      <c r="I321" s="17"/>
      <c r="J321" s="42"/>
      <c r="K321" s="17"/>
      <c r="L321" s="17"/>
      <c r="M321" s="17"/>
      <c r="P321" s="17"/>
      <c r="Q321" s="17"/>
      <c r="R321" s="42"/>
      <c r="S321" s="17"/>
      <c r="T321" s="17"/>
      <c r="U321" s="17"/>
      <c r="V321" s="42"/>
      <c r="W321" s="17"/>
      <c r="X321" s="17"/>
    </row>
    <row r="322" spans="1:24" x14ac:dyDescent="0.25">
      <c r="A322" s="9"/>
      <c r="B322" s="61">
        <v>43879.553126157407</v>
      </c>
      <c r="D322" s="17"/>
      <c r="E322" s="17"/>
      <c r="G322" s="17"/>
      <c r="H322" s="17"/>
      <c r="I322" s="17"/>
      <c r="J322" s="42"/>
      <c r="K322" s="17"/>
      <c r="L322" s="17"/>
      <c r="M322" s="17"/>
      <c r="P322" s="17"/>
      <c r="Q322" s="17"/>
      <c r="R322" s="42"/>
      <c r="S322" s="17"/>
      <c r="T322" s="17"/>
      <c r="U322" s="17"/>
      <c r="V322" s="42"/>
      <c r="W322" s="17"/>
      <c r="X322" s="17"/>
    </row>
    <row r="323" spans="1:24" x14ac:dyDescent="0.25">
      <c r="A323" s="9"/>
      <c r="B323" s="55" t="s">
        <v>313</v>
      </c>
      <c r="D323" s="17"/>
      <c r="E323" s="17"/>
      <c r="G323" s="17"/>
      <c r="H323" s="17"/>
      <c r="I323" s="17"/>
      <c r="J323" s="42"/>
      <c r="K323" s="17"/>
      <c r="L323" s="17"/>
      <c r="M323" s="17"/>
      <c r="P323" s="17"/>
      <c r="Q323" s="17"/>
      <c r="R323" s="42"/>
      <c r="S323" s="17"/>
      <c r="T323" s="17"/>
      <c r="U323" s="17"/>
      <c r="V323" s="42"/>
      <c r="W323" s="17"/>
      <c r="X323" s="17"/>
    </row>
    <row r="324" spans="1:24" x14ac:dyDescent="0.25">
      <c r="A324" s="9"/>
      <c r="B324" s="58"/>
      <c r="D324" s="17"/>
      <c r="E324" s="17"/>
      <c r="G324" s="17"/>
      <c r="H324" s="17"/>
      <c r="I324" s="17"/>
      <c r="J324" s="42"/>
      <c r="K324" s="17"/>
      <c r="L324" s="17"/>
      <c r="M324" s="17"/>
      <c r="P324" s="17"/>
      <c r="Q324" s="17"/>
      <c r="R324" s="42"/>
      <c r="S324" s="17"/>
      <c r="T324" s="17"/>
      <c r="U324" s="17"/>
      <c r="V324" s="42"/>
      <c r="W324" s="17"/>
      <c r="X324" s="17"/>
    </row>
    <row r="325" spans="1:24" x14ac:dyDescent="0.25">
      <c r="D325" s="17"/>
      <c r="E325" s="17"/>
      <c r="G325" s="17"/>
      <c r="H325" s="17"/>
      <c r="I325" s="17"/>
      <c r="J325" s="42"/>
      <c r="K325" s="17"/>
      <c r="L325" s="17"/>
      <c r="M325" s="17"/>
      <c r="P325" s="17"/>
      <c r="Q325" s="17"/>
      <c r="R325" s="42"/>
      <c r="S325" s="17"/>
      <c r="T325" s="17"/>
      <c r="U325" s="17"/>
      <c r="V325" s="42"/>
      <c r="W325" s="17"/>
      <c r="X32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296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296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59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4">
        <f>+D22-D24</f>
        <v>0</v>
      </c>
      <c r="E26" s="14"/>
      <c r="F26" s="31">
        <f>IF(D$12=0,0,D26/D$12)</f>
        <v>0</v>
      </c>
      <c r="G26" s="14"/>
      <c r="H26" s="34">
        <f>+H22-H24</f>
        <v>0</v>
      </c>
      <c r="I26" s="14"/>
      <c r="J26" s="31">
        <f>IF(H$12=0,0,H26/H$12)</f>
        <v>0</v>
      </c>
      <c r="K26" s="16"/>
      <c r="L26" s="34">
        <f>D26-H26</f>
        <v>0</v>
      </c>
      <c r="M26" s="16"/>
      <c r="N26" s="31">
        <f>IF(H26=0,0,L26/H26)</f>
        <v>0</v>
      </c>
      <c r="O26" s="29"/>
      <c r="P26" s="34">
        <f>+P22-P24</f>
        <v>0</v>
      </c>
      <c r="Q26" s="14"/>
      <c r="R26" s="31">
        <f>IF(P$12=0,0,P26/P$12)</f>
        <v>0</v>
      </c>
      <c r="S26" s="14"/>
      <c r="T26" s="34">
        <f>+T22-T24</f>
        <v>0</v>
      </c>
      <c r="U26" s="14"/>
      <c r="V26" s="31">
        <f>IF(T$12=0,0,T26/T$12)</f>
        <v>0</v>
      </c>
      <c r="W26" s="16"/>
      <c r="X26" s="34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-115087.38</f>
        <v>-115087.38</v>
      </c>
      <c r="E28" s="4"/>
      <c r="F28" s="12">
        <f t="shared" ref="F28:F29" si="0">IF(D$12=0,0,D28/D$12)</f>
        <v>0</v>
      </c>
      <c r="G28" s="4"/>
      <c r="H28" s="4">
        <f>--562010.51</f>
        <v>562010.51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-677097.89</v>
      </c>
      <c r="M28" s="4"/>
      <c r="N28" s="12">
        <f t="shared" ref="N28:N29" si="3">IF(H28=0,0,L28/H28)</f>
        <v>-1.2047779853796685</v>
      </c>
      <c r="O28" s="10"/>
      <c r="P28" s="4">
        <f>--409123.52</f>
        <v>409123.52</v>
      </c>
      <c r="Q28" s="4"/>
      <c r="R28" s="12">
        <f t="shared" ref="R28:R29" si="4">IF(P$12=0,0,P28/P$12)</f>
        <v>0</v>
      </c>
      <c r="S28" s="4"/>
      <c r="T28" s="4">
        <f>-628794.24</f>
        <v>-628794.24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1037917.76</v>
      </c>
      <c r="Y28" s="4"/>
      <c r="Z28" s="12">
        <f t="shared" ref="Z28:Z29" si="7">IF(T28=0,0,X28/T28)</f>
        <v>-1.6506476904114136</v>
      </c>
    </row>
    <row r="29" spans="1:26" s="23" customFormat="1" x14ac:dyDescent="0.25">
      <c r="A29" s="51"/>
      <c r="B29" s="10" t="s">
        <v>1</v>
      </c>
      <c r="C29" s="10"/>
      <c r="D29" s="4">
        <f>--12580.13</f>
        <v>12580.13</v>
      </c>
      <c r="E29" s="4"/>
      <c r="F29" s="12">
        <f t="shared" si="0"/>
        <v>0</v>
      </c>
      <c r="G29" s="4"/>
      <c r="H29" s="4">
        <f>--16464.35</f>
        <v>16464.349999999999</v>
      </c>
      <c r="I29" s="4"/>
      <c r="J29" s="12">
        <f t="shared" si="1"/>
        <v>0</v>
      </c>
      <c r="K29" s="4"/>
      <c r="L29" s="4">
        <f t="shared" si="2"/>
        <v>-3884.2199999999993</v>
      </c>
      <c r="M29" s="4"/>
      <c r="N29" s="12">
        <f t="shared" si="3"/>
        <v>-0.23591699641953673</v>
      </c>
      <c r="O29" s="10"/>
      <c r="P29" s="4">
        <f>--171645.07</f>
        <v>171645.07</v>
      </c>
      <c r="Q29" s="4"/>
      <c r="R29" s="12">
        <f t="shared" si="4"/>
        <v>0</v>
      </c>
      <c r="S29" s="4"/>
      <c r="T29" s="4">
        <f>--344104.27</f>
        <v>344104.27</v>
      </c>
      <c r="U29" s="4"/>
      <c r="V29" s="12">
        <f t="shared" si="5"/>
        <v>0</v>
      </c>
      <c r="W29" s="4"/>
      <c r="X29" s="4">
        <f t="shared" si="6"/>
        <v>-172459.2</v>
      </c>
      <c r="Y29" s="4"/>
      <c r="Z29" s="12">
        <f t="shared" si="7"/>
        <v>-0.50118296991781008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SUM(D26:D30)</f>
        <v>-102507.25</v>
      </c>
      <c r="E31" s="14"/>
      <c r="F31" s="33">
        <f>IF(D$12=0,0,D31/D$12)</f>
        <v>0</v>
      </c>
      <c r="G31" s="14"/>
      <c r="H31" s="30">
        <f>SUM(H26:H30)</f>
        <v>578474.86</v>
      </c>
      <c r="I31" s="14"/>
      <c r="J31" s="33">
        <f>IF(H$12=0,0,H31/H$12)</f>
        <v>0</v>
      </c>
      <c r="K31" s="16"/>
      <c r="L31" s="30">
        <f>+D31-H31</f>
        <v>-680982.11</v>
      </c>
      <c r="M31" s="16"/>
      <c r="N31" s="33">
        <f>IF(H31=0,0,L31/H31)</f>
        <v>-1.1772026013369017</v>
      </c>
      <c r="O31" s="29"/>
      <c r="P31" s="30">
        <f>SUM(P26:P30)</f>
        <v>580768.59000000008</v>
      </c>
      <c r="Q31" s="14"/>
      <c r="R31" s="33">
        <f>IF(P$12=0,0,P31/P$12)</f>
        <v>0</v>
      </c>
      <c r="S31" s="14"/>
      <c r="T31" s="30">
        <f>SUM(T26:T30)</f>
        <v>-284689.96999999997</v>
      </c>
      <c r="U31" s="14"/>
      <c r="V31" s="33">
        <f>IF(T$12=0,0,T31/T$12)</f>
        <v>0</v>
      </c>
      <c r="W31" s="16"/>
      <c r="X31" s="30">
        <f>+P31-T31</f>
        <v>865458.56</v>
      </c>
      <c r="Y31" s="16"/>
      <c r="Z31" s="33">
        <f>IF(T31=0,0,X31/T31)</f>
        <v>-3.0400036924377778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43879.55316909722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","100", " - ", "Corporate")</f>
        <v>Department 100 - Corporate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59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1">
        <f>+D16-D18+D20</f>
        <v>0</v>
      </c>
      <c r="E22" s="14"/>
      <c r="F22" s="22">
        <f>IF(D$12=0,0,D22/D$12)</f>
        <v>0</v>
      </c>
      <c r="G22" s="14"/>
      <c r="H22" s="21">
        <f>+H16-H18+H20</f>
        <v>0</v>
      </c>
      <c r="I22" s="14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9"/>
      <c r="P22" s="21">
        <f>+P16-P18+P20</f>
        <v>0</v>
      </c>
      <c r="Q22" s="14"/>
      <c r="R22" s="22">
        <f>IF(P$12=0,0,P22/P$12)</f>
        <v>0</v>
      </c>
      <c r="S22" s="14"/>
      <c r="T22" s="21">
        <f>+T16-T18+T20</f>
        <v>0</v>
      </c>
      <c r="U22" s="14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4">
        <f>+D22-D24</f>
        <v>0</v>
      </c>
      <c r="E26" s="14"/>
      <c r="F26" s="31">
        <f>IF(D$12=0,0,D26/D$12)</f>
        <v>0</v>
      </c>
      <c r="G26" s="14"/>
      <c r="H26" s="34">
        <f>+H22-H24</f>
        <v>0</v>
      </c>
      <c r="I26" s="14"/>
      <c r="J26" s="31">
        <f>IF(H$12=0,0,H26/H$12)</f>
        <v>0</v>
      </c>
      <c r="K26" s="16"/>
      <c r="L26" s="34">
        <f>D26-H26</f>
        <v>0</v>
      </c>
      <c r="M26" s="16"/>
      <c r="N26" s="31">
        <f>IF(H26=0,0,L26/H26)</f>
        <v>0</v>
      </c>
      <c r="O26" s="29"/>
      <c r="P26" s="34">
        <f>+P22-P24</f>
        <v>0</v>
      </c>
      <c r="Q26" s="14"/>
      <c r="R26" s="31">
        <f>IF(P$12=0,0,P26/P$12)</f>
        <v>0</v>
      </c>
      <c r="S26" s="14"/>
      <c r="T26" s="34">
        <f>+T22-T24</f>
        <v>0</v>
      </c>
      <c r="U26" s="14"/>
      <c r="V26" s="31">
        <f>IF(T$12=0,0,T26/T$12)</f>
        <v>0</v>
      </c>
      <c r="W26" s="16"/>
      <c r="X26" s="34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-115087.38</f>
        <v>-115087.38</v>
      </c>
      <c r="E28" s="4"/>
      <c r="F28" s="12">
        <f t="shared" ref="F28:F29" si="0">IF(D$12=0,0,D28/D$12)</f>
        <v>0</v>
      </c>
      <c r="G28" s="4"/>
      <c r="H28" s="4">
        <f>--562010.51</f>
        <v>562010.51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-677097.89</v>
      </c>
      <c r="M28" s="4"/>
      <c r="N28" s="12">
        <f t="shared" ref="N28:N29" si="3">IF(H28=0,0,L28/H28)</f>
        <v>-1.2047779853796685</v>
      </c>
      <c r="O28" s="10"/>
      <c r="P28" s="4">
        <f>--409123.52</f>
        <v>409123.52</v>
      </c>
      <c r="Q28" s="4"/>
      <c r="R28" s="12">
        <f t="shared" ref="R28:R29" si="4">IF(P$12=0,0,P28/P$12)</f>
        <v>0</v>
      </c>
      <c r="S28" s="4"/>
      <c r="T28" s="4">
        <f>-628794.24</f>
        <v>-628794.24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1037917.76</v>
      </c>
      <c r="Y28" s="4"/>
      <c r="Z28" s="12">
        <f t="shared" ref="Z28:Z29" si="7">IF(T28=0,0,X28/T28)</f>
        <v>-1.6506476904114136</v>
      </c>
    </row>
    <row r="29" spans="1:26" s="23" customFormat="1" x14ac:dyDescent="0.25">
      <c r="A29" s="51"/>
      <c r="B29" s="10" t="s">
        <v>1</v>
      </c>
      <c r="C29" s="10"/>
      <c r="D29" s="4">
        <f>--12580.13</f>
        <v>12580.13</v>
      </c>
      <c r="E29" s="4"/>
      <c r="F29" s="12">
        <f t="shared" si="0"/>
        <v>0</v>
      </c>
      <c r="G29" s="4"/>
      <c r="H29" s="4">
        <f>--16464.35</f>
        <v>16464.349999999999</v>
      </c>
      <c r="I29" s="4"/>
      <c r="J29" s="12">
        <f t="shared" si="1"/>
        <v>0</v>
      </c>
      <c r="K29" s="4"/>
      <c r="L29" s="4">
        <f t="shared" si="2"/>
        <v>-3884.2199999999993</v>
      </c>
      <c r="M29" s="4"/>
      <c r="N29" s="12">
        <f t="shared" si="3"/>
        <v>-0.23591699641953673</v>
      </c>
      <c r="O29" s="10"/>
      <c r="P29" s="4">
        <f>--171645.07</f>
        <v>171645.07</v>
      </c>
      <c r="Q29" s="4"/>
      <c r="R29" s="12">
        <f t="shared" si="4"/>
        <v>0</v>
      </c>
      <c r="S29" s="4"/>
      <c r="T29" s="4">
        <f>--344104.27</f>
        <v>344104.27</v>
      </c>
      <c r="U29" s="4"/>
      <c r="V29" s="12">
        <f t="shared" si="5"/>
        <v>0</v>
      </c>
      <c r="W29" s="4"/>
      <c r="X29" s="4">
        <f t="shared" si="6"/>
        <v>-172459.2</v>
      </c>
      <c r="Y29" s="4"/>
      <c r="Z29" s="12">
        <f t="shared" si="7"/>
        <v>-0.50118296991781008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SUM(D26:D30)</f>
        <v>-102507.25</v>
      </c>
      <c r="E31" s="14"/>
      <c r="F31" s="33">
        <f>IF(D$12=0,0,D31/D$12)</f>
        <v>0</v>
      </c>
      <c r="G31" s="14"/>
      <c r="H31" s="30">
        <f>SUM(H26:H30)</f>
        <v>578474.86</v>
      </c>
      <c r="I31" s="14"/>
      <c r="J31" s="33">
        <f>IF(H$12=0,0,H31/H$12)</f>
        <v>0</v>
      </c>
      <c r="K31" s="16"/>
      <c r="L31" s="30">
        <f>+D31-H31</f>
        <v>-680982.11</v>
      </c>
      <c r="M31" s="16"/>
      <c r="N31" s="33">
        <f>IF(H31=0,0,L31/H31)</f>
        <v>-1.1772026013369017</v>
      </c>
      <c r="O31" s="29"/>
      <c r="P31" s="30">
        <f>SUM(P26:P30)</f>
        <v>580768.59000000008</v>
      </c>
      <c r="Q31" s="14"/>
      <c r="R31" s="33">
        <f>IF(P$12=0,0,P31/P$12)</f>
        <v>0</v>
      </c>
      <c r="S31" s="14"/>
      <c r="T31" s="30">
        <f>SUM(T26:T30)</f>
        <v>-284689.96999999997</v>
      </c>
      <c r="U31" s="14"/>
      <c r="V31" s="33">
        <f>IF(T$12=0,0,T31/T$12)</f>
        <v>0</v>
      </c>
      <c r="W31" s="16"/>
      <c r="X31" s="30">
        <f>+P31-T31</f>
        <v>865458.56</v>
      </c>
      <c r="Y31" s="16"/>
      <c r="Z31" s="33">
        <f>IF(T31=0,0,X31/T31)</f>
        <v>-3.0400036924377778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43879.553554016202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313763.34000000003</v>
      </c>
      <c r="E18" s="20"/>
      <c r="F18" s="32">
        <f t="shared" ref="F18:F30" si="0">IF(D$12=0,0,D18/D$12)</f>
        <v>0</v>
      </c>
      <c r="G18" s="20"/>
      <c r="H18" s="20">
        <f>SUM(OSRRefH22x_0)</f>
        <v>303492.59999999998</v>
      </c>
      <c r="I18" s="20"/>
      <c r="J18" s="32">
        <f t="shared" ref="J18:J30" si="1">IF(H$12=0,0,H18/H$12)</f>
        <v>0</v>
      </c>
      <c r="K18" s="4"/>
      <c r="L18" s="20">
        <f t="shared" ref="L18:L30" si="2">+D18-H18</f>
        <v>10270.740000000049</v>
      </c>
      <c r="M18" s="4"/>
      <c r="N18" s="32">
        <f t="shared" ref="N18:N30" si="3">IF(H18=0,0,L18/H18)</f>
        <v>3.3841813605999124E-2</v>
      </c>
      <c r="O18" s="10"/>
      <c r="P18" s="20">
        <f>SUM(OSRRefP22x_0)</f>
        <v>2266308.3200000003</v>
      </c>
      <c r="Q18" s="20"/>
      <c r="R18" s="32">
        <f t="shared" ref="R18:R30" si="4">IF(P$12=0,0,P18/P$12)</f>
        <v>0</v>
      </c>
      <c r="S18" s="20"/>
      <c r="T18" s="20">
        <f>SUM(OSRRefT22x_0)</f>
        <v>2282144.7600000007</v>
      </c>
      <c r="U18" s="20"/>
      <c r="V18" s="32">
        <f t="shared" ref="V18:V30" si="5">IF(T$12=0,0,T18/T$12)</f>
        <v>0</v>
      </c>
      <c r="W18" s="4"/>
      <c r="X18" s="20">
        <f t="shared" ref="X18:X30" si="6">+P18-T18</f>
        <v>-15836.44000000041</v>
      </c>
      <c r="Y18" s="4"/>
      <c r="Z18" s="32">
        <f t="shared" ref="Z18:Z30" si="7">IF(T18=0,0,X18/T18)</f>
        <v>-6.939279347029855E-3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90999.07</v>
      </c>
      <c r="E19" s="1"/>
      <c r="F19" s="5">
        <f t="shared" si="0"/>
        <v>0</v>
      </c>
      <c r="G19" s="1"/>
      <c r="H19" s="1">
        <f>SUM(OSRRefH22_0x_0)</f>
        <v>65792.429999999993</v>
      </c>
      <c r="I19" s="1"/>
      <c r="J19" s="5">
        <f t="shared" si="1"/>
        <v>0</v>
      </c>
      <c r="K19" s="1"/>
      <c r="L19" s="1">
        <f t="shared" si="2"/>
        <v>25206.640000000014</v>
      </c>
      <c r="M19" s="1"/>
      <c r="N19" s="5">
        <f t="shared" si="3"/>
        <v>0.38312371195287992</v>
      </c>
      <c r="O19" s="13"/>
      <c r="P19" s="1">
        <f>SUM(OSRRefP22_0x_0)</f>
        <v>646414.62</v>
      </c>
      <c r="Q19" s="1"/>
      <c r="R19" s="5">
        <f t="shared" si="4"/>
        <v>0</v>
      </c>
      <c r="S19" s="1"/>
      <c r="T19" s="1">
        <f>SUM(OSRRefT22_0x_0)</f>
        <v>675457.25</v>
      </c>
      <c r="U19" s="1"/>
      <c r="V19" s="5">
        <f t="shared" si="5"/>
        <v>0</v>
      </c>
      <c r="W19" s="1"/>
      <c r="X19" s="1">
        <f t="shared" si="6"/>
        <v>-29042.630000000005</v>
      </c>
      <c r="Y19" s="1"/>
      <c r="Z19" s="5">
        <f t="shared" si="7"/>
        <v>-4.2996992037616005E-2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8130.22</v>
      </c>
      <c r="E20" s="2"/>
      <c r="F20" s="7">
        <f t="shared" si="0"/>
        <v>0</v>
      </c>
      <c r="G20" s="2"/>
      <c r="H20" s="6">
        <v>9301.25</v>
      </c>
      <c r="I20" s="2"/>
      <c r="J20" s="7">
        <f t="shared" si="1"/>
        <v>0</v>
      </c>
      <c r="K20" s="2"/>
      <c r="L20" s="6">
        <f t="shared" si="2"/>
        <v>-1171.0299999999997</v>
      </c>
      <c r="M20" s="2"/>
      <c r="N20" s="7">
        <f t="shared" si="3"/>
        <v>-0.12590028222013167</v>
      </c>
      <c r="O20" s="11"/>
      <c r="P20" s="6">
        <v>67434.720000000001</v>
      </c>
      <c r="Q20" s="2"/>
      <c r="R20" s="7">
        <f t="shared" si="4"/>
        <v>0</v>
      </c>
      <c r="S20" s="2"/>
      <c r="T20" s="6">
        <v>69382.53</v>
      </c>
      <c r="U20" s="2"/>
      <c r="V20" s="7">
        <f t="shared" si="5"/>
        <v>0</v>
      </c>
      <c r="W20" s="2"/>
      <c r="X20" s="6">
        <f t="shared" si="6"/>
        <v>-1947.8099999999977</v>
      </c>
      <c r="Y20" s="2"/>
      <c r="Z20" s="7">
        <f t="shared" si="7"/>
        <v>-2.807349342838893E-2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685.56</v>
      </c>
      <c r="E21" s="2"/>
      <c r="F21" s="7">
        <f t="shared" si="0"/>
        <v>0</v>
      </c>
      <c r="G21" s="2"/>
      <c r="H21" s="6">
        <v>563.69000000000005</v>
      </c>
      <c r="I21" s="2"/>
      <c r="J21" s="7">
        <f t="shared" si="1"/>
        <v>0</v>
      </c>
      <c r="K21" s="2"/>
      <c r="L21" s="6">
        <f t="shared" si="2"/>
        <v>121.86999999999989</v>
      </c>
      <c r="M21" s="2"/>
      <c r="N21" s="7">
        <f t="shared" si="3"/>
        <v>0.21620039383348982</v>
      </c>
      <c r="O21" s="11"/>
      <c r="P21" s="6">
        <v>4624.88</v>
      </c>
      <c r="Q21" s="2"/>
      <c r="R21" s="7">
        <f t="shared" si="4"/>
        <v>0</v>
      </c>
      <c r="S21" s="2"/>
      <c r="T21" s="6">
        <v>4748.0200000000004</v>
      </c>
      <c r="U21" s="2"/>
      <c r="V21" s="7">
        <f t="shared" si="5"/>
        <v>0</v>
      </c>
      <c r="W21" s="2"/>
      <c r="X21" s="6">
        <f t="shared" si="6"/>
        <v>-123.14000000000033</v>
      </c>
      <c r="Y21" s="2"/>
      <c r="Z21" s="7">
        <f t="shared" si="7"/>
        <v>-2.5935021335209269E-2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23281.510000000002</v>
      </c>
      <c r="E22" s="2"/>
      <c r="F22" s="7">
        <f t="shared" si="0"/>
        <v>0</v>
      </c>
      <c r="G22" s="2"/>
      <c r="H22" s="6">
        <v>27823.52</v>
      </c>
      <c r="I22" s="2"/>
      <c r="J22" s="7">
        <f t="shared" si="1"/>
        <v>0</v>
      </c>
      <c r="K22" s="2"/>
      <c r="L22" s="6">
        <f t="shared" si="2"/>
        <v>-4542.0099999999984</v>
      </c>
      <c r="M22" s="2"/>
      <c r="N22" s="7">
        <f t="shared" si="3"/>
        <v>-0.1632435435918963</v>
      </c>
      <c r="O22" s="11"/>
      <c r="P22" s="6">
        <v>158596.09</v>
      </c>
      <c r="Q22" s="2"/>
      <c r="R22" s="7">
        <f t="shared" si="4"/>
        <v>0</v>
      </c>
      <c r="S22" s="2"/>
      <c r="T22" s="6">
        <v>184706.91</v>
      </c>
      <c r="U22" s="2"/>
      <c r="V22" s="7">
        <f t="shared" si="5"/>
        <v>0</v>
      </c>
      <c r="W22" s="2"/>
      <c r="X22" s="6">
        <f t="shared" si="6"/>
        <v>-26110.820000000007</v>
      </c>
      <c r="Y22" s="2"/>
      <c r="Z22" s="7">
        <f t="shared" si="7"/>
        <v>-0.14136352559847384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311.75</v>
      </c>
      <c r="E23" s="2"/>
      <c r="F23" s="7">
        <f t="shared" si="0"/>
        <v>0</v>
      </c>
      <c r="G23" s="2"/>
      <c r="H23" s="6">
        <v>335.79</v>
      </c>
      <c r="I23" s="2"/>
      <c r="J23" s="7">
        <f t="shared" si="1"/>
        <v>0</v>
      </c>
      <c r="K23" s="2"/>
      <c r="L23" s="6">
        <f t="shared" si="2"/>
        <v>-24.04000000000002</v>
      </c>
      <c r="M23" s="2"/>
      <c r="N23" s="7">
        <f t="shared" si="3"/>
        <v>-7.1592364275291157E-2</v>
      </c>
      <c r="O23" s="11"/>
      <c r="P23" s="6">
        <v>2830.81</v>
      </c>
      <c r="Q23" s="2"/>
      <c r="R23" s="7">
        <f t="shared" si="4"/>
        <v>0</v>
      </c>
      <c r="S23" s="2"/>
      <c r="T23" s="6">
        <v>2893.48</v>
      </c>
      <c r="U23" s="2"/>
      <c r="V23" s="7">
        <f t="shared" si="5"/>
        <v>0</v>
      </c>
      <c r="W23" s="2"/>
      <c r="X23" s="6">
        <f t="shared" si="6"/>
        <v>-62.670000000000073</v>
      </c>
      <c r="Y23" s="2"/>
      <c r="Z23" s="7">
        <f t="shared" si="7"/>
        <v>-2.1659040325144832E-2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10419.530000000001</v>
      </c>
      <c r="E24" s="2"/>
      <c r="F24" s="7">
        <f t="shared" si="0"/>
        <v>0</v>
      </c>
      <c r="G24" s="2"/>
      <c r="H24" s="6">
        <v>11886.79</v>
      </c>
      <c r="I24" s="2"/>
      <c r="J24" s="7">
        <f t="shared" si="1"/>
        <v>0</v>
      </c>
      <c r="K24" s="2"/>
      <c r="L24" s="6">
        <f t="shared" si="2"/>
        <v>-1467.2600000000002</v>
      </c>
      <c r="M24" s="2"/>
      <c r="N24" s="7">
        <f t="shared" si="3"/>
        <v>-0.12343618420111739</v>
      </c>
      <c r="O24" s="11"/>
      <c r="P24" s="6">
        <v>63927.539999999994</v>
      </c>
      <c r="Q24" s="2"/>
      <c r="R24" s="7">
        <f t="shared" si="4"/>
        <v>0</v>
      </c>
      <c r="S24" s="2"/>
      <c r="T24" s="6">
        <v>71716.87</v>
      </c>
      <c r="U24" s="2"/>
      <c r="V24" s="7">
        <f t="shared" si="5"/>
        <v>0</v>
      </c>
      <c r="W24" s="2"/>
      <c r="X24" s="6">
        <f t="shared" si="6"/>
        <v>-7789.3300000000017</v>
      </c>
      <c r="Y24" s="2"/>
      <c r="Z24" s="7">
        <f t="shared" si="7"/>
        <v>-0.10861224144333129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>
        <v>2231.94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2231.94</v>
      </c>
      <c r="M25" s="2"/>
      <c r="N25" s="7">
        <f t="shared" si="3"/>
        <v>0</v>
      </c>
      <c r="O25" s="11"/>
      <c r="P25" s="6">
        <v>4337.88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1886.48</v>
      </c>
      <c r="Y25" s="2"/>
      <c r="Z25" s="7">
        <f t="shared" si="7"/>
        <v>0.76955209268173286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1296.51</v>
      </c>
      <c r="E26" s="2"/>
      <c r="F26" s="7">
        <f t="shared" si="0"/>
        <v>0</v>
      </c>
      <c r="G26" s="2"/>
      <c r="H26" s="6">
        <v>404.6</v>
      </c>
      <c r="I26" s="2"/>
      <c r="J26" s="7">
        <f t="shared" si="1"/>
        <v>0</v>
      </c>
      <c r="K26" s="2"/>
      <c r="L26" s="6">
        <f t="shared" si="2"/>
        <v>891.91</v>
      </c>
      <c r="M26" s="2"/>
      <c r="N26" s="7">
        <f t="shared" si="3"/>
        <v>2.2044241225902121</v>
      </c>
      <c r="O26" s="11"/>
      <c r="P26" s="6">
        <v>6455.96</v>
      </c>
      <c r="Q26" s="2"/>
      <c r="R26" s="7">
        <f t="shared" si="4"/>
        <v>0</v>
      </c>
      <c r="S26" s="2"/>
      <c r="T26" s="6">
        <v>1965.67</v>
      </c>
      <c r="U26" s="2"/>
      <c r="V26" s="7">
        <f t="shared" si="5"/>
        <v>0</v>
      </c>
      <c r="W26" s="2"/>
      <c r="X26" s="6">
        <f t="shared" si="6"/>
        <v>4490.29</v>
      </c>
      <c r="Y26" s="2"/>
      <c r="Z26" s="7">
        <f t="shared" si="7"/>
        <v>2.2843559702289804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6824.16</v>
      </c>
      <c r="E27" s="2"/>
      <c r="F27" s="7">
        <f t="shared" si="0"/>
        <v>0</v>
      </c>
      <c r="G27" s="2"/>
      <c r="H27" s="6">
        <v>8054.96</v>
      </c>
      <c r="I27" s="2"/>
      <c r="J27" s="7">
        <f t="shared" si="1"/>
        <v>0</v>
      </c>
      <c r="K27" s="2"/>
      <c r="L27" s="6">
        <f t="shared" si="2"/>
        <v>-1230.8000000000002</v>
      </c>
      <c r="M27" s="2"/>
      <c r="N27" s="7">
        <f t="shared" si="3"/>
        <v>-0.152800262198695</v>
      </c>
      <c r="O27" s="11"/>
      <c r="P27" s="6">
        <v>61838.360000000008</v>
      </c>
      <c r="Q27" s="2"/>
      <c r="R27" s="7">
        <f t="shared" si="4"/>
        <v>0</v>
      </c>
      <c r="S27" s="2"/>
      <c r="T27" s="6">
        <v>68491.459999999992</v>
      </c>
      <c r="U27" s="2"/>
      <c r="V27" s="7">
        <f t="shared" si="5"/>
        <v>0</v>
      </c>
      <c r="W27" s="2"/>
      <c r="X27" s="6">
        <f t="shared" si="6"/>
        <v>-6653.099999999984</v>
      </c>
      <c r="Y27" s="2"/>
      <c r="Z27" s="7">
        <f t="shared" si="7"/>
        <v>-9.7137657745943573E-2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4396.97</v>
      </c>
      <c r="E28" s="2"/>
      <c r="F28" s="7">
        <f t="shared" si="0"/>
        <v>0</v>
      </c>
      <c r="G28" s="2"/>
      <c r="H28" s="6">
        <v>5618.64</v>
      </c>
      <c r="I28" s="2"/>
      <c r="J28" s="7">
        <f t="shared" si="1"/>
        <v>0</v>
      </c>
      <c r="K28" s="2"/>
      <c r="L28" s="6">
        <f t="shared" si="2"/>
        <v>-1221.67</v>
      </c>
      <c r="M28" s="2"/>
      <c r="N28" s="7">
        <f t="shared" si="3"/>
        <v>-0.21743162046331496</v>
      </c>
      <c r="O28" s="11"/>
      <c r="P28" s="6">
        <v>52828.89</v>
      </c>
      <c r="Q28" s="2"/>
      <c r="R28" s="7">
        <f t="shared" si="4"/>
        <v>0</v>
      </c>
      <c r="S28" s="2"/>
      <c r="T28" s="6">
        <v>50320.22</v>
      </c>
      <c r="U28" s="2"/>
      <c r="V28" s="7">
        <f t="shared" si="5"/>
        <v>0</v>
      </c>
      <c r="W28" s="2"/>
      <c r="X28" s="6">
        <f t="shared" si="6"/>
        <v>2508.6699999999983</v>
      </c>
      <c r="Y28" s="2"/>
      <c r="Z28" s="7">
        <f t="shared" si="7"/>
        <v>4.9854114310311011E-2</v>
      </c>
    </row>
    <row r="29" spans="1:26" s="24" customFormat="1" hidden="1" outlineLevel="2" x14ac:dyDescent="0.25">
      <c r="A29" s="25"/>
      <c r="B29" s="11" t="str">
        <f>CONCATENATE("          ", "6120", " - ", "RETIREES HEALTH INSURANCE")</f>
        <v xml:space="preserve">          6120 - RETIREES HEALTH INSURANCE</v>
      </c>
      <c r="C29" s="11"/>
      <c r="D29" s="6">
        <v>30653.37</v>
      </c>
      <c r="E29" s="2"/>
      <c r="F29" s="7">
        <f t="shared" si="0"/>
        <v>0</v>
      </c>
      <c r="G29" s="2"/>
      <c r="H29" s="6">
        <v>-792.72</v>
      </c>
      <c r="I29" s="2"/>
      <c r="J29" s="7">
        <f t="shared" si="1"/>
        <v>0</v>
      </c>
      <c r="K29" s="2"/>
      <c r="L29" s="6">
        <f t="shared" si="2"/>
        <v>31446.09</v>
      </c>
      <c r="M29" s="2"/>
      <c r="N29" s="7">
        <f t="shared" si="3"/>
        <v>-39.668596730245227</v>
      </c>
      <c r="O29" s="11"/>
      <c r="P29" s="6">
        <v>206278.25</v>
      </c>
      <c r="Q29" s="2"/>
      <c r="R29" s="7">
        <f t="shared" si="4"/>
        <v>0</v>
      </c>
      <c r="S29" s="2"/>
      <c r="T29" s="6">
        <v>201164.68</v>
      </c>
      <c r="U29" s="2"/>
      <c r="V29" s="7">
        <f t="shared" si="5"/>
        <v>0</v>
      </c>
      <c r="W29" s="2"/>
      <c r="X29" s="6">
        <f t="shared" si="6"/>
        <v>5113.570000000007</v>
      </c>
      <c r="Y29" s="2"/>
      <c r="Z29" s="7">
        <f t="shared" si="7"/>
        <v>2.5419820218937076E-2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2767.55</v>
      </c>
      <c r="E30" s="2"/>
      <c r="F30" s="7">
        <f t="shared" si="0"/>
        <v>0</v>
      </c>
      <c r="G30" s="2"/>
      <c r="H30" s="6">
        <v>2595.91</v>
      </c>
      <c r="I30" s="2"/>
      <c r="J30" s="7">
        <f t="shared" si="1"/>
        <v>0</v>
      </c>
      <c r="K30" s="2"/>
      <c r="L30" s="6">
        <f t="shared" si="2"/>
        <v>171.64000000000033</v>
      </c>
      <c r="M30" s="2"/>
      <c r="N30" s="7">
        <f t="shared" si="3"/>
        <v>6.6119395510630313E-2</v>
      </c>
      <c r="O30" s="11"/>
      <c r="P30" s="6">
        <v>17261.240000000002</v>
      </c>
      <c r="Q30" s="2"/>
      <c r="R30" s="7">
        <f t="shared" si="4"/>
        <v>0</v>
      </c>
      <c r="S30" s="2"/>
      <c r="T30" s="6">
        <v>17616.009999999998</v>
      </c>
      <c r="U30" s="2"/>
      <c r="V30" s="7">
        <f t="shared" si="5"/>
        <v>0</v>
      </c>
      <c r="W30" s="2"/>
      <c r="X30" s="6">
        <f t="shared" si="6"/>
        <v>-354.7699999999968</v>
      </c>
      <c r="Y30" s="2"/>
      <c r="Z30" s="7">
        <f t="shared" si="7"/>
        <v>-2.0139066678549616E-2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143849.26999999999</v>
      </c>
      <c r="E31" s="1"/>
      <c r="F31" s="5">
        <f t="shared" ref="F31:F38" si="8">IF(D$12=0,0,D31/D$12)</f>
        <v>0</v>
      </c>
      <c r="G31" s="1"/>
      <c r="H31" s="1">
        <f>SUM(OSRRefH22_1x_0)</f>
        <v>145950.04999999999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-2100.7799999999988</v>
      </c>
      <c r="M31" s="1"/>
      <c r="N31" s="5">
        <f t="shared" ref="N31:N38" si="11">IF(H31=0,0,L31/H31)</f>
        <v>-1.4393828573542791E-2</v>
      </c>
      <c r="O31" s="13"/>
      <c r="P31" s="1">
        <f>SUM(OSRRefP22_1x_0)</f>
        <v>794220.2699999999</v>
      </c>
      <c r="Q31" s="1"/>
      <c r="R31" s="5">
        <f t="shared" ref="R31:R38" si="12">IF(P$12=0,0,P31/P$12)</f>
        <v>0</v>
      </c>
      <c r="S31" s="1"/>
      <c r="T31" s="1">
        <f>SUM(OSRRefT22_1x_0)</f>
        <v>850145.16999999993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-55924.900000000023</v>
      </c>
      <c r="Y31" s="1"/>
      <c r="Z31" s="5">
        <f t="shared" ref="Z31:Z38" si="15">IF(T31=0,0,X31/T31)</f>
        <v>-6.5782765077639652E-2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>
        <v>26771.230000000003</v>
      </c>
      <c r="E32" s="2"/>
      <c r="F32" s="7">
        <f t="shared" si="8"/>
        <v>0</v>
      </c>
      <c r="G32" s="2"/>
      <c r="H32" s="6">
        <v>41711.440000000002</v>
      </c>
      <c r="I32" s="2"/>
      <c r="J32" s="7">
        <f t="shared" si="9"/>
        <v>0</v>
      </c>
      <c r="K32" s="2"/>
      <c r="L32" s="6">
        <f t="shared" si="10"/>
        <v>-14940.21</v>
      </c>
      <c r="M32" s="2"/>
      <c r="N32" s="7">
        <f t="shared" si="11"/>
        <v>-0.35818015393378888</v>
      </c>
      <c r="O32" s="11"/>
      <c r="P32" s="6">
        <v>174900.28999999998</v>
      </c>
      <c r="Q32" s="2"/>
      <c r="R32" s="7">
        <f t="shared" si="12"/>
        <v>0</v>
      </c>
      <c r="S32" s="2"/>
      <c r="T32" s="6">
        <v>270905.82</v>
      </c>
      <c r="U32" s="2"/>
      <c r="V32" s="7">
        <f t="shared" si="13"/>
        <v>0</v>
      </c>
      <c r="W32" s="2"/>
      <c r="X32" s="6">
        <f t="shared" si="14"/>
        <v>-96005.530000000028</v>
      </c>
      <c r="Y32" s="2"/>
      <c r="Z32" s="7">
        <f t="shared" si="15"/>
        <v>-0.35438710766715908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58219.619999999995</v>
      </c>
      <c r="E33" s="2"/>
      <c r="F33" s="7">
        <f t="shared" si="8"/>
        <v>0</v>
      </c>
      <c r="G33" s="2"/>
      <c r="H33" s="6">
        <v>56549.219999999994</v>
      </c>
      <c r="I33" s="2"/>
      <c r="J33" s="7">
        <f t="shared" si="9"/>
        <v>0</v>
      </c>
      <c r="K33" s="2"/>
      <c r="L33" s="6">
        <f t="shared" si="10"/>
        <v>1670.4000000000015</v>
      </c>
      <c r="M33" s="2"/>
      <c r="N33" s="7">
        <f t="shared" si="11"/>
        <v>2.9538868971137031E-2</v>
      </c>
      <c r="O33" s="11"/>
      <c r="P33" s="6">
        <v>335882.45999999996</v>
      </c>
      <c r="Q33" s="2"/>
      <c r="R33" s="7">
        <f t="shared" si="12"/>
        <v>0</v>
      </c>
      <c r="S33" s="2"/>
      <c r="T33" s="6">
        <v>332217.28999999998</v>
      </c>
      <c r="U33" s="2"/>
      <c r="V33" s="7">
        <f t="shared" si="13"/>
        <v>0</v>
      </c>
      <c r="W33" s="2"/>
      <c r="X33" s="6">
        <f t="shared" si="14"/>
        <v>3665.1699999999837</v>
      </c>
      <c r="Y33" s="2"/>
      <c r="Z33" s="7">
        <f t="shared" si="15"/>
        <v>1.1032448070357758E-2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23764.449999999997</v>
      </c>
      <c r="E34" s="2"/>
      <c r="F34" s="7">
        <f t="shared" si="8"/>
        <v>0</v>
      </c>
      <c r="G34" s="2"/>
      <c r="H34" s="6">
        <v>18493.929999999997</v>
      </c>
      <c r="I34" s="2"/>
      <c r="J34" s="7">
        <f t="shared" si="9"/>
        <v>0</v>
      </c>
      <c r="K34" s="2"/>
      <c r="L34" s="6">
        <f t="shared" si="10"/>
        <v>5270.52</v>
      </c>
      <c r="M34" s="2"/>
      <c r="N34" s="7">
        <f t="shared" si="11"/>
        <v>0.28498647934754817</v>
      </c>
      <c r="O34" s="11"/>
      <c r="P34" s="6">
        <v>160755.01999999999</v>
      </c>
      <c r="Q34" s="2"/>
      <c r="R34" s="7">
        <f t="shared" si="12"/>
        <v>0</v>
      </c>
      <c r="S34" s="2"/>
      <c r="T34" s="6">
        <v>135867.37000000002</v>
      </c>
      <c r="U34" s="2"/>
      <c r="V34" s="7">
        <f t="shared" si="13"/>
        <v>0</v>
      </c>
      <c r="W34" s="2"/>
      <c r="X34" s="6">
        <f t="shared" si="14"/>
        <v>24887.649999999965</v>
      </c>
      <c r="Y34" s="2"/>
      <c r="Z34" s="7">
        <f t="shared" si="15"/>
        <v>0.1831760635390231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8844.0400000000009</v>
      </c>
      <c r="E35" s="2"/>
      <c r="F35" s="7">
        <f t="shared" si="8"/>
        <v>0</v>
      </c>
      <c r="G35" s="2"/>
      <c r="H35" s="6">
        <v>7616.07</v>
      </c>
      <c r="I35" s="2"/>
      <c r="J35" s="7">
        <f t="shared" si="9"/>
        <v>0</v>
      </c>
      <c r="K35" s="2"/>
      <c r="L35" s="6">
        <f t="shared" si="10"/>
        <v>1227.9700000000012</v>
      </c>
      <c r="M35" s="2"/>
      <c r="N35" s="7">
        <f t="shared" si="11"/>
        <v>0.16123407479185475</v>
      </c>
      <c r="O35" s="11"/>
      <c r="P35" s="6">
        <v>68035.650000000009</v>
      </c>
      <c r="Q35" s="2"/>
      <c r="R35" s="7">
        <f t="shared" si="12"/>
        <v>0</v>
      </c>
      <c r="S35" s="2"/>
      <c r="T35" s="6">
        <v>55546.11</v>
      </c>
      <c r="U35" s="2"/>
      <c r="V35" s="7">
        <f t="shared" si="13"/>
        <v>0</v>
      </c>
      <c r="W35" s="2"/>
      <c r="X35" s="6">
        <f t="shared" si="14"/>
        <v>12489.540000000008</v>
      </c>
      <c r="Y35" s="2"/>
      <c r="Z35" s="7">
        <f t="shared" si="15"/>
        <v>0.22484994898832714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3050.12</v>
      </c>
      <c r="I36" s="2"/>
      <c r="J36" s="7">
        <f t="shared" si="9"/>
        <v>0</v>
      </c>
      <c r="K36" s="2"/>
      <c r="L36" s="6">
        <f t="shared" si="10"/>
        <v>-3050.12</v>
      </c>
      <c r="M36" s="2"/>
      <c r="N36" s="7">
        <f t="shared" si="11"/>
        <v>-1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3297.98</v>
      </c>
      <c r="U36" s="2"/>
      <c r="V36" s="7">
        <f t="shared" si="13"/>
        <v>0</v>
      </c>
      <c r="W36" s="2"/>
      <c r="X36" s="6">
        <f t="shared" si="14"/>
        <v>-936.55000000000018</v>
      </c>
      <c r="Y36" s="2"/>
      <c r="Z36" s="7">
        <f t="shared" si="15"/>
        <v>-0.28397685856190763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24731.75</v>
      </c>
      <c r="E37" s="2"/>
      <c r="F37" s="7">
        <f t="shared" si="8"/>
        <v>0</v>
      </c>
      <c r="G37" s="2"/>
      <c r="H37" s="6">
        <v>18346.27</v>
      </c>
      <c r="I37" s="2"/>
      <c r="J37" s="7">
        <f t="shared" si="9"/>
        <v>0</v>
      </c>
      <c r="K37" s="2"/>
      <c r="L37" s="6">
        <f t="shared" si="10"/>
        <v>6385.48</v>
      </c>
      <c r="M37" s="2"/>
      <c r="N37" s="7">
        <f t="shared" si="11"/>
        <v>0.34805331001887574</v>
      </c>
      <c r="O37" s="11"/>
      <c r="P37" s="6">
        <v>40684.6</v>
      </c>
      <c r="Q37" s="2"/>
      <c r="R37" s="7">
        <f t="shared" si="12"/>
        <v>0</v>
      </c>
      <c r="S37" s="2"/>
      <c r="T37" s="6">
        <v>52127.6</v>
      </c>
      <c r="U37" s="2"/>
      <c r="V37" s="7">
        <f t="shared" si="13"/>
        <v>0</v>
      </c>
      <c r="W37" s="2"/>
      <c r="X37" s="6">
        <f t="shared" si="14"/>
        <v>-11443</v>
      </c>
      <c r="Y37" s="2"/>
      <c r="Z37" s="7">
        <f t="shared" si="15"/>
        <v>-0.21951902638909138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1518.18</v>
      </c>
      <c r="E38" s="2"/>
      <c r="F38" s="7">
        <f t="shared" si="8"/>
        <v>0</v>
      </c>
      <c r="G38" s="2"/>
      <c r="H38" s="6">
        <v>183</v>
      </c>
      <c r="I38" s="2"/>
      <c r="J38" s="7">
        <f t="shared" si="9"/>
        <v>0</v>
      </c>
      <c r="K38" s="2"/>
      <c r="L38" s="6">
        <f t="shared" si="10"/>
        <v>1335.18</v>
      </c>
      <c r="M38" s="2"/>
      <c r="N38" s="7">
        <f t="shared" si="11"/>
        <v>7.296065573770492</v>
      </c>
      <c r="O38" s="11"/>
      <c r="P38" s="6">
        <v>11600.82</v>
      </c>
      <c r="Q38" s="2"/>
      <c r="R38" s="7">
        <f t="shared" si="12"/>
        <v>0</v>
      </c>
      <c r="S38" s="2"/>
      <c r="T38" s="6">
        <v>183</v>
      </c>
      <c r="U38" s="2"/>
      <c r="V38" s="7">
        <f t="shared" si="13"/>
        <v>0</v>
      </c>
      <c r="W38" s="2"/>
      <c r="X38" s="6">
        <f t="shared" si="14"/>
        <v>11417.82</v>
      </c>
      <c r="Y38" s="2"/>
      <c r="Z38" s="7">
        <f t="shared" si="15"/>
        <v>62.392459016393438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-7022.92</v>
      </c>
      <c r="E39" s="1"/>
      <c r="F39" s="5">
        <f t="shared" ref="F39:F47" si="16">IF(D$12=0,0,D39/D$12)</f>
        <v>0</v>
      </c>
      <c r="G39" s="1"/>
      <c r="H39" s="1">
        <f>SUM(OSRRefH22_2x_0)</f>
        <v>-3611.75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-3411.17</v>
      </c>
      <c r="M39" s="1"/>
      <c r="N39" s="5">
        <f t="shared" ref="N39:N47" si="19">IF(H39=0,0,L39/H39)</f>
        <v>0.94446459472554856</v>
      </c>
      <c r="O39" s="13"/>
      <c r="P39" s="1">
        <f>SUM(OSRRefP22_2x_0)</f>
        <v>-29789.660000000003</v>
      </c>
      <c r="Q39" s="1"/>
      <c r="R39" s="5">
        <f t="shared" ref="R39:R47" si="20">IF(P$12=0,0,P39/P$12)</f>
        <v>0</v>
      </c>
      <c r="S39" s="1"/>
      <c r="T39" s="1">
        <f>SUM(OSRRefT22_2x_0)</f>
        <v>-15859.06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-13930.600000000004</v>
      </c>
      <c r="Y39" s="1"/>
      <c r="Z39" s="5">
        <f t="shared" ref="Z39:Z47" si="23">IF(T39=0,0,X39/T39)</f>
        <v>0.87840010694202586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-7022.92</v>
      </c>
      <c r="E40" s="2"/>
      <c r="F40" s="7">
        <f t="shared" si="16"/>
        <v>0</v>
      </c>
      <c r="G40" s="2"/>
      <c r="H40" s="6">
        <v>-3611.75</v>
      </c>
      <c r="I40" s="2"/>
      <c r="J40" s="7">
        <f t="shared" si="17"/>
        <v>0</v>
      </c>
      <c r="K40" s="2"/>
      <c r="L40" s="6">
        <f t="shared" si="18"/>
        <v>-3411.17</v>
      </c>
      <c r="M40" s="2"/>
      <c r="N40" s="7">
        <f t="shared" si="19"/>
        <v>0.94446459472554856</v>
      </c>
      <c r="O40" s="11"/>
      <c r="P40" s="6">
        <v>-29789.660000000003</v>
      </c>
      <c r="Q40" s="2"/>
      <c r="R40" s="7">
        <f t="shared" si="20"/>
        <v>0</v>
      </c>
      <c r="S40" s="2"/>
      <c r="T40" s="6">
        <v>-15859.06</v>
      </c>
      <c r="U40" s="2"/>
      <c r="V40" s="7">
        <f t="shared" si="21"/>
        <v>0</v>
      </c>
      <c r="W40" s="2"/>
      <c r="X40" s="6">
        <f t="shared" si="22"/>
        <v>-13930.600000000004</v>
      </c>
      <c r="Y40" s="2"/>
      <c r="Z40" s="7">
        <f t="shared" si="23"/>
        <v>0.87840010694202586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13917.12</v>
      </c>
      <c r="E41" s="1"/>
      <c r="F41" s="5">
        <f t="shared" si="16"/>
        <v>0</v>
      </c>
      <c r="G41" s="1"/>
      <c r="H41" s="1">
        <f>SUM(OSRRefH22_3x_0)</f>
        <v>17520.240000000002</v>
      </c>
      <c r="I41" s="1"/>
      <c r="J41" s="5">
        <f t="shared" si="17"/>
        <v>0</v>
      </c>
      <c r="K41" s="1"/>
      <c r="L41" s="1">
        <f t="shared" si="18"/>
        <v>-3603.1200000000008</v>
      </c>
      <c r="M41" s="1"/>
      <c r="N41" s="5">
        <f t="shared" si="19"/>
        <v>-0.20565471705867044</v>
      </c>
      <c r="O41" s="13"/>
      <c r="P41" s="1">
        <f>SUM(OSRRefP22_3x_0)</f>
        <v>38344.32</v>
      </c>
      <c r="Q41" s="1"/>
      <c r="R41" s="5">
        <f t="shared" si="20"/>
        <v>0</v>
      </c>
      <c r="S41" s="1"/>
      <c r="T41" s="1">
        <f>SUM(OSRRefT22_3x_0)</f>
        <v>36145.360000000001</v>
      </c>
      <c r="U41" s="1"/>
      <c r="V41" s="5">
        <f t="shared" si="21"/>
        <v>0</v>
      </c>
      <c r="W41" s="1"/>
      <c r="X41" s="1">
        <f t="shared" si="22"/>
        <v>2198.9599999999991</v>
      </c>
      <c r="Y41" s="1"/>
      <c r="Z41" s="5">
        <f t="shared" si="23"/>
        <v>6.0836577640947527E-2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13917.12</v>
      </c>
      <c r="E42" s="2"/>
      <c r="F42" s="7">
        <f t="shared" si="16"/>
        <v>0</v>
      </c>
      <c r="G42" s="2"/>
      <c r="H42" s="6">
        <v>17520.240000000002</v>
      </c>
      <c r="I42" s="2"/>
      <c r="J42" s="7">
        <f t="shared" si="17"/>
        <v>0</v>
      </c>
      <c r="K42" s="2"/>
      <c r="L42" s="6">
        <f t="shared" si="18"/>
        <v>-3603.1200000000008</v>
      </c>
      <c r="M42" s="2"/>
      <c r="N42" s="7">
        <f t="shared" si="19"/>
        <v>-0.20565471705867044</v>
      </c>
      <c r="O42" s="11"/>
      <c r="P42" s="6">
        <v>38344.32</v>
      </c>
      <c r="Q42" s="2"/>
      <c r="R42" s="7">
        <f t="shared" si="20"/>
        <v>0</v>
      </c>
      <c r="S42" s="2"/>
      <c r="T42" s="6">
        <v>36145.360000000001</v>
      </c>
      <c r="U42" s="2"/>
      <c r="V42" s="7">
        <f t="shared" si="21"/>
        <v>0</v>
      </c>
      <c r="W42" s="2"/>
      <c r="X42" s="6">
        <f t="shared" si="22"/>
        <v>2198.9599999999991</v>
      </c>
      <c r="Y42" s="2"/>
      <c r="Z42" s="7">
        <f t="shared" si="23"/>
        <v>6.0836577640947527E-2</v>
      </c>
    </row>
    <row r="43" spans="1:26" s="26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2282.7600000000002</v>
      </c>
      <c r="E43" s="1"/>
      <c r="F43" s="5">
        <f t="shared" si="16"/>
        <v>0</v>
      </c>
      <c r="G43" s="1"/>
      <c r="H43" s="1">
        <f>SUM(OSRRefH22_4x_0)</f>
        <v>5501.89</v>
      </c>
      <c r="I43" s="1"/>
      <c r="J43" s="5">
        <f t="shared" si="17"/>
        <v>0</v>
      </c>
      <c r="K43" s="1"/>
      <c r="L43" s="1">
        <f t="shared" si="18"/>
        <v>-3219.13</v>
      </c>
      <c r="M43" s="1"/>
      <c r="N43" s="5">
        <f t="shared" si="19"/>
        <v>-0.58509530361384909</v>
      </c>
      <c r="O43" s="13"/>
      <c r="P43" s="1">
        <f>SUM(OSRRefP22_4x_0)</f>
        <v>19080.710000000003</v>
      </c>
      <c r="Q43" s="1"/>
      <c r="R43" s="5">
        <f t="shared" si="20"/>
        <v>0</v>
      </c>
      <c r="S43" s="1"/>
      <c r="T43" s="1">
        <f>SUM(OSRRefT22_4x_0)</f>
        <v>25674.05</v>
      </c>
      <c r="U43" s="1"/>
      <c r="V43" s="5">
        <f t="shared" si="21"/>
        <v>0</v>
      </c>
      <c r="W43" s="1"/>
      <c r="X43" s="1">
        <f t="shared" si="22"/>
        <v>-6593.3399999999965</v>
      </c>
      <c r="Y43" s="1"/>
      <c r="Z43" s="5">
        <f t="shared" si="23"/>
        <v>-0.25680950220163928</v>
      </c>
    </row>
    <row r="44" spans="1:26" s="24" customFormat="1" hidden="1" outlineLevel="2" x14ac:dyDescent="0.25">
      <c r="A44" s="25"/>
      <c r="B44" s="11" t="str">
        <f>CONCATENATE("          ", "6397", " - ", "BOARD EXPENSES")</f>
        <v xml:space="preserve">          6397 - BOARD EXPENSES</v>
      </c>
      <c r="C44" s="11"/>
      <c r="D44" s="6">
        <v>2282.7600000000002</v>
      </c>
      <c r="E44" s="2"/>
      <c r="F44" s="7">
        <f t="shared" si="16"/>
        <v>0</v>
      </c>
      <c r="G44" s="2"/>
      <c r="H44" s="6">
        <v>5501.89</v>
      </c>
      <c r="I44" s="2"/>
      <c r="J44" s="7">
        <f t="shared" si="17"/>
        <v>0</v>
      </c>
      <c r="K44" s="2"/>
      <c r="L44" s="6">
        <f t="shared" si="18"/>
        <v>-3219.13</v>
      </c>
      <c r="M44" s="2"/>
      <c r="N44" s="7">
        <f t="shared" si="19"/>
        <v>-0.58509530361384909</v>
      </c>
      <c r="O44" s="11"/>
      <c r="P44" s="6">
        <v>19080.710000000003</v>
      </c>
      <c r="Q44" s="2"/>
      <c r="R44" s="7">
        <f t="shared" si="20"/>
        <v>0</v>
      </c>
      <c r="S44" s="2"/>
      <c r="T44" s="6">
        <v>25674.05</v>
      </c>
      <c r="U44" s="2"/>
      <c r="V44" s="7">
        <f t="shared" si="21"/>
        <v>0</v>
      </c>
      <c r="W44" s="2"/>
      <c r="X44" s="6">
        <f t="shared" si="22"/>
        <v>-6593.3399999999965</v>
      </c>
      <c r="Y44" s="2"/>
      <c r="Z44" s="7">
        <f t="shared" si="23"/>
        <v>-0.25680950220163928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3"/>
      <c r="P45" s="1">
        <f>SUM(OSRRefP22_5x_0)</f>
        <v>60199.51</v>
      </c>
      <c r="Q45" s="1"/>
      <c r="R45" s="5">
        <f t="shared" si="20"/>
        <v>0</v>
      </c>
      <c r="S45" s="1"/>
      <c r="T45" s="1">
        <f>SUM(OSRRefT22_5x_0)</f>
        <v>72056.95</v>
      </c>
      <c r="U45" s="1"/>
      <c r="V45" s="5">
        <f t="shared" si="21"/>
        <v>0</v>
      </c>
      <c r="W45" s="1"/>
      <c r="X45" s="1">
        <f t="shared" si="22"/>
        <v>-11857.439999999995</v>
      </c>
      <c r="Y45" s="1"/>
      <c r="Z45" s="5">
        <f t="shared" si="23"/>
        <v>-0.16455650704061156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8599.93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-1371.8799999999992</v>
      </c>
      <c r="M46" s="2"/>
      <c r="N46" s="7">
        <f t="shared" si="19"/>
        <v>-0.13757582625421055</v>
      </c>
      <c r="O46" s="11"/>
      <c r="P46" s="6">
        <v>60199.51</v>
      </c>
      <c r="Q46" s="2"/>
      <c r="R46" s="7">
        <f t="shared" si="20"/>
        <v>0</v>
      </c>
      <c r="S46" s="2"/>
      <c r="T46" s="6">
        <v>69802.67</v>
      </c>
      <c r="U46" s="2"/>
      <c r="V46" s="7">
        <f t="shared" si="21"/>
        <v>0</v>
      </c>
      <c r="W46" s="2"/>
      <c r="X46" s="6">
        <f t="shared" si="22"/>
        <v>-9603.1599999999962</v>
      </c>
      <c r="Y46" s="2"/>
      <c r="Z46" s="7">
        <f t="shared" si="23"/>
        <v>-0.13757582625421058</v>
      </c>
    </row>
    <row r="47" spans="1:26" s="24" customFormat="1" hidden="1" outlineLevel="2" x14ac:dyDescent="0.25">
      <c r="A47" s="25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2254.2800000000002</v>
      </c>
      <c r="U47" s="2"/>
      <c r="V47" s="7">
        <f t="shared" si="21"/>
        <v>0</v>
      </c>
      <c r="W47" s="2"/>
      <c r="X47" s="6">
        <f t="shared" si="22"/>
        <v>-2254.2800000000002</v>
      </c>
      <c r="Y47" s="2"/>
      <c r="Z47" s="7">
        <f t="shared" si="23"/>
        <v>-1</v>
      </c>
    </row>
    <row r="48" spans="1:26" s="26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64" si="24">IF(D$12=0,0,D48/D$12)</f>
        <v>0</v>
      </c>
      <c r="G48" s="1"/>
      <c r="H48" s="1">
        <f>SUM(OSRRefH22_6x_0)</f>
        <v>-615.92999999999995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615.92999999999995</v>
      </c>
      <c r="M48" s="1"/>
      <c r="N48" s="5">
        <f t="shared" ref="N48:N64" si="27">IF(H48=0,0,L48/H48)</f>
        <v>-1</v>
      </c>
      <c r="O48" s="13"/>
      <c r="P48" s="1">
        <f>SUM(OSRRefP22_6x_0)</f>
        <v>243145</v>
      </c>
      <c r="Q48" s="1"/>
      <c r="R48" s="5">
        <f t="shared" ref="R48:R64" si="28">IF(P$12=0,0,P48/P$12)</f>
        <v>0</v>
      </c>
      <c r="S48" s="1"/>
      <c r="T48" s="1">
        <f>SUM(OSRRefT22_6x_0)</f>
        <v>141082.89000000001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102062.10999999999</v>
      </c>
      <c r="Y48" s="1"/>
      <c r="Z48" s="5">
        <f t="shared" ref="Z48:Z64" si="31">IF(T48=0,0,X48/T48)</f>
        <v>0.72341947347406887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>
        <v>-615.92999999999995</v>
      </c>
      <c r="I49" s="2"/>
      <c r="J49" s="7">
        <f t="shared" si="25"/>
        <v>0</v>
      </c>
      <c r="K49" s="2"/>
      <c r="L49" s="6">
        <f t="shared" si="26"/>
        <v>615.92999999999995</v>
      </c>
      <c r="M49" s="2"/>
      <c r="N49" s="7">
        <f t="shared" si="27"/>
        <v>-1</v>
      </c>
      <c r="O49" s="11"/>
      <c r="P49" s="6">
        <v>243145</v>
      </c>
      <c r="Q49" s="2"/>
      <c r="R49" s="7">
        <f t="shared" si="28"/>
        <v>0</v>
      </c>
      <c r="S49" s="2"/>
      <c r="T49" s="6">
        <v>141082.89000000001</v>
      </c>
      <c r="U49" s="2"/>
      <c r="V49" s="7">
        <f t="shared" si="29"/>
        <v>0</v>
      </c>
      <c r="W49" s="2"/>
      <c r="X49" s="6">
        <f t="shared" si="30"/>
        <v>102062.10999999999</v>
      </c>
      <c r="Y49" s="2"/>
      <c r="Z49" s="7">
        <f t="shared" si="31"/>
        <v>0.72341947347406887</v>
      </c>
    </row>
    <row r="50" spans="1:26" s="26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2180.1799999999998</v>
      </c>
      <c r="E50" s="1"/>
      <c r="F50" s="5">
        <f t="shared" si="24"/>
        <v>0</v>
      </c>
      <c r="G50" s="1"/>
      <c r="H50" s="1">
        <f>SUM(OSRRefH22_7x_0)</f>
        <v>3131.13</v>
      </c>
      <c r="I50" s="1"/>
      <c r="J50" s="5">
        <f t="shared" si="25"/>
        <v>0</v>
      </c>
      <c r="K50" s="1"/>
      <c r="L50" s="1">
        <f t="shared" si="26"/>
        <v>-950.95000000000027</v>
      </c>
      <c r="M50" s="1"/>
      <c r="N50" s="5">
        <f t="shared" si="27"/>
        <v>-0.30370824590483314</v>
      </c>
      <c r="O50" s="13"/>
      <c r="P50" s="1">
        <f>SUM(OSRRefP22_7x_0)</f>
        <v>27018.04</v>
      </c>
      <c r="Q50" s="1"/>
      <c r="R50" s="5">
        <f t="shared" si="28"/>
        <v>0</v>
      </c>
      <c r="S50" s="1"/>
      <c r="T50" s="1">
        <f>SUM(OSRRefT22_7x_0)</f>
        <v>32936.35</v>
      </c>
      <c r="U50" s="1"/>
      <c r="V50" s="5">
        <f t="shared" si="29"/>
        <v>0</v>
      </c>
      <c r="W50" s="1"/>
      <c r="X50" s="1">
        <f t="shared" si="30"/>
        <v>-5918.3099999999977</v>
      </c>
      <c r="Y50" s="1"/>
      <c r="Z50" s="5">
        <f t="shared" si="31"/>
        <v>-0.17968930983548564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>
        <v>2180.1799999999998</v>
      </c>
      <c r="E51" s="2"/>
      <c r="F51" s="7">
        <f t="shared" si="24"/>
        <v>0</v>
      </c>
      <c r="G51" s="2"/>
      <c r="H51" s="6">
        <v>3131.13</v>
      </c>
      <c r="I51" s="2"/>
      <c r="J51" s="7">
        <f t="shared" si="25"/>
        <v>0</v>
      </c>
      <c r="K51" s="2"/>
      <c r="L51" s="6">
        <f t="shared" si="26"/>
        <v>-950.95000000000027</v>
      </c>
      <c r="M51" s="2"/>
      <c r="N51" s="7">
        <f t="shared" si="27"/>
        <v>-0.30370824590483314</v>
      </c>
      <c r="O51" s="11"/>
      <c r="P51" s="6">
        <v>27018.04</v>
      </c>
      <c r="Q51" s="2"/>
      <c r="R51" s="7">
        <f t="shared" si="28"/>
        <v>0</v>
      </c>
      <c r="S51" s="2"/>
      <c r="T51" s="6">
        <v>32936.35</v>
      </c>
      <c r="U51" s="2"/>
      <c r="V51" s="7">
        <f t="shared" si="29"/>
        <v>0</v>
      </c>
      <c r="W51" s="2"/>
      <c r="X51" s="6">
        <f t="shared" si="30"/>
        <v>-5918.3099999999977</v>
      </c>
      <c r="Y51" s="2"/>
      <c r="Z51" s="7">
        <f t="shared" si="31"/>
        <v>-0.17968930983548564</v>
      </c>
    </row>
    <row r="52" spans="1:26" s="26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1736.64</v>
      </c>
      <c r="Q52" s="1"/>
      <c r="R52" s="5">
        <f t="shared" si="28"/>
        <v>0</v>
      </c>
      <c r="S52" s="1"/>
      <c r="T52" s="1">
        <f>SUM(OSRRefT22_8x_0)</f>
        <v>2101.6799999999998</v>
      </c>
      <c r="U52" s="1"/>
      <c r="V52" s="5">
        <f t="shared" si="29"/>
        <v>0</v>
      </c>
      <c r="W52" s="1"/>
      <c r="X52" s="1">
        <f t="shared" si="30"/>
        <v>-365.03999999999974</v>
      </c>
      <c r="Y52" s="1"/>
      <c r="Z52" s="5">
        <f t="shared" si="31"/>
        <v>-0.1736896197327851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208.98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-91.260000000000019</v>
      </c>
      <c r="M53" s="2"/>
      <c r="N53" s="7">
        <f t="shared" si="27"/>
        <v>-0.30395683453237415</v>
      </c>
      <c r="O53" s="11"/>
      <c r="P53" s="6">
        <v>1736.64</v>
      </c>
      <c r="Q53" s="2"/>
      <c r="R53" s="7">
        <f t="shared" si="28"/>
        <v>0</v>
      </c>
      <c r="S53" s="2"/>
      <c r="T53" s="6">
        <v>2101.6799999999998</v>
      </c>
      <c r="U53" s="2"/>
      <c r="V53" s="7">
        <f t="shared" si="29"/>
        <v>0</v>
      </c>
      <c r="W53" s="2"/>
      <c r="X53" s="6">
        <f t="shared" si="30"/>
        <v>-365.03999999999974</v>
      </c>
      <c r="Y53" s="2"/>
      <c r="Z53" s="7">
        <f t="shared" si="31"/>
        <v>-0.1736896197327851</v>
      </c>
    </row>
    <row r="54" spans="1:26" s="26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691.6</v>
      </c>
      <c r="E54" s="1"/>
      <c r="F54" s="5">
        <f t="shared" si="24"/>
        <v>0</v>
      </c>
      <c r="G54" s="1"/>
      <c r="H54" s="1">
        <f>SUM(OSRRefH22_9x_0)</f>
        <v>693.11</v>
      </c>
      <c r="I54" s="1"/>
      <c r="J54" s="5">
        <f t="shared" si="25"/>
        <v>0</v>
      </c>
      <c r="K54" s="1"/>
      <c r="L54" s="1">
        <f t="shared" si="26"/>
        <v>-1.5099999999999909</v>
      </c>
      <c r="M54" s="1"/>
      <c r="N54" s="5">
        <f t="shared" si="27"/>
        <v>-2.1785863715715987E-3</v>
      </c>
      <c r="O54" s="13"/>
      <c r="P54" s="1">
        <f>SUM(OSRRefP22_9x_0)</f>
        <v>1856.5</v>
      </c>
      <c r="Q54" s="1"/>
      <c r="R54" s="5">
        <f t="shared" si="28"/>
        <v>0</v>
      </c>
      <c r="S54" s="1"/>
      <c r="T54" s="1">
        <f>SUM(OSRRefT22_9x_0)</f>
        <v>1942.44</v>
      </c>
      <c r="U54" s="1"/>
      <c r="V54" s="5">
        <f t="shared" si="29"/>
        <v>0</v>
      </c>
      <c r="W54" s="1"/>
      <c r="X54" s="1">
        <f t="shared" si="30"/>
        <v>-85.940000000000055</v>
      </c>
      <c r="Y54" s="1"/>
      <c r="Z54" s="5">
        <f t="shared" si="31"/>
        <v>-4.4243322831078465E-2</v>
      </c>
    </row>
    <row r="55" spans="1:26" s="24" customFormat="1" hidden="1" outlineLevel="2" x14ac:dyDescent="0.25">
      <c r="A55" s="25"/>
      <c r="B55" s="11" t="str">
        <f>CONCATENATE("          ", "6307", " - ", "POSTAGE")</f>
        <v xml:space="preserve">          6307 - POSTAGE</v>
      </c>
      <c r="C55" s="11"/>
      <c r="D55" s="6">
        <v>691.6</v>
      </c>
      <c r="E55" s="2"/>
      <c r="F55" s="7">
        <f t="shared" si="24"/>
        <v>0</v>
      </c>
      <c r="G55" s="2"/>
      <c r="H55" s="6">
        <v>693.11</v>
      </c>
      <c r="I55" s="2"/>
      <c r="J55" s="7">
        <f t="shared" si="25"/>
        <v>0</v>
      </c>
      <c r="K55" s="2"/>
      <c r="L55" s="6">
        <f t="shared" si="26"/>
        <v>-1.5099999999999909</v>
      </c>
      <c r="M55" s="2"/>
      <c r="N55" s="7">
        <f t="shared" si="27"/>
        <v>-2.1785863715715987E-3</v>
      </c>
      <c r="O55" s="11"/>
      <c r="P55" s="6">
        <v>1856.5</v>
      </c>
      <c r="Q55" s="2"/>
      <c r="R55" s="7">
        <f t="shared" si="28"/>
        <v>0</v>
      </c>
      <c r="S55" s="2"/>
      <c r="T55" s="6">
        <v>1942.44</v>
      </c>
      <c r="U55" s="2"/>
      <c r="V55" s="7">
        <f t="shared" si="29"/>
        <v>0</v>
      </c>
      <c r="W55" s="2"/>
      <c r="X55" s="6">
        <f t="shared" si="30"/>
        <v>-85.940000000000055</v>
      </c>
      <c r="Y55" s="2"/>
      <c r="Z55" s="7">
        <f t="shared" si="31"/>
        <v>-4.4243322831078465E-2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173.21</v>
      </c>
      <c r="E56" s="1"/>
      <c r="F56" s="5">
        <f t="shared" si="24"/>
        <v>0</v>
      </c>
      <c r="G56" s="1"/>
      <c r="H56" s="1">
        <f>SUM(OSRRefH22_10x_0)</f>
        <v>-610.4</v>
      </c>
      <c r="I56" s="1"/>
      <c r="J56" s="5">
        <f t="shared" si="25"/>
        <v>0</v>
      </c>
      <c r="K56" s="1"/>
      <c r="L56" s="1">
        <f t="shared" si="26"/>
        <v>783.61</v>
      </c>
      <c r="M56" s="1"/>
      <c r="N56" s="5">
        <f t="shared" si="27"/>
        <v>-1.2837647444298821</v>
      </c>
      <c r="O56" s="13"/>
      <c r="P56" s="1">
        <f>SUM(OSRRefP22_10x_0)</f>
        <v>12808.64</v>
      </c>
      <c r="Q56" s="1"/>
      <c r="R56" s="5">
        <f t="shared" si="28"/>
        <v>0</v>
      </c>
      <c r="S56" s="1"/>
      <c r="T56" s="1">
        <f>SUM(OSRRefT22_10x_0)</f>
        <v>8677.7199999999993</v>
      </c>
      <c r="U56" s="1"/>
      <c r="V56" s="5">
        <f t="shared" si="29"/>
        <v>0</v>
      </c>
      <c r="W56" s="1"/>
      <c r="X56" s="1">
        <f t="shared" si="30"/>
        <v>4130.92</v>
      </c>
      <c r="Y56" s="1"/>
      <c r="Z56" s="5">
        <f t="shared" si="31"/>
        <v>0.47603748450053707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>
        <v>173.21</v>
      </c>
      <c r="E57" s="2"/>
      <c r="F57" s="7">
        <f t="shared" si="24"/>
        <v>0</v>
      </c>
      <c r="G57" s="2"/>
      <c r="H57" s="6">
        <v>-610.4</v>
      </c>
      <c r="I57" s="2"/>
      <c r="J57" s="7">
        <f t="shared" si="25"/>
        <v>0</v>
      </c>
      <c r="K57" s="2"/>
      <c r="L57" s="6">
        <f t="shared" si="26"/>
        <v>783.61</v>
      </c>
      <c r="M57" s="2"/>
      <c r="N57" s="7">
        <f t="shared" si="27"/>
        <v>-1.2837647444298821</v>
      </c>
      <c r="O57" s="11"/>
      <c r="P57" s="6">
        <v>12808.64</v>
      </c>
      <c r="Q57" s="2"/>
      <c r="R57" s="7">
        <f t="shared" si="28"/>
        <v>0</v>
      </c>
      <c r="S57" s="2"/>
      <c r="T57" s="6">
        <v>8677.7199999999993</v>
      </c>
      <c r="U57" s="2"/>
      <c r="V57" s="7">
        <f t="shared" si="29"/>
        <v>0</v>
      </c>
      <c r="W57" s="2"/>
      <c r="X57" s="6">
        <f t="shared" si="30"/>
        <v>4130.92</v>
      </c>
      <c r="Y57" s="2"/>
      <c r="Z57" s="7">
        <f t="shared" si="31"/>
        <v>0.47603748450053707</v>
      </c>
    </row>
    <row r="58" spans="1:26" s="26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724.89</v>
      </c>
      <c r="I58" s="1"/>
      <c r="J58" s="5">
        <f t="shared" si="25"/>
        <v>0</v>
      </c>
      <c r="K58" s="1"/>
      <c r="L58" s="1">
        <f t="shared" si="26"/>
        <v>-331.21999999999997</v>
      </c>
      <c r="M58" s="1"/>
      <c r="N58" s="5">
        <f t="shared" si="27"/>
        <v>-0.45692449888948666</v>
      </c>
      <c r="O58" s="13"/>
      <c r="P58" s="1">
        <f>SUM(OSRRefP22_11x_0)</f>
        <v>2755.69</v>
      </c>
      <c r="Q58" s="1"/>
      <c r="R58" s="5">
        <f t="shared" si="28"/>
        <v>0</v>
      </c>
      <c r="S58" s="1"/>
      <c r="T58" s="1">
        <f>SUM(OSRRefT22_11x_0)</f>
        <v>2950.23</v>
      </c>
      <c r="U58" s="1"/>
      <c r="V58" s="5">
        <f t="shared" si="29"/>
        <v>0</v>
      </c>
      <c r="W58" s="1"/>
      <c r="X58" s="1">
        <f t="shared" si="30"/>
        <v>-194.53999999999996</v>
      </c>
      <c r="Y58" s="1"/>
      <c r="Z58" s="5">
        <f t="shared" si="31"/>
        <v>-6.5940621578656572E-2</v>
      </c>
    </row>
    <row r="59" spans="1:26" s="24" customFormat="1" hidden="1" outlineLevel="2" x14ac:dyDescent="0.25">
      <c r="A59" s="25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724.89</v>
      </c>
      <c r="I59" s="2"/>
      <c r="J59" s="7">
        <f t="shared" si="25"/>
        <v>0</v>
      </c>
      <c r="K59" s="2"/>
      <c r="L59" s="6">
        <f t="shared" si="26"/>
        <v>-331.21999999999997</v>
      </c>
      <c r="M59" s="2"/>
      <c r="N59" s="7">
        <f t="shared" si="27"/>
        <v>-0.45692449888948666</v>
      </c>
      <c r="O59" s="11"/>
      <c r="P59" s="6">
        <v>2755.69</v>
      </c>
      <c r="Q59" s="2"/>
      <c r="R59" s="7">
        <f t="shared" si="28"/>
        <v>0</v>
      </c>
      <c r="S59" s="2"/>
      <c r="T59" s="6">
        <v>2950.23</v>
      </c>
      <c r="U59" s="2"/>
      <c r="V59" s="7">
        <f t="shared" si="29"/>
        <v>0</v>
      </c>
      <c r="W59" s="2"/>
      <c r="X59" s="6">
        <f t="shared" si="30"/>
        <v>-194.53999999999996</v>
      </c>
      <c r="Y59" s="2"/>
      <c r="Z59" s="7">
        <f t="shared" si="31"/>
        <v>-6.5940621578656572E-2</v>
      </c>
    </row>
    <row r="60" spans="1:26" s="26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12008.95</v>
      </c>
      <c r="E60" s="1"/>
      <c r="F60" s="5">
        <f t="shared" si="24"/>
        <v>0</v>
      </c>
      <c r="G60" s="1"/>
      <c r="H60" s="1">
        <f>SUM(OSRRefH22_12x_0)</f>
        <v>16925.25</v>
      </c>
      <c r="I60" s="1"/>
      <c r="J60" s="5">
        <f t="shared" si="25"/>
        <v>0</v>
      </c>
      <c r="K60" s="1"/>
      <c r="L60" s="1">
        <f t="shared" si="26"/>
        <v>-4916.2999999999993</v>
      </c>
      <c r="M60" s="1"/>
      <c r="N60" s="5">
        <f t="shared" si="27"/>
        <v>-0.29047133720329088</v>
      </c>
      <c r="O60" s="13"/>
      <c r="P60" s="1">
        <f>SUM(OSRRefP22_12x_0)</f>
        <v>156046.72999999998</v>
      </c>
      <c r="Q60" s="1"/>
      <c r="R60" s="5">
        <f t="shared" si="28"/>
        <v>0</v>
      </c>
      <c r="S60" s="1"/>
      <c r="T60" s="1">
        <f>SUM(OSRRefT22_12x_0)</f>
        <v>140971.94</v>
      </c>
      <c r="U60" s="1"/>
      <c r="V60" s="5">
        <f t="shared" si="29"/>
        <v>0</v>
      </c>
      <c r="W60" s="1"/>
      <c r="X60" s="1">
        <f t="shared" si="30"/>
        <v>15074.789999999979</v>
      </c>
      <c r="Y60" s="1"/>
      <c r="Z60" s="5">
        <f t="shared" si="31"/>
        <v>0.10693468501603921</v>
      </c>
    </row>
    <row r="61" spans="1:26" s="24" customFormat="1" hidden="1" outlineLevel="2" x14ac:dyDescent="0.25">
      <c r="A61" s="25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11487</v>
      </c>
      <c r="E61" s="2"/>
      <c r="F61" s="7">
        <f t="shared" si="24"/>
        <v>0</v>
      </c>
      <c r="G61" s="2"/>
      <c r="H61" s="6">
        <v>16575.25</v>
      </c>
      <c r="I61" s="2"/>
      <c r="J61" s="7">
        <f t="shared" si="25"/>
        <v>0</v>
      </c>
      <c r="K61" s="2"/>
      <c r="L61" s="6">
        <f t="shared" si="26"/>
        <v>-5088.25</v>
      </c>
      <c r="M61" s="2"/>
      <c r="N61" s="7">
        <f t="shared" si="27"/>
        <v>-0.30697877860062445</v>
      </c>
      <c r="O61" s="11"/>
      <c r="P61" s="6">
        <v>80236</v>
      </c>
      <c r="Q61" s="2"/>
      <c r="R61" s="7">
        <f t="shared" si="28"/>
        <v>0</v>
      </c>
      <c r="S61" s="2"/>
      <c r="T61" s="6">
        <v>78900.75</v>
      </c>
      <c r="U61" s="2"/>
      <c r="V61" s="7">
        <f t="shared" si="29"/>
        <v>0</v>
      </c>
      <c r="W61" s="2"/>
      <c r="X61" s="6">
        <f t="shared" si="30"/>
        <v>1335.25</v>
      </c>
      <c r="Y61" s="2"/>
      <c r="Z61" s="7">
        <f t="shared" si="31"/>
        <v>1.6923159792524151E-2</v>
      </c>
    </row>
    <row r="62" spans="1:26" s="24" customFormat="1" hidden="1" outlineLevel="2" x14ac:dyDescent="0.25">
      <c r="A62" s="25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>
        <v>15144.74</v>
      </c>
      <c r="Q62" s="2"/>
      <c r="R62" s="7">
        <f t="shared" si="28"/>
        <v>0</v>
      </c>
      <c r="S62" s="2"/>
      <c r="T62" s="6">
        <v>52450</v>
      </c>
      <c r="U62" s="2"/>
      <c r="V62" s="7">
        <f t="shared" si="29"/>
        <v>0</v>
      </c>
      <c r="W62" s="2"/>
      <c r="X62" s="6">
        <f t="shared" si="30"/>
        <v>-37305.26</v>
      </c>
      <c r="Y62" s="2"/>
      <c r="Z62" s="7">
        <f t="shared" si="31"/>
        <v>-0.71125376549094377</v>
      </c>
    </row>
    <row r="63" spans="1:26" s="24" customFormat="1" hidden="1" outlineLevel="2" x14ac:dyDescent="0.25">
      <c r="A63" s="25"/>
      <c r="B63" s="11" t="str">
        <f>CONCATENATE("          ", "6334", " - ", "LEGAL COUNCIL EXPENSE")</f>
        <v xml:space="preserve">          6334 - LEGAL COUNCIL EXPENSE</v>
      </c>
      <c r="C63" s="11"/>
      <c r="D63" s="6"/>
      <c r="E63" s="2"/>
      <c r="F63" s="7">
        <f t="shared" si="24"/>
        <v>0</v>
      </c>
      <c r="G63" s="2"/>
      <c r="H63" s="6">
        <v>350</v>
      </c>
      <c r="I63" s="2"/>
      <c r="J63" s="7">
        <f t="shared" si="25"/>
        <v>0</v>
      </c>
      <c r="K63" s="2"/>
      <c r="L63" s="6">
        <f t="shared" si="26"/>
        <v>-350</v>
      </c>
      <c r="M63" s="2"/>
      <c r="N63" s="7">
        <f t="shared" si="27"/>
        <v>-1</v>
      </c>
      <c r="O63" s="11"/>
      <c r="P63" s="6">
        <v>38300</v>
      </c>
      <c r="Q63" s="2"/>
      <c r="R63" s="7">
        <f t="shared" si="28"/>
        <v>0</v>
      </c>
      <c r="S63" s="2"/>
      <c r="T63" s="6">
        <v>1357.79</v>
      </c>
      <c r="U63" s="2"/>
      <c r="V63" s="7">
        <f t="shared" si="29"/>
        <v>0</v>
      </c>
      <c r="W63" s="2"/>
      <c r="X63" s="6">
        <f t="shared" si="30"/>
        <v>36942.21</v>
      </c>
      <c r="Y63" s="2"/>
      <c r="Z63" s="7">
        <f t="shared" si="31"/>
        <v>27.207602059228599</v>
      </c>
    </row>
    <row r="64" spans="1:26" s="24" customFormat="1" hidden="1" outlineLevel="2" x14ac:dyDescent="0.25">
      <c r="A64" s="25"/>
      <c r="B64" s="11" t="str">
        <f>CONCATENATE("          ", "6336", " - ", "PROFESSIONAL SERVICES")</f>
        <v xml:space="preserve">          6336 - PROFESSIONAL SERVICES</v>
      </c>
      <c r="C64" s="11"/>
      <c r="D64" s="6">
        <v>521.95000000000005</v>
      </c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521.95000000000005</v>
      </c>
      <c r="M64" s="2"/>
      <c r="N64" s="7">
        <f t="shared" si="27"/>
        <v>0</v>
      </c>
      <c r="O64" s="11"/>
      <c r="P64" s="6">
        <v>22365.99</v>
      </c>
      <c r="Q64" s="2"/>
      <c r="R64" s="7">
        <f t="shared" si="28"/>
        <v>0</v>
      </c>
      <c r="S64" s="2"/>
      <c r="T64" s="6">
        <v>8263.4</v>
      </c>
      <c r="U64" s="2"/>
      <c r="V64" s="7">
        <f t="shared" si="29"/>
        <v>0</v>
      </c>
      <c r="W64" s="2"/>
      <c r="X64" s="6">
        <f t="shared" si="30"/>
        <v>14102.590000000002</v>
      </c>
      <c r="Y64" s="2"/>
      <c r="Z64" s="7">
        <f t="shared" si="31"/>
        <v>1.7066328629861804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31339.93</v>
      </c>
      <c r="E65" s="1"/>
      <c r="F65" s="5">
        <f t="shared" ref="F65:F69" si="32">IF(D$12=0,0,D65/D$12)</f>
        <v>0</v>
      </c>
      <c r="G65" s="1"/>
      <c r="H65" s="1">
        <f>SUM(OSRRefH22_13x_0)</f>
        <v>29843.05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1496.880000000001</v>
      </c>
      <c r="M65" s="1"/>
      <c r="N65" s="5">
        <f t="shared" ref="N65:N69" si="35">IF(H65=0,0,L65/H65)</f>
        <v>5.0158412092597811E-2</v>
      </c>
      <c r="O65" s="13"/>
      <c r="P65" s="1">
        <f>SUM(OSRRefP22_13x_0)</f>
        <v>190248.59</v>
      </c>
      <c r="Q65" s="1"/>
      <c r="R65" s="5">
        <f t="shared" ref="R65:R69" si="36">IF(P$12=0,0,P65/P$12)</f>
        <v>0</v>
      </c>
      <c r="S65" s="1"/>
      <c r="T65" s="1">
        <f>SUM(OSRRefT22_13x_0)</f>
        <v>195028.85000000003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-4780.2600000000384</v>
      </c>
      <c r="Y65" s="1"/>
      <c r="Z65" s="5">
        <f t="shared" ref="Z65:Z69" si="39">IF(T65=0,0,X65/T65)</f>
        <v>-2.4510527545027506E-2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13377.15</v>
      </c>
      <c r="E66" s="2"/>
      <c r="F66" s="7">
        <f t="shared" si="32"/>
        <v>0</v>
      </c>
      <c r="G66" s="2"/>
      <c r="H66" s="6">
        <v>12232.23</v>
      </c>
      <c r="I66" s="2"/>
      <c r="J66" s="7">
        <f t="shared" si="33"/>
        <v>0</v>
      </c>
      <c r="K66" s="2"/>
      <c r="L66" s="6">
        <f t="shared" si="34"/>
        <v>1144.92</v>
      </c>
      <c r="M66" s="2"/>
      <c r="N66" s="7">
        <f t="shared" si="35"/>
        <v>9.3598632465216894E-2</v>
      </c>
      <c r="O66" s="11"/>
      <c r="P66" s="6">
        <v>86816.04</v>
      </c>
      <c r="Q66" s="2"/>
      <c r="R66" s="7">
        <f t="shared" si="36"/>
        <v>0</v>
      </c>
      <c r="S66" s="2"/>
      <c r="T66" s="6">
        <v>86138.790000000008</v>
      </c>
      <c r="U66" s="2"/>
      <c r="V66" s="7">
        <f t="shared" si="37"/>
        <v>0</v>
      </c>
      <c r="W66" s="2"/>
      <c r="X66" s="6">
        <f t="shared" si="38"/>
        <v>677.24999999998545</v>
      </c>
      <c r="Y66" s="2"/>
      <c r="Z66" s="7">
        <f t="shared" si="39"/>
        <v>7.862311509135262E-3</v>
      </c>
    </row>
    <row r="67" spans="1:26" s="24" customFormat="1" hidden="1" outlineLevel="2" x14ac:dyDescent="0.25">
      <c r="A67" s="25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/>
      <c r="Q67" s="2"/>
      <c r="R67" s="7">
        <f t="shared" si="36"/>
        <v>0</v>
      </c>
      <c r="S67" s="2"/>
      <c r="T67" s="6">
        <v>321.92</v>
      </c>
      <c r="U67" s="2"/>
      <c r="V67" s="7">
        <f t="shared" si="37"/>
        <v>0</v>
      </c>
      <c r="W67" s="2"/>
      <c r="X67" s="6">
        <f t="shared" si="38"/>
        <v>-321.92</v>
      </c>
      <c r="Y67" s="2"/>
      <c r="Z67" s="7">
        <f t="shared" si="39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17896.78</v>
      </c>
      <c r="E68" s="2"/>
      <c r="F68" s="7">
        <f t="shared" si="32"/>
        <v>0</v>
      </c>
      <c r="G68" s="2"/>
      <c r="H68" s="6">
        <v>17444.18</v>
      </c>
      <c r="I68" s="2"/>
      <c r="J68" s="7">
        <f t="shared" si="33"/>
        <v>0</v>
      </c>
      <c r="K68" s="2"/>
      <c r="L68" s="6">
        <f t="shared" si="34"/>
        <v>452.59999999999854</v>
      </c>
      <c r="M68" s="2"/>
      <c r="N68" s="7">
        <f t="shared" si="35"/>
        <v>2.5945616245647462E-2</v>
      </c>
      <c r="O68" s="11"/>
      <c r="P68" s="6">
        <v>101723.47</v>
      </c>
      <c r="Q68" s="2"/>
      <c r="R68" s="7">
        <f t="shared" si="36"/>
        <v>0</v>
      </c>
      <c r="S68" s="2"/>
      <c r="T68" s="6">
        <v>104300.25</v>
      </c>
      <c r="U68" s="2"/>
      <c r="V68" s="7">
        <f t="shared" si="37"/>
        <v>0</v>
      </c>
      <c r="W68" s="2"/>
      <c r="X68" s="6">
        <f t="shared" si="38"/>
        <v>-2576.7799999999988</v>
      </c>
      <c r="Y68" s="2"/>
      <c r="Z68" s="7">
        <f t="shared" si="39"/>
        <v>-2.4705405787617946E-2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66</v>
      </c>
      <c r="E69" s="2"/>
      <c r="F69" s="7">
        <f t="shared" si="32"/>
        <v>0</v>
      </c>
      <c r="G69" s="2"/>
      <c r="H69" s="6">
        <v>166.64</v>
      </c>
      <c r="I69" s="2"/>
      <c r="J69" s="7">
        <f t="shared" si="33"/>
        <v>0</v>
      </c>
      <c r="K69" s="2"/>
      <c r="L69" s="6">
        <f t="shared" si="34"/>
        <v>-100.63999999999999</v>
      </c>
      <c r="M69" s="2"/>
      <c r="N69" s="7">
        <f t="shared" si="35"/>
        <v>-0.60393662986077767</v>
      </c>
      <c r="O69" s="11"/>
      <c r="P69" s="6">
        <v>1709.08</v>
      </c>
      <c r="Q69" s="2"/>
      <c r="R69" s="7">
        <f t="shared" si="36"/>
        <v>0</v>
      </c>
      <c r="S69" s="2"/>
      <c r="T69" s="6">
        <v>4267.8900000000003</v>
      </c>
      <c r="U69" s="2"/>
      <c r="V69" s="7">
        <f t="shared" si="37"/>
        <v>0</v>
      </c>
      <c r="W69" s="2"/>
      <c r="X69" s="6">
        <f t="shared" si="38"/>
        <v>-2558.8100000000004</v>
      </c>
      <c r="Y69" s="2"/>
      <c r="Z69" s="7">
        <f t="shared" si="39"/>
        <v>-0.59954919175517651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608.45000000000005</v>
      </c>
      <c r="E70" s="1"/>
      <c r="F70" s="5">
        <f t="shared" ref="F70:F72" si="40">IF(D$12=0,0,D70/D$12)</f>
        <v>0</v>
      </c>
      <c r="G70" s="1"/>
      <c r="H70" s="1">
        <f>SUM(OSRRefH22_14x_0)</f>
        <v>657.25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-48.799999999999955</v>
      </c>
      <c r="M70" s="1"/>
      <c r="N70" s="5">
        <f t="shared" ref="N70:N72" si="43">IF(H70=0,0,L70/H70)</f>
        <v>-7.4248763788512667E-2</v>
      </c>
      <c r="O70" s="13"/>
      <c r="P70" s="1">
        <f>SUM(OSRRefP22_14x_0)</f>
        <v>8756.4699999999993</v>
      </c>
      <c r="Q70" s="1"/>
      <c r="R70" s="5">
        <f t="shared" ref="R70:R72" si="44">IF(P$12=0,0,P70/P$12)</f>
        <v>0</v>
      </c>
      <c r="S70" s="1"/>
      <c r="T70" s="1">
        <f>SUM(OSRRefT22_14x_0)</f>
        <v>4099.99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4656.4799999999996</v>
      </c>
      <c r="Y70" s="1"/>
      <c r="Z70" s="5">
        <f t="shared" ref="Z70:Z72" si="47">IF(T70=0,0,X70/T70)</f>
        <v>1.1357295993404861</v>
      </c>
    </row>
    <row r="71" spans="1:26" s="24" customFormat="1" hidden="1" outlineLevel="2" x14ac:dyDescent="0.25">
      <c r="A71" s="25"/>
      <c r="B71" s="11" t="str">
        <f>CONCATENATE("          ", "6281", " - ", "STORAGE FEE")</f>
        <v xml:space="preserve">          6281 - STORAGE FEE</v>
      </c>
      <c r="C71" s="11"/>
      <c r="D71" s="6">
        <v>599.61</v>
      </c>
      <c r="E71" s="2"/>
      <c r="F71" s="7">
        <f t="shared" si="40"/>
        <v>0</v>
      </c>
      <c r="G71" s="2"/>
      <c r="H71" s="6">
        <v>650.16999999999996</v>
      </c>
      <c r="I71" s="2"/>
      <c r="J71" s="7">
        <f t="shared" si="41"/>
        <v>0</v>
      </c>
      <c r="K71" s="2"/>
      <c r="L71" s="6">
        <f t="shared" si="42"/>
        <v>-50.559999999999945</v>
      </c>
      <c r="M71" s="2"/>
      <c r="N71" s="7">
        <f t="shared" si="43"/>
        <v>-7.7764277035236862E-2</v>
      </c>
      <c r="O71" s="11"/>
      <c r="P71" s="6">
        <v>8699.01</v>
      </c>
      <c r="Q71" s="2"/>
      <c r="R71" s="7">
        <f t="shared" si="44"/>
        <v>0</v>
      </c>
      <c r="S71" s="2"/>
      <c r="T71" s="6">
        <v>4046.89</v>
      </c>
      <c r="U71" s="2"/>
      <c r="V71" s="7">
        <f t="shared" si="45"/>
        <v>0</v>
      </c>
      <c r="W71" s="2"/>
      <c r="X71" s="6">
        <f t="shared" si="46"/>
        <v>4652.1200000000008</v>
      </c>
      <c r="Y71" s="2"/>
      <c r="Z71" s="7">
        <f t="shared" si="47"/>
        <v>1.1495543491421809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8.84</v>
      </c>
      <c r="E72" s="2"/>
      <c r="F72" s="7">
        <f t="shared" si="40"/>
        <v>0</v>
      </c>
      <c r="G72" s="2"/>
      <c r="H72" s="6">
        <v>7.08</v>
      </c>
      <c r="I72" s="2"/>
      <c r="J72" s="7">
        <f t="shared" si="41"/>
        <v>0</v>
      </c>
      <c r="K72" s="2"/>
      <c r="L72" s="6">
        <f t="shared" si="42"/>
        <v>1.7599999999999998</v>
      </c>
      <c r="M72" s="2"/>
      <c r="N72" s="7">
        <f t="shared" si="43"/>
        <v>0.24858757062146888</v>
      </c>
      <c r="O72" s="11"/>
      <c r="P72" s="6">
        <v>57.46</v>
      </c>
      <c r="Q72" s="2"/>
      <c r="R72" s="7">
        <f t="shared" si="44"/>
        <v>0</v>
      </c>
      <c r="S72" s="2"/>
      <c r="T72" s="6">
        <v>53.1</v>
      </c>
      <c r="U72" s="2"/>
      <c r="V72" s="7">
        <f t="shared" si="45"/>
        <v>0</v>
      </c>
      <c r="W72" s="2"/>
      <c r="X72" s="6">
        <f t="shared" si="46"/>
        <v>4.3599999999999994</v>
      </c>
      <c r="Y72" s="2"/>
      <c r="Z72" s="7">
        <f t="shared" si="47"/>
        <v>8.2109227871939722E-2</v>
      </c>
    </row>
    <row r="73" spans="1:26" s="26" customFormat="1" outlineLevel="1" collapsed="1" x14ac:dyDescent="0.25">
      <c r="A73" s="27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0</v>
      </c>
      <c r="E73" s="1"/>
      <c r="F73" s="5">
        <f t="shared" ref="F73:F75" si="48">IF(D$12=0,0,D73/D$12)</f>
        <v>0</v>
      </c>
      <c r="G73" s="1"/>
      <c r="H73" s="1">
        <f>SUM(OSRRefH22_15x_0)</f>
        <v>1886.01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-1886.01</v>
      </c>
      <c r="M73" s="1"/>
      <c r="N73" s="5">
        <f t="shared" ref="N73:N75" si="51">IF(H73=0,0,L73/H73)</f>
        <v>-1</v>
      </c>
      <c r="O73" s="13"/>
      <c r="P73" s="1">
        <f>SUM(OSRRefP22_15x_0)</f>
        <v>2421</v>
      </c>
      <c r="Q73" s="1"/>
      <c r="R73" s="5">
        <f t="shared" ref="R73:R75" si="52">IF(P$12=0,0,P73/P$12)</f>
        <v>0</v>
      </c>
      <c r="S73" s="1"/>
      <c r="T73" s="1">
        <f>SUM(OSRRefT22_15x_0)</f>
        <v>3703.01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-1282.0100000000002</v>
      </c>
      <c r="Y73" s="1"/>
      <c r="Z73" s="5">
        <f t="shared" ref="Z73:Z75" si="55">IF(T73=0,0,X73/T73)</f>
        <v>-0.34620754467311732</v>
      </c>
    </row>
    <row r="74" spans="1:26" s="24" customFormat="1" hidden="1" outlineLevel="2" x14ac:dyDescent="0.25">
      <c r="A74" s="25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2421</v>
      </c>
      <c r="Q74" s="2"/>
      <c r="R74" s="7">
        <f t="shared" si="52"/>
        <v>0</v>
      </c>
      <c r="S74" s="2"/>
      <c r="T74" s="6">
        <v>1817</v>
      </c>
      <c r="U74" s="2"/>
      <c r="V74" s="7">
        <f t="shared" si="53"/>
        <v>0</v>
      </c>
      <c r="W74" s="2"/>
      <c r="X74" s="6">
        <f t="shared" si="54"/>
        <v>604</v>
      </c>
      <c r="Y74" s="2"/>
      <c r="Z74" s="7">
        <f t="shared" si="55"/>
        <v>0.33241607044578975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48"/>
        <v>0</v>
      </c>
      <c r="G75" s="2"/>
      <c r="H75" s="6">
        <v>1886.01</v>
      </c>
      <c r="I75" s="2"/>
      <c r="J75" s="7">
        <f t="shared" si="49"/>
        <v>0</v>
      </c>
      <c r="K75" s="2"/>
      <c r="L75" s="6">
        <f t="shared" si="50"/>
        <v>-1886.01</v>
      </c>
      <c r="M75" s="2"/>
      <c r="N75" s="7">
        <f t="shared" si="51"/>
        <v>-1</v>
      </c>
      <c r="O75" s="11"/>
      <c r="P75" s="6"/>
      <c r="Q75" s="2"/>
      <c r="R75" s="7">
        <f t="shared" si="52"/>
        <v>0</v>
      </c>
      <c r="S75" s="2"/>
      <c r="T75" s="6">
        <v>1886.01</v>
      </c>
      <c r="U75" s="2"/>
      <c r="V75" s="7">
        <f t="shared" si="53"/>
        <v>0</v>
      </c>
      <c r="W75" s="2"/>
      <c r="X75" s="6">
        <f t="shared" si="54"/>
        <v>-1886.01</v>
      </c>
      <c r="Y75" s="2"/>
      <c r="Z75" s="7">
        <f t="shared" si="55"/>
        <v>-1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SUM(OSRRefD22_16x_0)</f>
        <v>6224.38</v>
      </c>
      <c r="E76" s="1"/>
      <c r="F76" s="5">
        <f t="shared" ref="F76:F80" si="56">IF(D$12=0,0,D76/D$12)</f>
        <v>0</v>
      </c>
      <c r="G76" s="1"/>
      <c r="H76" s="1">
        <f>SUM(OSRRefH22_16x_0)</f>
        <v>2095.44</v>
      </c>
      <c r="I76" s="1"/>
      <c r="J76" s="5">
        <f t="shared" ref="J76:J80" si="57">IF(H$12=0,0,H76/H$12)</f>
        <v>0</v>
      </c>
      <c r="K76" s="1"/>
      <c r="L76" s="1">
        <f t="shared" ref="L76:L80" si="58">+D76-H76</f>
        <v>4128.9400000000005</v>
      </c>
      <c r="M76" s="1"/>
      <c r="N76" s="5">
        <f t="shared" ref="N76:N80" si="59">IF(H76=0,0,L76/H76)</f>
        <v>1.9704405757263392</v>
      </c>
      <c r="O76" s="13"/>
      <c r="P76" s="1">
        <f>SUM(OSRRefP22_16x_0)</f>
        <v>48581.59</v>
      </c>
      <c r="Q76" s="1"/>
      <c r="R76" s="5">
        <f t="shared" ref="R76:R80" si="60">IF(P$12=0,0,P76/P$12)</f>
        <v>0</v>
      </c>
      <c r="S76" s="1"/>
      <c r="T76" s="1">
        <f>SUM(OSRRefT22_16x_0)</f>
        <v>50723.030000000006</v>
      </c>
      <c r="U76" s="1"/>
      <c r="V76" s="5">
        <f t="shared" ref="V76:V80" si="61">IF(T$12=0,0,T76/T$12)</f>
        <v>0</v>
      </c>
      <c r="W76" s="1"/>
      <c r="X76" s="1">
        <f t="shared" ref="X76:X80" si="62">+P76-T76</f>
        <v>-2141.4400000000096</v>
      </c>
      <c r="Y76" s="1"/>
      <c r="Z76" s="5">
        <f t="shared" ref="Z76:Z80" si="63">IF(T76=0,0,X76/T76)</f>
        <v>-4.2218298078801862E-2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6"/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0</v>
      </c>
      <c r="M77" s="2"/>
      <c r="N77" s="7">
        <f t="shared" si="59"/>
        <v>0</v>
      </c>
      <c r="O77" s="11"/>
      <c r="P77" s="6">
        <v>1223.6099999999999</v>
      </c>
      <c r="Q77" s="2"/>
      <c r="R77" s="7">
        <f t="shared" si="60"/>
        <v>0</v>
      </c>
      <c r="S77" s="2"/>
      <c r="T77" s="6">
        <v>4924.16</v>
      </c>
      <c r="U77" s="2"/>
      <c r="V77" s="7">
        <f t="shared" si="61"/>
        <v>0</v>
      </c>
      <c r="W77" s="2"/>
      <c r="X77" s="6">
        <f t="shared" si="62"/>
        <v>-3700.55</v>
      </c>
      <c r="Y77" s="2"/>
      <c r="Z77" s="7">
        <f t="shared" si="63"/>
        <v>-0.75150888679490513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6">
        <v>5775.67</v>
      </c>
      <c r="E78" s="2"/>
      <c r="F78" s="7">
        <f t="shared" si="56"/>
        <v>0</v>
      </c>
      <c r="G78" s="2"/>
      <c r="H78" s="6">
        <v>1297.24</v>
      </c>
      <c r="I78" s="2"/>
      <c r="J78" s="7">
        <f t="shared" si="57"/>
        <v>0</v>
      </c>
      <c r="K78" s="2"/>
      <c r="L78" s="6">
        <f t="shared" si="58"/>
        <v>4478.43</v>
      </c>
      <c r="M78" s="2"/>
      <c r="N78" s="7">
        <f t="shared" si="59"/>
        <v>3.4522756005056894</v>
      </c>
      <c r="O78" s="11"/>
      <c r="P78" s="6">
        <v>42312.659999999996</v>
      </c>
      <c r="Q78" s="2"/>
      <c r="R78" s="7">
        <f t="shared" si="60"/>
        <v>0</v>
      </c>
      <c r="S78" s="2"/>
      <c r="T78" s="6">
        <v>41819.72</v>
      </c>
      <c r="U78" s="2"/>
      <c r="V78" s="7">
        <f t="shared" si="61"/>
        <v>0</v>
      </c>
      <c r="W78" s="2"/>
      <c r="X78" s="6">
        <f t="shared" si="62"/>
        <v>492.93999999999505</v>
      </c>
      <c r="Y78" s="2"/>
      <c r="Z78" s="7">
        <f t="shared" si="63"/>
        <v>1.1787262085924895E-2</v>
      </c>
    </row>
    <row r="79" spans="1:26" s="24" customFormat="1" hidden="1" outlineLevel="2" x14ac:dyDescent="0.25">
      <c r="A79" s="25"/>
      <c r="B79" s="11" t="str">
        <f>CONCATENATE("          ", "6244", " - ", "SAFETY SUPPLY EXPENSE")</f>
        <v xml:space="preserve">          6244 - SAFETY SUPPLY EXPENSE</v>
      </c>
      <c r="C79" s="11"/>
      <c r="D79" s="6">
        <v>275</v>
      </c>
      <c r="E79" s="2"/>
      <c r="F79" s="7">
        <f t="shared" si="56"/>
        <v>0</v>
      </c>
      <c r="G79" s="2"/>
      <c r="H79" s="6">
        <v>525</v>
      </c>
      <c r="I79" s="2"/>
      <c r="J79" s="7">
        <f t="shared" si="57"/>
        <v>0</v>
      </c>
      <c r="K79" s="2"/>
      <c r="L79" s="6">
        <f t="shared" si="58"/>
        <v>-250</v>
      </c>
      <c r="M79" s="2"/>
      <c r="N79" s="7">
        <f t="shared" si="59"/>
        <v>-0.47619047619047616</v>
      </c>
      <c r="O79" s="11"/>
      <c r="P79" s="6">
        <v>1832.33</v>
      </c>
      <c r="Q79" s="2"/>
      <c r="R79" s="7">
        <f t="shared" si="60"/>
        <v>0</v>
      </c>
      <c r="S79" s="2"/>
      <c r="T79" s="6">
        <v>2778.21</v>
      </c>
      <c r="U79" s="2"/>
      <c r="V79" s="7">
        <f t="shared" si="61"/>
        <v>0</v>
      </c>
      <c r="W79" s="2"/>
      <c r="X79" s="6">
        <f t="shared" si="62"/>
        <v>-945.88000000000011</v>
      </c>
      <c r="Y79" s="2"/>
      <c r="Z79" s="7">
        <f t="shared" si="63"/>
        <v>-0.34046382382901225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6">
        <v>173.71</v>
      </c>
      <c r="E80" s="2"/>
      <c r="F80" s="7">
        <f t="shared" si="56"/>
        <v>0</v>
      </c>
      <c r="G80" s="2"/>
      <c r="H80" s="6">
        <v>273.2</v>
      </c>
      <c r="I80" s="2"/>
      <c r="J80" s="7">
        <f t="shared" si="57"/>
        <v>0</v>
      </c>
      <c r="K80" s="2"/>
      <c r="L80" s="6">
        <f t="shared" si="58"/>
        <v>-99.489999999999981</v>
      </c>
      <c r="M80" s="2"/>
      <c r="N80" s="7">
        <f t="shared" si="59"/>
        <v>-0.36416544655929717</v>
      </c>
      <c r="O80" s="11"/>
      <c r="P80" s="6">
        <v>3212.99</v>
      </c>
      <c r="Q80" s="2"/>
      <c r="R80" s="7">
        <f t="shared" si="60"/>
        <v>0</v>
      </c>
      <c r="S80" s="2"/>
      <c r="T80" s="6">
        <v>1200.94</v>
      </c>
      <c r="U80" s="2"/>
      <c r="V80" s="7">
        <f t="shared" si="61"/>
        <v>0</v>
      </c>
      <c r="W80" s="2"/>
      <c r="X80" s="6">
        <f t="shared" si="62"/>
        <v>2012.0499999999997</v>
      </c>
      <c r="Y80" s="2"/>
      <c r="Z80" s="7">
        <f t="shared" si="63"/>
        <v>1.6753959398471194</v>
      </c>
    </row>
    <row r="81" spans="1:26" s="26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SUM(OSRRefD22_17x_0)</f>
        <v>2163.04</v>
      </c>
      <c r="E81" s="1"/>
      <c r="F81" s="5">
        <f t="shared" ref="F81:F83" si="64">IF(D$12=0,0,D81/D$12)</f>
        <v>0</v>
      </c>
      <c r="G81" s="1"/>
      <c r="H81" s="1">
        <f>SUM(OSRRefH22_17x_0)</f>
        <v>470.74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1692.3</v>
      </c>
      <c r="M81" s="1"/>
      <c r="N81" s="5">
        <f t="shared" ref="N81:N83" si="67">IF(H81=0,0,L81/H81)</f>
        <v>3.5949781195564428</v>
      </c>
      <c r="O81" s="13"/>
      <c r="P81" s="1">
        <f>SUM(OSRRefP22_17x_0)</f>
        <v>18782.530000000002</v>
      </c>
      <c r="Q81" s="1"/>
      <c r="R81" s="5">
        <f t="shared" ref="R81:R83" si="68">IF(P$12=0,0,P81/P$12)</f>
        <v>0</v>
      </c>
      <c r="S81" s="1"/>
      <c r="T81" s="1">
        <f>SUM(OSRRefT22_17x_0)</f>
        <v>14627.04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4155.4900000000016</v>
      </c>
      <c r="Y81" s="1"/>
      <c r="Z81" s="5">
        <f t="shared" ref="Z81:Z83" si="71">IF(T81=0,0,X81/T81)</f>
        <v>0.28409644056487171</v>
      </c>
    </row>
    <row r="82" spans="1:26" s="24" customFormat="1" hidden="1" outlineLevel="2" x14ac:dyDescent="0.25">
      <c r="A82" s="25"/>
      <c r="B82" s="11" t="str">
        <f>CONCATENATE("          ", "6303", " - ", "DATA PHONE LINES")</f>
        <v xml:space="preserve">          6303 - DATA PHONE LINES</v>
      </c>
      <c r="C82" s="11"/>
      <c r="D82" s="6">
        <v>78.989999999999995</v>
      </c>
      <c r="E82" s="2"/>
      <c r="F82" s="7">
        <f t="shared" si="64"/>
        <v>0</v>
      </c>
      <c r="G82" s="2"/>
      <c r="H82" s="6">
        <v>180.98</v>
      </c>
      <c r="I82" s="2"/>
      <c r="J82" s="7">
        <f t="shared" si="65"/>
        <v>0</v>
      </c>
      <c r="K82" s="2"/>
      <c r="L82" s="6">
        <f t="shared" si="66"/>
        <v>-101.99</v>
      </c>
      <c r="M82" s="2"/>
      <c r="N82" s="7">
        <f t="shared" si="67"/>
        <v>-0.56354293292076474</v>
      </c>
      <c r="O82" s="11"/>
      <c r="P82" s="6">
        <v>1105.06</v>
      </c>
      <c r="Q82" s="2"/>
      <c r="R82" s="7">
        <f t="shared" si="68"/>
        <v>0</v>
      </c>
      <c r="S82" s="2"/>
      <c r="T82" s="6">
        <v>1129.67</v>
      </c>
      <c r="U82" s="2"/>
      <c r="V82" s="7">
        <f t="shared" si="69"/>
        <v>0</v>
      </c>
      <c r="W82" s="2"/>
      <c r="X82" s="6">
        <f t="shared" si="70"/>
        <v>-24.610000000000127</v>
      </c>
      <c r="Y82" s="2"/>
      <c r="Z82" s="7">
        <f t="shared" si="71"/>
        <v>-2.1785123089043814E-2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2084.0500000000002</v>
      </c>
      <c r="E83" s="2"/>
      <c r="F83" s="7">
        <f t="shared" si="64"/>
        <v>0</v>
      </c>
      <c r="G83" s="2"/>
      <c r="H83" s="6">
        <v>289.76</v>
      </c>
      <c r="I83" s="2"/>
      <c r="J83" s="7">
        <f t="shared" si="65"/>
        <v>0</v>
      </c>
      <c r="K83" s="2"/>
      <c r="L83" s="6">
        <f t="shared" si="66"/>
        <v>1794.2900000000002</v>
      </c>
      <c r="M83" s="2"/>
      <c r="N83" s="7">
        <f t="shared" si="67"/>
        <v>6.1923315847598017</v>
      </c>
      <c r="O83" s="11"/>
      <c r="P83" s="6">
        <v>17677.47</v>
      </c>
      <c r="Q83" s="2"/>
      <c r="R83" s="7">
        <f t="shared" si="68"/>
        <v>0</v>
      </c>
      <c r="S83" s="2"/>
      <c r="T83" s="6">
        <v>13497.37</v>
      </c>
      <c r="U83" s="2"/>
      <c r="V83" s="7">
        <f t="shared" si="69"/>
        <v>0</v>
      </c>
      <c r="W83" s="2"/>
      <c r="X83" s="6">
        <f t="shared" si="70"/>
        <v>4180.1000000000004</v>
      </c>
      <c r="Y83" s="2"/>
      <c r="Z83" s="7">
        <f t="shared" si="71"/>
        <v>0.30969737067295333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SUM(OSRRefD22_18x_0)</f>
        <v>5104.95</v>
      </c>
      <c r="E84" s="1"/>
      <c r="F84" s="5">
        <f t="shared" ref="F84:F88" si="72">IF(D$12=0,0,D84/D$12)</f>
        <v>0</v>
      </c>
      <c r="G84" s="1"/>
      <c r="H84" s="1">
        <f>SUM(OSRRefH22_18x_0)</f>
        <v>4848.05</v>
      </c>
      <c r="I84" s="1"/>
      <c r="J84" s="5">
        <f t="shared" ref="J84:J88" si="73">IF(H$12=0,0,H84/H$12)</f>
        <v>0</v>
      </c>
      <c r="K84" s="1"/>
      <c r="L84" s="1">
        <f t="shared" ref="L84:L88" si="74">+D84-H84</f>
        <v>256.89999999999964</v>
      </c>
      <c r="M84" s="1"/>
      <c r="N84" s="5">
        <f t="shared" ref="N84:N88" si="75">IF(H84=0,0,L84/H84)</f>
        <v>5.2990377574488635E-2</v>
      </c>
      <c r="O84" s="13"/>
      <c r="P84" s="1">
        <f>SUM(OSRRefP22_18x_0)</f>
        <v>14719.66</v>
      </c>
      <c r="Q84" s="1"/>
      <c r="R84" s="5">
        <f t="shared" ref="R84:R88" si="76">IF(P$12=0,0,P84/P$12)</f>
        <v>0</v>
      </c>
      <c r="S84" s="1"/>
      <c r="T84" s="1">
        <f>SUM(OSRRefT22_18x_0)</f>
        <v>24875.48</v>
      </c>
      <c r="U84" s="1"/>
      <c r="V84" s="5">
        <f t="shared" ref="V84:V88" si="77">IF(T$12=0,0,T84/T$12)</f>
        <v>0</v>
      </c>
      <c r="W84" s="1"/>
      <c r="X84" s="1">
        <f t="shared" ref="X84:X88" si="78">+P84-T84</f>
        <v>-10155.82</v>
      </c>
      <c r="Y84" s="1"/>
      <c r="Z84" s="5">
        <f t="shared" ref="Z84:Z88" si="79">IF(T84=0,0,X84/T84)</f>
        <v>-0.40826629275093385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>
        <v>5104.95</v>
      </c>
      <c r="E85" s="2"/>
      <c r="F85" s="7">
        <f t="shared" si="72"/>
        <v>0</v>
      </c>
      <c r="G85" s="2"/>
      <c r="H85" s="6">
        <v>4848.05</v>
      </c>
      <c r="I85" s="2"/>
      <c r="J85" s="7">
        <f t="shared" si="73"/>
        <v>0</v>
      </c>
      <c r="K85" s="2"/>
      <c r="L85" s="6">
        <f t="shared" si="74"/>
        <v>256.89999999999964</v>
      </c>
      <c r="M85" s="2"/>
      <c r="N85" s="7">
        <f t="shared" si="75"/>
        <v>5.2990377574488635E-2</v>
      </c>
      <c r="O85" s="11"/>
      <c r="P85" s="6">
        <v>14719.66</v>
      </c>
      <c r="Q85" s="2"/>
      <c r="R85" s="7">
        <f t="shared" si="76"/>
        <v>0</v>
      </c>
      <c r="S85" s="2"/>
      <c r="T85" s="6">
        <v>24875.48</v>
      </c>
      <c r="U85" s="2"/>
      <c r="V85" s="7">
        <f t="shared" si="77"/>
        <v>0</v>
      </c>
      <c r="W85" s="2"/>
      <c r="X85" s="6">
        <f t="shared" si="78"/>
        <v>-10155.82</v>
      </c>
      <c r="Y85" s="2"/>
      <c r="Z85" s="7">
        <f t="shared" si="79"/>
        <v>-0.40826629275093385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SUM(OSRRefD22_19x_0)</f>
        <v>40.770000000000003</v>
      </c>
      <c r="E86" s="1"/>
      <c r="F86" s="5">
        <f t="shared" si="72"/>
        <v>0</v>
      </c>
      <c r="G86" s="1"/>
      <c r="H86" s="1">
        <f>SUM(OSRRefH22_19x_0)</f>
        <v>1697.0600000000002</v>
      </c>
      <c r="I86" s="1"/>
      <c r="J86" s="5">
        <f t="shared" si="73"/>
        <v>0</v>
      </c>
      <c r="K86" s="1"/>
      <c r="L86" s="1">
        <f t="shared" si="74"/>
        <v>-1656.2900000000002</v>
      </c>
      <c r="M86" s="1"/>
      <c r="N86" s="5">
        <f t="shared" si="75"/>
        <v>-0.97597609984325839</v>
      </c>
      <c r="O86" s="13"/>
      <c r="P86" s="1">
        <f>SUM(OSRRefP22_19x_0)</f>
        <v>8961.4699999999993</v>
      </c>
      <c r="Q86" s="1"/>
      <c r="R86" s="5">
        <f t="shared" si="76"/>
        <v>0</v>
      </c>
      <c r="S86" s="1"/>
      <c r="T86" s="1">
        <f>SUM(OSRRefT22_19x_0)</f>
        <v>14804.39</v>
      </c>
      <c r="U86" s="1"/>
      <c r="V86" s="5">
        <f t="shared" si="77"/>
        <v>0</v>
      </c>
      <c r="W86" s="1"/>
      <c r="X86" s="1">
        <f t="shared" si="78"/>
        <v>-5842.92</v>
      </c>
      <c r="Y86" s="1"/>
      <c r="Z86" s="5">
        <f t="shared" si="79"/>
        <v>-0.39467482280593796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>
        <v>40.770000000000003</v>
      </c>
      <c r="E87" s="2"/>
      <c r="F87" s="7">
        <f t="shared" si="72"/>
        <v>0</v>
      </c>
      <c r="G87" s="2"/>
      <c r="H87" s="6">
        <v>1693.43</v>
      </c>
      <c r="I87" s="2"/>
      <c r="J87" s="7">
        <f t="shared" si="73"/>
        <v>0</v>
      </c>
      <c r="K87" s="2"/>
      <c r="L87" s="6">
        <f t="shared" si="74"/>
        <v>-1652.66</v>
      </c>
      <c r="M87" s="2"/>
      <c r="N87" s="7">
        <f t="shared" si="75"/>
        <v>-0.97592460272937176</v>
      </c>
      <c r="O87" s="11"/>
      <c r="P87" s="6">
        <v>8937.57</v>
      </c>
      <c r="Q87" s="2"/>
      <c r="R87" s="7">
        <f t="shared" si="76"/>
        <v>0</v>
      </c>
      <c r="S87" s="2"/>
      <c r="T87" s="6">
        <v>13426.33</v>
      </c>
      <c r="U87" s="2"/>
      <c r="V87" s="7">
        <f t="shared" si="77"/>
        <v>0</v>
      </c>
      <c r="W87" s="2"/>
      <c r="X87" s="6">
        <f t="shared" si="78"/>
        <v>-4488.76</v>
      </c>
      <c r="Y87" s="2"/>
      <c r="Z87" s="7">
        <f t="shared" si="79"/>
        <v>-0.33432516555156921</v>
      </c>
    </row>
    <row r="88" spans="1:26" s="24" customFormat="1" hidden="1" outlineLevel="2" x14ac:dyDescent="0.25">
      <c r="A88" s="25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72"/>
        <v>0</v>
      </c>
      <c r="G88" s="2"/>
      <c r="H88" s="6">
        <v>3.63</v>
      </c>
      <c r="I88" s="2"/>
      <c r="J88" s="7">
        <f t="shared" si="73"/>
        <v>0</v>
      </c>
      <c r="K88" s="2"/>
      <c r="L88" s="6">
        <f t="shared" si="74"/>
        <v>-3.63</v>
      </c>
      <c r="M88" s="2"/>
      <c r="N88" s="7">
        <f t="shared" si="75"/>
        <v>-1</v>
      </c>
      <c r="O88" s="11"/>
      <c r="P88" s="6">
        <v>23.9</v>
      </c>
      <c r="Q88" s="2"/>
      <c r="R88" s="7">
        <f t="shared" si="76"/>
        <v>0</v>
      </c>
      <c r="S88" s="2"/>
      <c r="T88" s="6">
        <v>1378.06</v>
      </c>
      <c r="U88" s="2"/>
      <c r="V88" s="7">
        <f t="shared" si="77"/>
        <v>0</v>
      </c>
      <c r="W88" s="2"/>
      <c r="X88" s="6">
        <f t="shared" si="78"/>
        <v>-1354.1599999999999</v>
      </c>
      <c r="Y88" s="2"/>
      <c r="Z88" s="7">
        <f t="shared" si="79"/>
        <v>-0.98265677836959198</v>
      </c>
    </row>
    <row r="89" spans="1:26" s="59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1">
        <f>+D16-D18+D90</f>
        <v>-313763.34000000003</v>
      </c>
      <c r="E92" s="14"/>
      <c r="F92" s="22">
        <f>IF(D$12=0,0,D92/D$12)</f>
        <v>0</v>
      </c>
      <c r="G92" s="14"/>
      <c r="H92" s="21">
        <f>+H16-H18+H90</f>
        <v>-303492.59999999998</v>
      </c>
      <c r="I92" s="14"/>
      <c r="J92" s="22">
        <f>IF(H$12=0,0,H92/H$12)</f>
        <v>0</v>
      </c>
      <c r="K92" s="16"/>
      <c r="L92" s="21">
        <f>+D92-H92</f>
        <v>-10270.740000000049</v>
      </c>
      <c r="M92" s="16"/>
      <c r="N92" s="22">
        <f>IF(H92=0,0,L92/H92)</f>
        <v>3.3841813605999124E-2</v>
      </c>
      <c r="O92" s="29"/>
      <c r="P92" s="21">
        <f>+P16-P18+P90</f>
        <v>-2266308.3200000003</v>
      </c>
      <c r="Q92" s="14"/>
      <c r="R92" s="22">
        <f>IF(P$12=0,0,P92/P$12)</f>
        <v>0</v>
      </c>
      <c r="S92" s="14"/>
      <c r="T92" s="21">
        <f>+T16-T18+T90</f>
        <v>-2282144.7600000007</v>
      </c>
      <c r="U92" s="14"/>
      <c r="V92" s="22">
        <f>IF(T$12=0,0,T92/T$12)</f>
        <v>0</v>
      </c>
      <c r="W92" s="16"/>
      <c r="X92" s="21">
        <f>+P92-T92</f>
        <v>15836.44000000041</v>
      </c>
      <c r="Y92" s="16"/>
      <c r="Z92" s="22">
        <f>IF(T92=0,0,X92/T92)</f>
        <v>-6.939279347029855E-3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/>
      <c r="E94" s="4"/>
      <c r="F94" s="12">
        <f>IF(D$12=0,0,D94/D$12)</f>
        <v>0</v>
      </c>
      <c r="G94" s="4"/>
      <c r="H94" s="4"/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/>
      <c r="Q94" s="4"/>
      <c r="R94" s="12">
        <f>IF(P$12=0,0,P94/P$12)</f>
        <v>0</v>
      </c>
      <c r="S94" s="4"/>
      <c r="T94" s="4"/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4">
        <f>+D92-D94</f>
        <v>-313763.34000000003</v>
      </c>
      <c r="E96" s="14"/>
      <c r="F96" s="31">
        <f>IF(D$12=0,0,D96/D$12)</f>
        <v>0</v>
      </c>
      <c r="G96" s="14"/>
      <c r="H96" s="34">
        <f>+H92-H94</f>
        <v>-303492.59999999998</v>
      </c>
      <c r="I96" s="14"/>
      <c r="J96" s="31">
        <f>IF(H$12=0,0,H96/H$12)</f>
        <v>0</v>
      </c>
      <c r="K96" s="16"/>
      <c r="L96" s="34">
        <f>D96-H96</f>
        <v>-10270.740000000049</v>
      </c>
      <c r="M96" s="16"/>
      <c r="N96" s="31">
        <f>IF(H96=0,0,L96/H96)</f>
        <v>3.3841813605999124E-2</v>
      </c>
      <c r="O96" s="29"/>
      <c r="P96" s="34">
        <f>+P92-P94</f>
        <v>-2266308.3200000003</v>
      </c>
      <c r="Q96" s="14"/>
      <c r="R96" s="31">
        <f>IF(P$12=0,0,P96/P$12)</f>
        <v>0</v>
      </c>
      <c r="S96" s="14"/>
      <c r="T96" s="34">
        <f>+T92-T94</f>
        <v>-2282144.7600000007</v>
      </c>
      <c r="U96" s="14"/>
      <c r="V96" s="31">
        <f>IF(T$12=0,0,T96/T$12)</f>
        <v>0</v>
      </c>
      <c r="W96" s="16"/>
      <c r="X96" s="34">
        <f>P96-T96</f>
        <v>15836.44000000041</v>
      </c>
      <c r="Y96" s="16"/>
      <c r="Z96" s="31">
        <f>IF(T96=0,0,X96/T96)</f>
        <v>-6.939279347029855E-3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0">
        <f>SUM(D96:D98)</f>
        <v>-313763.34000000003</v>
      </c>
      <c r="E99" s="14"/>
      <c r="F99" s="33">
        <f>IF(D$12=0,0,D99/D$12)</f>
        <v>0</v>
      </c>
      <c r="G99" s="14"/>
      <c r="H99" s="30">
        <f>SUM(H96:H98)</f>
        <v>-303492.59999999998</v>
      </c>
      <c r="I99" s="14"/>
      <c r="J99" s="33">
        <f>IF(H$12=0,0,H99/H$12)</f>
        <v>0</v>
      </c>
      <c r="K99" s="16"/>
      <c r="L99" s="30">
        <f>+D99-H99</f>
        <v>-10270.740000000049</v>
      </c>
      <c r="M99" s="16"/>
      <c r="N99" s="33">
        <f>IF(H99=0,0,L99/H99)</f>
        <v>3.3841813605999124E-2</v>
      </c>
      <c r="O99" s="29"/>
      <c r="P99" s="30">
        <f>SUM(P96:P98)</f>
        <v>-2266308.3200000003</v>
      </c>
      <c r="Q99" s="14"/>
      <c r="R99" s="33">
        <f>IF(P$12=0,0,P99/P$12)</f>
        <v>0</v>
      </c>
      <c r="S99" s="14"/>
      <c r="T99" s="30">
        <f>SUM(T96:T98)</f>
        <v>-2282144.7600000007</v>
      </c>
      <c r="U99" s="14"/>
      <c r="V99" s="33">
        <f>IF(T$12=0,0,T99/T$12)</f>
        <v>0</v>
      </c>
      <c r="W99" s="16"/>
      <c r="X99" s="30">
        <f>+P99-T99</f>
        <v>15836.44000000041</v>
      </c>
      <c r="Y99" s="16"/>
      <c r="Z99" s="33">
        <f>IF(T99=0,0,X99/T99)</f>
        <v>-6.939279347029855E-3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43879.553193020831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 t="s">
        <v>313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","200", " - ", "Corporate Expense")</f>
        <v>Department 200 - Corporate Expense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58340.25</v>
      </c>
      <c r="E18" s="20"/>
      <c r="F18" s="32">
        <f t="shared" ref="F18:F29" si="0">IF(D$12=0,0,D18/D$12)</f>
        <v>0</v>
      </c>
      <c r="G18" s="20"/>
      <c r="H18" s="20">
        <f>SUM(OSRRefH22x_0)</f>
        <v>33654.660000000003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24685.589999999997</v>
      </c>
      <c r="M18" s="4"/>
      <c r="N18" s="32">
        <f t="shared" ref="N18:N29" si="3">IF(H18=0,0,L18/H18)</f>
        <v>0.7334969362340904</v>
      </c>
      <c r="O18" s="10"/>
      <c r="P18" s="20">
        <f>SUM(OSRRefP22x_0)</f>
        <v>410951.52</v>
      </c>
      <c r="Q18" s="20"/>
      <c r="R18" s="32">
        <f t="shared" ref="R18:R29" si="4">IF(P$12=0,0,P18/P$12)</f>
        <v>0</v>
      </c>
      <c r="S18" s="20"/>
      <c r="T18" s="20">
        <f>SUM(OSRRefT22x_0)</f>
        <v>432984.83999999997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-22033.319999999949</v>
      </c>
      <c r="Y18" s="4"/>
      <c r="Z18" s="32">
        <f t="shared" ref="Z18:Z29" si="7">IF(T18=0,0,X18/T18)</f>
        <v>-5.0887047223177488E-2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30653.37</v>
      </c>
      <c r="E19" s="1"/>
      <c r="F19" s="5">
        <f t="shared" si="0"/>
        <v>0</v>
      </c>
      <c r="G19" s="1"/>
      <c r="H19" s="1">
        <f>SUM(OSRRefH22_0x_0)</f>
        <v>-792.72</v>
      </c>
      <c r="I19" s="1"/>
      <c r="J19" s="5">
        <f t="shared" si="1"/>
        <v>0</v>
      </c>
      <c r="K19" s="1"/>
      <c r="L19" s="1">
        <f t="shared" si="2"/>
        <v>31446.09</v>
      </c>
      <c r="M19" s="1"/>
      <c r="N19" s="5">
        <f t="shared" si="3"/>
        <v>-39.668596730245227</v>
      </c>
      <c r="O19" s="13"/>
      <c r="P19" s="1">
        <f>SUM(OSRRefP22_0x_0)</f>
        <v>206278.25</v>
      </c>
      <c r="Q19" s="1"/>
      <c r="R19" s="5">
        <f t="shared" si="4"/>
        <v>0</v>
      </c>
      <c r="S19" s="1"/>
      <c r="T19" s="1">
        <f>SUM(OSRRefT22_0x_0)</f>
        <v>201164.68</v>
      </c>
      <c r="U19" s="1"/>
      <c r="V19" s="5">
        <f t="shared" si="5"/>
        <v>0</v>
      </c>
      <c r="W19" s="1"/>
      <c r="X19" s="1">
        <f t="shared" si="6"/>
        <v>5113.570000000007</v>
      </c>
      <c r="Y19" s="1"/>
      <c r="Z19" s="5">
        <f t="shared" si="7"/>
        <v>2.5419820218937076E-2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30653.37</v>
      </c>
      <c r="E20" s="2"/>
      <c r="F20" s="7">
        <f t="shared" si="0"/>
        <v>0</v>
      </c>
      <c r="G20" s="2"/>
      <c r="H20" s="6">
        <v>-792.72</v>
      </c>
      <c r="I20" s="2"/>
      <c r="J20" s="7">
        <f t="shared" si="1"/>
        <v>0</v>
      </c>
      <c r="K20" s="2"/>
      <c r="L20" s="6">
        <f t="shared" si="2"/>
        <v>31446.09</v>
      </c>
      <c r="M20" s="2"/>
      <c r="N20" s="7">
        <f t="shared" si="3"/>
        <v>-39.668596730245227</v>
      </c>
      <c r="O20" s="11"/>
      <c r="P20" s="6">
        <v>206278.25</v>
      </c>
      <c r="Q20" s="2"/>
      <c r="R20" s="7">
        <f t="shared" si="4"/>
        <v>0</v>
      </c>
      <c r="S20" s="2"/>
      <c r="T20" s="6">
        <v>201164.68</v>
      </c>
      <c r="U20" s="2"/>
      <c r="V20" s="7">
        <f t="shared" si="5"/>
        <v>0</v>
      </c>
      <c r="W20" s="2"/>
      <c r="X20" s="6">
        <f t="shared" si="6"/>
        <v>5113.570000000007</v>
      </c>
      <c r="Y20" s="2"/>
      <c r="Z20" s="7">
        <f t="shared" si="7"/>
        <v>2.5419820218937076E-2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13917.12</v>
      </c>
      <c r="E21" s="1"/>
      <c r="F21" s="5">
        <f t="shared" si="0"/>
        <v>0</v>
      </c>
      <c r="G21" s="1"/>
      <c r="H21" s="1">
        <f>SUM(OSRRefH22_1x_0)</f>
        <v>17520.240000000002</v>
      </c>
      <c r="I21" s="1"/>
      <c r="J21" s="5">
        <f t="shared" si="1"/>
        <v>0</v>
      </c>
      <c r="K21" s="1"/>
      <c r="L21" s="1">
        <f t="shared" si="2"/>
        <v>-3603.1200000000008</v>
      </c>
      <c r="M21" s="1"/>
      <c r="N21" s="5">
        <f t="shared" si="3"/>
        <v>-0.20565471705867044</v>
      </c>
      <c r="O21" s="13"/>
      <c r="P21" s="1">
        <f>SUM(OSRRefP22_1x_0)</f>
        <v>38344.32</v>
      </c>
      <c r="Q21" s="1"/>
      <c r="R21" s="5">
        <f t="shared" si="4"/>
        <v>0</v>
      </c>
      <c r="S21" s="1"/>
      <c r="T21" s="1">
        <f>SUM(OSRRefT22_1x_0)</f>
        <v>36145.360000000001</v>
      </c>
      <c r="U21" s="1"/>
      <c r="V21" s="5">
        <f t="shared" si="5"/>
        <v>0</v>
      </c>
      <c r="W21" s="1"/>
      <c r="X21" s="1">
        <f t="shared" si="6"/>
        <v>2198.9599999999991</v>
      </c>
      <c r="Y21" s="1"/>
      <c r="Z21" s="5">
        <f t="shared" si="7"/>
        <v>6.0836577640947527E-2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13917.12</v>
      </c>
      <c r="E22" s="2"/>
      <c r="F22" s="7">
        <f t="shared" si="0"/>
        <v>0</v>
      </c>
      <c r="G22" s="2"/>
      <c r="H22" s="6">
        <v>17520.240000000002</v>
      </c>
      <c r="I22" s="2"/>
      <c r="J22" s="7">
        <f t="shared" si="1"/>
        <v>0</v>
      </c>
      <c r="K22" s="2"/>
      <c r="L22" s="6">
        <f t="shared" si="2"/>
        <v>-3603.1200000000008</v>
      </c>
      <c r="M22" s="2"/>
      <c r="N22" s="7">
        <f t="shared" si="3"/>
        <v>-0.20565471705867044</v>
      </c>
      <c r="O22" s="11"/>
      <c r="P22" s="6">
        <v>38344.32</v>
      </c>
      <c r="Q22" s="2"/>
      <c r="R22" s="7">
        <f t="shared" si="4"/>
        <v>0</v>
      </c>
      <c r="S22" s="2"/>
      <c r="T22" s="6">
        <v>36145.360000000001</v>
      </c>
      <c r="U22" s="2"/>
      <c r="V22" s="7">
        <f t="shared" si="5"/>
        <v>0</v>
      </c>
      <c r="W22" s="2"/>
      <c r="X22" s="6">
        <f t="shared" si="6"/>
        <v>2198.9599999999991</v>
      </c>
      <c r="Y22" s="2"/>
      <c r="Z22" s="7">
        <f t="shared" si="7"/>
        <v>6.0836577640947527E-2</v>
      </c>
    </row>
    <row r="23" spans="1:26" s="26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2282.7600000000002</v>
      </c>
      <c r="E23" s="1"/>
      <c r="F23" s="5">
        <f t="shared" si="0"/>
        <v>0</v>
      </c>
      <c r="G23" s="1"/>
      <c r="H23" s="1">
        <f>SUM(OSRRefH22_2x_0)</f>
        <v>5501.89</v>
      </c>
      <c r="I23" s="1"/>
      <c r="J23" s="5">
        <f t="shared" si="1"/>
        <v>0</v>
      </c>
      <c r="K23" s="1"/>
      <c r="L23" s="1">
        <f t="shared" si="2"/>
        <v>-3219.13</v>
      </c>
      <c r="M23" s="1"/>
      <c r="N23" s="5">
        <f t="shared" si="3"/>
        <v>-0.58509530361384909</v>
      </c>
      <c r="O23" s="13"/>
      <c r="P23" s="1">
        <f>SUM(OSRRefP22_2x_0)</f>
        <v>19080.710000000003</v>
      </c>
      <c r="Q23" s="1"/>
      <c r="R23" s="5">
        <f t="shared" si="4"/>
        <v>0</v>
      </c>
      <c r="S23" s="1"/>
      <c r="T23" s="1">
        <f>SUM(OSRRefT22_2x_0)</f>
        <v>25674.05</v>
      </c>
      <c r="U23" s="1"/>
      <c r="V23" s="5">
        <f t="shared" si="5"/>
        <v>0</v>
      </c>
      <c r="W23" s="1"/>
      <c r="X23" s="1">
        <f t="shared" si="6"/>
        <v>-6593.3399999999965</v>
      </c>
      <c r="Y23" s="1"/>
      <c r="Z23" s="5">
        <f t="shared" si="7"/>
        <v>-0.25680950220163928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2282.7600000000002</v>
      </c>
      <c r="E24" s="2"/>
      <c r="F24" s="7">
        <f t="shared" si="0"/>
        <v>0</v>
      </c>
      <c r="G24" s="2"/>
      <c r="H24" s="6">
        <v>5501.89</v>
      </c>
      <c r="I24" s="2"/>
      <c r="J24" s="7">
        <f t="shared" si="1"/>
        <v>0</v>
      </c>
      <c r="K24" s="2"/>
      <c r="L24" s="6">
        <f t="shared" si="2"/>
        <v>-3219.13</v>
      </c>
      <c r="M24" s="2"/>
      <c r="N24" s="7">
        <f t="shared" si="3"/>
        <v>-0.58509530361384909</v>
      </c>
      <c r="O24" s="11"/>
      <c r="P24" s="6">
        <v>19080.710000000003</v>
      </c>
      <c r="Q24" s="2"/>
      <c r="R24" s="7">
        <f t="shared" si="4"/>
        <v>0</v>
      </c>
      <c r="S24" s="2"/>
      <c r="T24" s="6">
        <v>25674.05</v>
      </c>
      <c r="U24" s="2"/>
      <c r="V24" s="7">
        <f t="shared" si="5"/>
        <v>0</v>
      </c>
      <c r="W24" s="2"/>
      <c r="X24" s="6">
        <f t="shared" si="6"/>
        <v>-6593.3399999999965</v>
      </c>
      <c r="Y24" s="2"/>
      <c r="Z24" s="7">
        <f t="shared" si="7"/>
        <v>-0.25680950220163928</v>
      </c>
    </row>
    <row r="25" spans="1:26" s="26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97500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6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11487</v>
      </c>
      <c r="E27" s="1"/>
      <c r="F27" s="5">
        <f t="shared" si="0"/>
        <v>0</v>
      </c>
      <c r="G27" s="1"/>
      <c r="H27" s="1">
        <f>SUM(OSRRefH22_4x_0)</f>
        <v>11425.25</v>
      </c>
      <c r="I27" s="1"/>
      <c r="J27" s="5">
        <f t="shared" si="1"/>
        <v>0</v>
      </c>
      <c r="K27" s="1"/>
      <c r="L27" s="1">
        <f t="shared" si="2"/>
        <v>61.75</v>
      </c>
      <c r="M27" s="1"/>
      <c r="N27" s="5">
        <f t="shared" si="3"/>
        <v>5.4046957396993505E-3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72500.75</v>
      </c>
      <c r="U27" s="1"/>
      <c r="V27" s="5">
        <f t="shared" si="5"/>
        <v>0</v>
      </c>
      <c r="W27" s="1"/>
      <c r="X27" s="1">
        <f t="shared" si="6"/>
        <v>-22752.510000000002</v>
      </c>
      <c r="Y27" s="1"/>
      <c r="Z27" s="5">
        <f t="shared" si="7"/>
        <v>-0.31382447767781718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11487</v>
      </c>
      <c r="E28" s="2"/>
      <c r="F28" s="7">
        <f t="shared" si="0"/>
        <v>0</v>
      </c>
      <c r="G28" s="2"/>
      <c r="H28" s="6">
        <v>11425.25</v>
      </c>
      <c r="I28" s="2"/>
      <c r="J28" s="7">
        <f t="shared" si="1"/>
        <v>0</v>
      </c>
      <c r="K28" s="2"/>
      <c r="L28" s="6">
        <f t="shared" si="2"/>
        <v>61.75</v>
      </c>
      <c r="M28" s="2"/>
      <c r="N28" s="7">
        <f t="shared" si="3"/>
        <v>5.4046957396993505E-3</v>
      </c>
      <c r="O28" s="11"/>
      <c r="P28" s="6">
        <v>34686</v>
      </c>
      <c r="Q28" s="2"/>
      <c r="R28" s="7">
        <f t="shared" si="4"/>
        <v>0</v>
      </c>
      <c r="S28" s="2"/>
      <c r="T28" s="6">
        <v>34500.75</v>
      </c>
      <c r="U28" s="2"/>
      <c r="V28" s="7">
        <f t="shared" si="5"/>
        <v>0</v>
      </c>
      <c r="W28" s="2"/>
      <c r="X28" s="6">
        <f t="shared" si="6"/>
        <v>185.25</v>
      </c>
      <c r="Y28" s="2"/>
      <c r="Z28" s="7">
        <f t="shared" si="7"/>
        <v>5.3694484902502117E-3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>
        <v>15062.24</v>
      </c>
      <c r="Q29" s="2"/>
      <c r="R29" s="7">
        <f t="shared" si="4"/>
        <v>0</v>
      </c>
      <c r="S29" s="2"/>
      <c r="T29" s="6">
        <v>38000</v>
      </c>
      <c r="U29" s="2"/>
      <c r="V29" s="7">
        <f t="shared" si="5"/>
        <v>0</v>
      </c>
      <c r="W29" s="2"/>
      <c r="X29" s="6">
        <f t="shared" si="6"/>
        <v>-22937.760000000002</v>
      </c>
      <c r="Y29" s="2"/>
      <c r="Z29" s="7">
        <f t="shared" si="7"/>
        <v>-0.60362526315789478</v>
      </c>
    </row>
    <row r="30" spans="1:26" s="59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1">
        <f>+D16-D18+D31</f>
        <v>-58340.25</v>
      </c>
      <c r="E33" s="14"/>
      <c r="F33" s="22">
        <f>IF(D$12=0,0,D33/D$12)</f>
        <v>0</v>
      </c>
      <c r="G33" s="14"/>
      <c r="H33" s="21">
        <f>+H16-H18+H31</f>
        <v>-33654.660000000003</v>
      </c>
      <c r="I33" s="14"/>
      <c r="J33" s="22">
        <f>IF(H$12=0,0,H33/H$12)</f>
        <v>0</v>
      </c>
      <c r="K33" s="16"/>
      <c r="L33" s="21">
        <f>+D33-H33</f>
        <v>-24685.589999999997</v>
      </c>
      <c r="M33" s="16"/>
      <c r="N33" s="22">
        <f>IF(H33=0,0,L33/H33)</f>
        <v>0.7334969362340904</v>
      </c>
      <c r="O33" s="29"/>
      <c r="P33" s="21">
        <f>+P16-P18+P31</f>
        <v>-410951.52</v>
      </c>
      <c r="Q33" s="14"/>
      <c r="R33" s="22">
        <f>IF(P$12=0,0,P33/P$12)</f>
        <v>0</v>
      </c>
      <c r="S33" s="14"/>
      <c r="T33" s="21">
        <f>+T16-T18+T31</f>
        <v>-432984.83999999997</v>
      </c>
      <c r="U33" s="14"/>
      <c r="V33" s="22">
        <f>IF(T$12=0,0,T33/T$12)</f>
        <v>0</v>
      </c>
      <c r="W33" s="16"/>
      <c r="X33" s="21">
        <f>+P33-T33</f>
        <v>22033.319999999949</v>
      </c>
      <c r="Y33" s="16"/>
      <c r="Z33" s="22">
        <f>IF(T33=0,0,X33/T33)</f>
        <v>-5.0887047223177488E-2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4">
        <f>+D33-D35</f>
        <v>-58340.25</v>
      </c>
      <c r="E37" s="14"/>
      <c r="F37" s="31">
        <f>IF(D$12=0,0,D37/D$12)</f>
        <v>0</v>
      </c>
      <c r="G37" s="14"/>
      <c r="H37" s="34">
        <f>+H33-H35</f>
        <v>-33654.660000000003</v>
      </c>
      <c r="I37" s="14"/>
      <c r="J37" s="31">
        <f>IF(H$12=0,0,H37/H$12)</f>
        <v>0</v>
      </c>
      <c r="K37" s="16"/>
      <c r="L37" s="34">
        <f>D37-H37</f>
        <v>-24685.589999999997</v>
      </c>
      <c r="M37" s="16"/>
      <c r="N37" s="31">
        <f>IF(H37=0,0,L37/H37)</f>
        <v>0.7334969362340904</v>
      </c>
      <c r="O37" s="29"/>
      <c r="P37" s="34">
        <f>+P33-P35</f>
        <v>-410951.52</v>
      </c>
      <c r="Q37" s="14"/>
      <c r="R37" s="31">
        <f>IF(P$12=0,0,P37/P$12)</f>
        <v>0</v>
      </c>
      <c r="S37" s="14"/>
      <c r="T37" s="34">
        <f>+T33-T35</f>
        <v>-432984.83999999997</v>
      </c>
      <c r="U37" s="14"/>
      <c r="V37" s="31">
        <f>IF(T$12=0,0,T37/T$12)</f>
        <v>0</v>
      </c>
      <c r="W37" s="16"/>
      <c r="X37" s="34">
        <f>P37-T37</f>
        <v>22033.319999999949</v>
      </c>
      <c r="Y37" s="16"/>
      <c r="Z37" s="31">
        <f>IF(T37=0,0,X37/T37)</f>
        <v>-5.0887047223177488E-2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0">
        <f>SUM(D37:D39)</f>
        <v>-58340.25</v>
      </c>
      <c r="E40" s="14"/>
      <c r="F40" s="33">
        <f>IF(D$12=0,0,D40/D$12)</f>
        <v>0</v>
      </c>
      <c r="G40" s="14"/>
      <c r="H40" s="30">
        <f>SUM(H37:H39)</f>
        <v>-33654.660000000003</v>
      </c>
      <c r="I40" s="14"/>
      <c r="J40" s="33">
        <f>IF(H$12=0,0,H40/H$12)</f>
        <v>0</v>
      </c>
      <c r="K40" s="16"/>
      <c r="L40" s="30">
        <f>+D40-H40</f>
        <v>-24685.589999999997</v>
      </c>
      <c r="M40" s="16"/>
      <c r="N40" s="33">
        <f>IF(H40=0,0,L40/H40)</f>
        <v>0.7334969362340904</v>
      </c>
      <c r="O40" s="29"/>
      <c r="P40" s="30">
        <f>SUM(P37:P39)</f>
        <v>-410951.52</v>
      </c>
      <c r="Q40" s="14"/>
      <c r="R40" s="33">
        <f>IF(P$12=0,0,P40/P$12)</f>
        <v>0</v>
      </c>
      <c r="S40" s="14"/>
      <c r="T40" s="30">
        <f>SUM(T37:T39)</f>
        <v>-432984.83999999997</v>
      </c>
      <c r="U40" s="14"/>
      <c r="V40" s="33">
        <f>IF(T$12=0,0,T40/T$12)</f>
        <v>0</v>
      </c>
      <c r="W40" s="16"/>
      <c r="X40" s="30">
        <f>+P40-T40</f>
        <v>22033.319999999949</v>
      </c>
      <c r="Y40" s="16"/>
      <c r="Z40" s="33">
        <f>IF(T40=0,0,X40/T40)</f>
        <v>-5.0887047223177488E-2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61">
        <v>43879.553567905095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5" t="s">
        <v>313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8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","201", " - ", "General Manager")</f>
        <v>Department 201 - General Manager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39380.729999999996</v>
      </c>
      <c r="E18" s="20"/>
      <c r="F18" s="32">
        <f t="shared" ref="F18:F28" si="0">IF(D$12=0,0,D18/D$12)</f>
        <v>0</v>
      </c>
      <c r="G18" s="20"/>
      <c r="H18" s="20">
        <f>SUM(OSRRefH22x_0)</f>
        <v>73431.830000000016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-34051.10000000002</v>
      </c>
      <c r="M18" s="4"/>
      <c r="N18" s="32">
        <f t="shared" ref="N18:N28" si="3">IF(H18=0,0,L18/H18)</f>
        <v>-0.46371035557741125</v>
      </c>
      <c r="O18" s="10"/>
      <c r="P18" s="20">
        <f>SUM(OSRRefP22x_0)</f>
        <v>476355.03</v>
      </c>
      <c r="Q18" s="20"/>
      <c r="R18" s="32">
        <f t="shared" ref="R18:R28" si="4">IF(P$12=0,0,P18/P$12)</f>
        <v>0</v>
      </c>
      <c r="S18" s="20"/>
      <c r="T18" s="20">
        <f>SUM(OSRRefT22x_0)</f>
        <v>527861.10999999987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-51506.079999999842</v>
      </c>
      <c r="Y18" s="4"/>
      <c r="Z18" s="32">
        <f t="shared" ref="Z18:Z28" si="7">IF(T18=0,0,X18/T18)</f>
        <v>-9.7575060985265333E-2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11177.749999999998</v>
      </c>
      <c r="E19" s="1"/>
      <c r="F19" s="5">
        <f t="shared" si="0"/>
        <v>0</v>
      </c>
      <c r="G19" s="1"/>
      <c r="H19" s="1">
        <f>SUM(OSRRefH22_0x_0)</f>
        <v>15914.1</v>
      </c>
      <c r="I19" s="1"/>
      <c r="J19" s="5">
        <f t="shared" si="1"/>
        <v>0</v>
      </c>
      <c r="K19" s="1"/>
      <c r="L19" s="1">
        <f t="shared" si="2"/>
        <v>-4736.3500000000022</v>
      </c>
      <c r="M19" s="1"/>
      <c r="N19" s="5">
        <f t="shared" si="3"/>
        <v>-0.29761972087645561</v>
      </c>
      <c r="O19" s="13"/>
      <c r="P19" s="1">
        <f>SUM(OSRRefP22_0x_0)</f>
        <v>109286.36000000002</v>
      </c>
      <c r="Q19" s="1"/>
      <c r="R19" s="5">
        <f t="shared" si="4"/>
        <v>0</v>
      </c>
      <c r="S19" s="1"/>
      <c r="T19" s="1">
        <f>SUM(OSRRefT22_0x_0)</f>
        <v>115903.70999999999</v>
      </c>
      <c r="U19" s="1"/>
      <c r="V19" s="5">
        <f t="shared" si="5"/>
        <v>0</v>
      </c>
      <c r="W19" s="1"/>
      <c r="X19" s="1">
        <f t="shared" si="6"/>
        <v>-6617.3499999999767</v>
      </c>
      <c r="Y19" s="1"/>
      <c r="Z19" s="5">
        <f t="shared" si="7"/>
        <v>-5.7093513227488381E-2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1444.53</v>
      </c>
      <c r="E20" s="2"/>
      <c r="F20" s="7">
        <f t="shared" si="0"/>
        <v>0</v>
      </c>
      <c r="G20" s="2"/>
      <c r="H20" s="6">
        <v>2296.3200000000002</v>
      </c>
      <c r="I20" s="2"/>
      <c r="J20" s="7">
        <f t="shared" si="1"/>
        <v>0</v>
      </c>
      <c r="K20" s="2"/>
      <c r="L20" s="6">
        <f t="shared" si="2"/>
        <v>-851.79000000000019</v>
      </c>
      <c r="M20" s="2"/>
      <c r="N20" s="7">
        <f t="shared" si="3"/>
        <v>-0.37093697742474924</v>
      </c>
      <c r="O20" s="11"/>
      <c r="P20" s="6">
        <v>14360.14</v>
      </c>
      <c r="Q20" s="2"/>
      <c r="R20" s="7">
        <f t="shared" si="4"/>
        <v>0</v>
      </c>
      <c r="S20" s="2"/>
      <c r="T20" s="6">
        <v>14176.08</v>
      </c>
      <c r="U20" s="2"/>
      <c r="V20" s="7">
        <f t="shared" si="5"/>
        <v>0</v>
      </c>
      <c r="W20" s="2"/>
      <c r="X20" s="6">
        <f t="shared" si="6"/>
        <v>184.05999999999949</v>
      </c>
      <c r="Y20" s="2"/>
      <c r="Z20" s="7">
        <f t="shared" si="7"/>
        <v>1.2983843206302411E-2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70.28</v>
      </c>
      <c r="E21" s="2"/>
      <c r="F21" s="7">
        <f t="shared" si="0"/>
        <v>0</v>
      </c>
      <c r="G21" s="2"/>
      <c r="H21" s="6">
        <v>93.05</v>
      </c>
      <c r="I21" s="2"/>
      <c r="J21" s="7">
        <f t="shared" si="1"/>
        <v>0</v>
      </c>
      <c r="K21" s="2"/>
      <c r="L21" s="6">
        <f t="shared" si="2"/>
        <v>-22.769999999999996</v>
      </c>
      <c r="M21" s="2"/>
      <c r="N21" s="7">
        <f t="shared" si="3"/>
        <v>-0.24470714669532506</v>
      </c>
      <c r="O21" s="11"/>
      <c r="P21" s="6">
        <v>915.85</v>
      </c>
      <c r="Q21" s="2"/>
      <c r="R21" s="7">
        <f t="shared" si="4"/>
        <v>0</v>
      </c>
      <c r="S21" s="2"/>
      <c r="T21" s="6">
        <v>914.68</v>
      </c>
      <c r="U21" s="2"/>
      <c r="V21" s="7">
        <f t="shared" si="5"/>
        <v>0</v>
      </c>
      <c r="W21" s="2"/>
      <c r="X21" s="6">
        <f t="shared" si="6"/>
        <v>1.1700000000000728</v>
      </c>
      <c r="Y21" s="2"/>
      <c r="Z21" s="7">
        <f t="shared" si="7"/>
        <v>1.2791358726549971E-3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4884.1099999999997</v>
      </c>
      <c r="I22" s="2"/>
      <c r="J22" s="7">
        <f t="shared" si="1"/>
        <v>0</v>
      </c>
      <c r="K22" s="2"/>
      <c r="L22" s="6">
        <f t="shared" si="2"/>
        <v>-918.66999999999962</v>
      </c>
      <c r="M22" s="2"/>
      <c r="N22" s="7">
        <f t="shared" si="3"/>
        <v>-0.1880936342547567</v>
      </c>
      <c r="O22" s="11"/>
      <c r="P22" s="6">
        <v>29105.3</v>
      </c>
      <c r="Q22" s="2"/>
      <c r="R22" s="7">
        <f t="shared" si="4"/>
        <v>0</v>
      </c>
      <c r="S22" s="2"/>
      <c r="T22" s="6">
        <v>31605.68</v>
      </c>
      <c r="U22" s="2"/>
      <c r="V22" s="7">
        <f t="shared" si="5"/>
        <v>0</v>
      </c>
      <c r="W22" s="2"/>
      <c r="X22" s="6">
        <f t="shared" si="6"/>
        <v>-2500.380000000001</v>
      </c>
      <c r="Y22" s="2"/>
      <c r="Z22" s="7">
        <f t="shared" si="7"/>
        <v>-7.9111729284103399E-2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53.74</v>
      </c>
      <c r="E23" s="2"/>
      <c r="F23" s="7">
        <f t="shared" si="0"/>
        <v>0</v>
      </c>
      <c r="G23" s="2"/>
      <c r="H23" s="6">
        <v>78.040000000000006</v>
      </c>
      <c r="I23" s="2"/>
      <c r="J23" s="7">
        <f t="shared" si="1"/>
        <v>0</v>
      </c>
      <c r="K23" s="2"/>
      <c r="L23" s="6">
        <f t="shared" si="2"/>
        <v>-24.300000000000004</v>
      </c>
      <c r="M23" s="2"/>
      <c r="N23" s="7">
        <f t="shared" si="3"/>
        <v>-0.31137878011276271</v>
      </c>
      <c r="O23" s="11"/>
      <c r="P23" s="6">
        <v>857.04</v>
      </c>
      <c r="Q23" s="2"/>
      <c r="R23" s="7">
        <f t="shared" si="4"/>
        <v>0</v>
      </c>
      <c r="S23" s="2"/>
      <c r="T23" s="6">
        <v>767.13</v>
      </c>
      <c r="U23" s="2"/>
      <c r="V23" s="7">
        <f t="shared" si="5"/>
        <v>0</v>
      </c>
      <c r="W23" s="2"/>
      <c r="X23" s="6">
        <f t="shared" si="6"/>
        <v>89.909999999999968</v>
      </c>
      <c r="Y23" s="2"/>
      <c r="Z23" s="7">
        <f t="shared" si="7"/>
        <v>0.11720308161589296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2847.86</v>
      </c>
      <c r="E24" s="2"/>
      <c r="F24" s="7">
        <f t="shared" si="0"/>
        <v>0</v>
      </c>
      <c r="G24" s="2"/>
      <c r="H24" s="6">
        <v>4200.6400000000003</v>
      </c>
      <c r="I24" s="2"/>
      <c r="J24" s="7">
        <f t="shared" si="1"/>
        <v>0</v>
      </c>
      <c r="K24" s="2"/>
      <c r="L24" s="6">
        <f t="shared" si="2"/>
        <v>-1352.7800000000002</v>
      </c>
      <c r="M24" s="2"/>
      <c r="N24" s="7">
        <f t="shared" si="3"/>
        <v>-0.32204140321474828</v>
      </c>
      <c r="O24" s="11"/>
      <c r="P24" s="6">
        <v>22556.43</v>
      </c>
      <c r="Q24" s="2"/>
      <c r="R24" s="7">
        <f t="shared" si="4"/>
        <v>0</v>
      </c>
      <c r="S24" s="2"/>
      <c r="T24" s="6">
        <v>27613.54</v>
      </c>
      <c r="U24" s="2"/>
      <c r="V24" s="7">
        <f t="shared" si="5"/>
        <v>0</v>
      </c>
      <c r="W24" s="2"/>
      <c r="X24" s="6">
        <f t="shared" si="6"/>
        <v>-5057.1100000000006</v>
      </c>
      <c r="Y24" s="2"/>
      <c r="Z24" s="7">
        <f t="shared" si="7"/>
        <v>-0.18313877901927825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2657.86</v>
      </c>
      <c r="I26" s="2"/>
      <c r="J26" s="7">
        <f t="shared" si="1"/>
        <v>0</v>
      </c>
      <c r="K26" s="2"/>
      <c r="L26" s="6">
        <f t="shared" si="2"/>
        <v>-1036.22</v>
      </c>
      <c r="M26" s="2"/>
      <c r="N26" s="7">
        <f t="shared" si="3"/>
        <v>-0.38987004582634149</v>
      </c>
      <c r="O26" s="11"/>
      <c r="P26" s="6">
        <v>18130.82</v>
      </c>
      <c r="Q26" s="2"/>
      <c r="R26" s="7">
        <f t="shared" si="4"/>
        <v>0</v>
      </c>
      <c r="S26" s="2"/>
      <c r="T26" s="6">
        <v>21315.52</v>
      </c>
      <c r="U26" s="2"/>
      <c r="V26" s="7">
        <f t="shared" si="5"/>
        <v>0</v>
      </c>
      <c r="W26" s="2"/>
      <c r="X26" s="6">
        <f t="shared" si="6"/>
        <v>-3184.7000000000007</v>
      </c>
      <c r="Y26" s="2"/>
      <c r="Z26" s="7">
        <f t="shared" si="7"/>
        <v>-0.14940756781912901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1372.84</v>
      </c>
      <c r="I27" s="2"/>
      <c r="J27" s="7">
        <f t="shared" si="1"/>
        <v>0</v>
      </c>
      <c r="K27" s="2"/>
      <c r="L27" s="6">
        <f t="shared" si="2"/>
        <v>-516.04</v>
      </c>
      <c r="M27" s="2"/>
      <c r="N27" s="7">
        <f t="shared" si="3"/>
        <v>-0.37589231083010399</v>
      </c>
      <c r="O27" s="11"/>
      <c r="P27" s="6">
        <v>21256.400000000001</v>
      </c>
      <c r="Q27" s="2"/>
      <c r="R27" s="7">
        <f t="shared" si="4"/>
        <v>0</v>
      </c>
      <c r="S27" s="2"/>
      <c r="T27" s="6">
        <v>14464.71</v>
      </c>
      <c r="U27" s="2"/>
      <c r="V27" s="7">
        <f t="shared" si="5"/>
        <v>0</v>
      </c>
      <c r="W27" s="2"/>
      <c r="X27" s="6">
        <f t="shared" si="6"/>
        <v>6791.6900000000023</v>
      </c>
      <c r="Y27" s="2"/>
      <c r="Z27" s="7">
        <f t="shared" si="7"/>
        <v>0.46953516524009142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317.45999999999998</v>
      </c>
      <c r="E28" s="2"/>
      <c r="F28" s="7">
        <f t="shared" si="0"/>
        <v>0</v>
      </c>
      <c r="G28" s="2"/>
      <c r="H28" s="6">
        <v>331.24</v>
      </c>
      <c r="I28" s="2"/>
      <c r="J28" s="7">
        <f t="shared" si="1"/>
        <v>0</v>
      </c>
      <c r="K28" s="2"/>
      <c r="L28" s="6">
        <f t="shared" si="2"/>
        <v>-13.78000000000003</v>
      </c>
      <c r="M28" s="2"/>
      <c r="N28" s="7">
        <f t="shared" si="3"/>
        <v>-4.1601255886970258E-2</v>
      </c>
      <c r="O28" s="11"/>
      <c r="P28" s="6">
        <v>2104.38</v>
      </c>
      <c r="Q28" s="2"/>
      <c r="R28" s="7">
        <f t="shared" si="4"/>
        <v>0</v>
      </c>
      <c r="S28" s="2"/>
      <c r="T28" s="6">
        <v>2594.9699999999998</v>
      </c>
      <c r="U28" s="2"/>
      <c r="V28" s="7">
        <f t="shared" si="5"/>
        <v>0</v>
      </c>
      <c r="W28" s="2"/>
      <c r="X28" s="6">
        <f t="shared" si="6"/>
        <v>-490.58999999999969</v>
      </c>
      <c r="Y28" s="2"/>
      <c r="Z28" s="7">
        <f t="shared" si="7"/>
        <v>-0.18905420871917583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23563.45</v>
      </c>
      <c r="E29" s="1"/>
      <c r="F29" s="5">
        <f t="shared" ref="F29:F32" si="8">IF(D$12=0,0,D29/D$12)</f>
        <v>0</v>
      </c>
      <c r="G29" s="1"/>
      <c r="H29" s="1">
        <f>SUM(OSRRefH22_1x_0)</f>
        <v>29979.93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-6416.48</v>
      </c>
      <c r="M29" s="1"/>
      <c r="N29" s="5">
        <f t="shared" ref="N29:N32" si="11">IF(H29=0,0,L29/H29)</f>
        <v>-0.21402584996029009</v>
      </c>
      <c r="O29" s="13"/>
      <c r="P29" s="1">
        <f>SUM(OSRRefP22_1x_0)</f>
        <v>103673.54999999999</v>
      </c>
      <c r="Q29" s="1"/>
      <c r="R29" s="5">
        <f t="shared" ref="R29:R32" si="12">IF(P$12=0,0,P29/P$12)</f>
        <v>0</v>
      </c>
      <c r="S29" s="1"/>
      <c r="T29" s="1">
        <f>SUM(OSRRefT22_1x_0)</f>
        <v>155627.94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-51954.390000000014</v>
      </c>
      <c r="Y29" s="1"/>
      <c r="Z29" s="5">
        <f t="shared" ref="Z29:Z32" si="15">IF(T29=0,0,X29/T29)</f>
        <v>-0.33383716317262835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16876.34</v>
      </c>
      <c r="E30" s="2"/>
      <c r="F30" s="7">
        <f t="shared" si="8"/>
        <v>0</v>
      </c>
      <c r="G30" s="2"/>
      <c r="H30" s="6">
        <v>24988.84</v>
      </c>
      <c r="I30" s="2"/>
      <c r="J30" s="7">
        <f t="shared" si="9"/>
        <v>0</v>
      </c>
      <c r="K30" s="2"/>
      <c r="L30" s="6">
        <f t="shared" si="10"/>
        <v>-8112.5</v>
      </c>
      <c r="M30" s="2"/>
      <c r="N30" s="7">
        <f t="shared" si="11"/>
        <v>-0.32464492149295443</v>
      </c>
      <c r="O30" s="11"/>
      <c r="P30" s="6">
        <v>112833.48</v>
      </c>
      <c r="Q30" s="2"/>
      <c r="R30" s="7">
        <f t="shared" si="12"/>
        <v>0</v>
      </c>
      <c r="S30" s="2"/>
      <c r="T30" s="6">
        <v>166025.75</v>
      </c>
      <c r="U30" s="2"/>
      <c r="V30" s="7">
        <f t="shared" si="13"/>
        <v>0</v>
      </c>
      <c r="W30" s="2"/>
      <c r="X30" s="6">
        <f t="shared" si="14"/>
        <v>-53192.270000000004</v>
      </c>
      <c r="Y30" s="2"/>
      <c r="Z30" s="7">
        <f t="shared" si="15"/>
        <v>-0.32038566306732541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4896.3599999999997</v>
      </c>
      <c r="E31" s="2"/>
      <c r="F31" s="7">
        <f t="shared" si="8"/>
        <v>0</v>
      </c>
      <c r="G31" s="2"/>
      <c r="H31" s="6">
        <v>4991.09</v>
      </c>
      <c r="I31" s="2"/>
      <c r="J31" s="7">
        <f t="shared" si="9"/>
        <v>0</v>
      </c>
      <c r="K31" s="2"/>
      <c r="L31" s="6">
        <f t="shared" si="10"/>
        <v>-94.730000000000473</v>
      </c>
      <c r="M31" s="2"/>
      <c r="N31" s="7">
        <f t="shared" si="11"/>
        <v>-1.8979822042880509E-2</v>
      </c>
      <c r="O31" s="11"/>
      <c r="P31" s="6">
        <v>33540.79</v>
      </c>
      <c r="Q31" s="2"/>
      <c r="R31" s="7">
        <f t="shared" si="12"/>
        <v>0</v>
      </c>
      <c r="S31" s="2"/>
      <c r="T31" s="6">
        <v>34702.720000000001</v>
      </c>
      <c r="U31" s="2"/>
      <c r="V31" s="7">
        <f t="shared" si="13"/>
        <v>0</v>
      </c>
      <c r="W31" s="2"/>
      <c r="X31" s="6">
        <f t="shared" si="14"/>
        <v>-1161.9300000000003</v>
      </c>
      <c r="Y31" s="2"/>
      <c r="Z31" s="7">
        <f t="shared" si="15"/>
        <v>-3.348238985301441E-2</v>
      </c>
    </row>
    <row r="32" spans="1:26" s="24" customFormat="1" hidden="1" outlineLevel="2" x14ac:dyDescent="0.25">
      <c r="A32" s="25"/>
      <c r="B32" s="11" t="str">
        <f>CONCATENATE("          ", "6007", " - ", "STUDENT HOURLY")</f>
        <v xml:space="preserve">          6007 - STUDENT HOURLY</v>
      </c>
      <c r="C32" s="11"/>
      <c r="D32" s="6">
        <v>1790.75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1790.75</v>
      </c>
      <c r="M32" s="2"/>
      <c r="N32" s="7">
        <f t="shared" si="11"/>
        <v>0</v>
      </c>
      <c r="O32" s="11"/>
      <c r="P32" s="6">
        <v>-42700.72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2399.8099999999977</v>
      </c>
      <c r="Y32" s="2"/>
      <c r="Z32" s="7">
        <f t="shared" si="15"/>
        <v>-5.3210239436210567E-2</v>
      </c>
    </row>
    <row r="33" spans="1:26" s="26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188.5</v>
      </c>
      <c r="E33" s="1"/>
      <c r="F33" s="5">
        <f t="shared" ref="F33:F52" si="16">IF(D$12=0,0,D33/D$12)</f>
        <v>0</v>
      </c>
      <c r="G33" s="1"/>
      <c r="H33" s="1">
        <f>SUM(OSRRefH22_2x_0)</f>
        <v>13239.96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-13051.46</v>
      </c>
      <c r="M33" s="1"/>
      <c r="N33" s="5">
        <f t="shared" ref="N33:N52" si="19">IF(H33=0,0,L33/H33)</f>
        <v>-0.98576279686645574</v>
      </c>
      <c r="O33" s="13"/>
      <c r="P33" s="1">
        <f>SUM(OSRRefP22_2x_0)</f>
        <v>11598.39</v>
      </c>
      <c r="Q33" s="1"/>
      <c r="R33" s="5">
        <f t="shared" ref="R33:R52" si="20">IF(P$12=0,0,P33/P$12)</f>
        <v>0</v>
      </c>
      <c r="S33" s="1"/>
      <c r="T33" s="1">
        <f>SUM(OSRRefT22_2x_0)</f>
        <v>94822.14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-83223.75</v>
      </c>
      <c r="Y33" s="1"/>
      <c r="Z33" s="5">
        <f t="shared" ref="Z33:Z52" si="23">IF(T33=0,0,X33/T33)</f>
        <v>-0.87768268043729025</v>
      </c>
    </row>
    <row r="34" spans="1:26" s="24" customFormat="1" hidden="1" outlineLevel="2" x14ac:dyDescent="0.25">
      <c r="A34" s="25"/>
      <c r="B34" s="11" t="str">
        <f>CONCATENATE("          ", "6362", " - ", "ADVERTISING EXPENSE")</f>
        <v xml:space="preserve">          6362 - ADVERTISING EXPENSE</v>
      </c>
      <c r="C34" s="11"/>
      <c r="D34" s="6">
        <v>188.5</v>
      </c>
      <c r="E34" s="2"/>
      <c r="F34" s="7">
        <f t="shared" si="16"/>
        <v>0</v>
      </c>
      <c r="G34" s="2"/>
      <c r="H34" s="6">
        <v>13239.96</v>
      </c>
      <c r="I34" s="2"/>
      <c r="J34" s="7">
        <f t="shared" si="17"/>
        <v>0</v>
      </c>
      <c r="K34" s="2"/>
      <c r="L34" s="6">
        <f t="shared" si="18"/>
        <v>-13051.46</v>
      </c>
      <c r="M34" s="2"/>
      <c r="N34" s="7">
        <f t="shared" si="19"/>
        <v>-0.98576279686645574</v>
      </c>
      <c r="O34" s="11"/>
      <c r="P34" s="6">
        <v>11598.39</v>
      </c>
      <c r="Q34" s="2"/>
      <c r="R34" s="7">
        <f t="shared" si="20"/>
        <v>0</v>
      </c>
      <c r="S34" s="2"/>
      <c r="T34" s="6">
        <v>94822.14</v>
      </c>
      <c r="U34" s="2"/>
      <c r="V34" s="7">
        <f t="shared" si="21"/>
        <v>0</v>
      </c>
      <c r="W34" s="2"/>
      <c r="X34" s="6">
        <f t="shared" si="22"/>
        <v>-83223.75</v>
      </c>
      <c r="Y34" s="2"/>
      <c r="Z34" s="7">
        <f t="shared" si="23"/>
        <v>-0.87768268043729025</v>
      </c>
    </row>
    <row r="35" spans="1:26" s="26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2416.61</v>
      </c>
      <c r="Q35" s="1"/>
      <c r="R35" s="5">
        <f t="shared" si="20"/>
        <v>0</v>
      </c>
      <c r="S35" s="1"/>
      <c r="T35" s="1">
        <f>SUM(OSRRefT22_3x_0)</f>
        <v>2416.61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5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345.23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2416.61</v>
      </c>
      <c r="Q36" s="2"/>
      <c r="R36" s="7">
        <f t="shared" si="20"/>
        <v>0</v>
      </c>
      <c r="S36" s="2"/>
      <c r="T36" s="6">
        <v>2416.61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6" customFormat="1" outlineLevel="1" collapsed="1" x14ac:dyDescent="0.25">
      <c r="A37" s="27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-615.92999999999995</v>
      </c>
      <c r="I37" s="1"/>
      <c r="J37" s="5">
        <f t="shared" si="17"/>
        <v>0</v>
      </c>
      <c r="K37" s="1"/>
      <c r="L37" s="1">
        <f t="shared" si="18"/>
        <v>615.92999999999995</v>
      </c>
      <c r="M37" s="1"/>
      <c r="N37" s="5">
        <f t="shared" si="19"/>
        <v>-1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43582.89</v>
      </c>
      <c r="U37" s="1"/>
      <c r="V37" s="5">
        <f t="shared" si="21"/>
        <v>0</v>
      </c>
      <c r="W37" s="1"/>
      <c r="X37" s="1">
        <f t="shared" si="22"/>
        <v>102062.11</v>
      </c>
      <c r="Y37" s="1"/>
      <c r="Z37" s="5">
        <f t="shared" si="23"/>
        <v>2.3417930752182796</v>
      </c>
    </row>
    <row r="38" spans="1:26" s="24" customFormat="1" hidden="1" outlineLevel="2" x14ac:dyDescent="0.25">
      <c r="A38" s="25"/>
      <c r="B38" s="11" t="str">
        <f>CONCATENATE("          ", "6399", " - ", "DONATION-ON CAMPUS")</f>
        <v xml:space="preserve">          6399 - DONATION-ON CAMPUS</v>
      </c>
      <c r="C38" s="11"/>
      <c r="D38" s="6"/>
      <c r="E38" s="2"/>
      <c r="F38" s="7">
        <f t="shared" si="16"/>
        <v>0</v>
      </c>
      <c r="G38" s="2"/>
      <c r="H38" s="6">
        <v>-615.92999999999995</v>
      </c>
      <c r="I38" s="2"/>
      <c r="J38" s="7">
        <f t="shared" si="17"/>
        <v>0</v>
      </c>
      <c r="K38" s="2"/>
      <c r="L38" s="6">
        <f t="shared" si="18"/>
        <v>615.92999999999995</v>
      </c>
      <c r="M38" s="2"/>
      <c r="N38" s="7">
        <f t="shared" si="19"/>
        <v>-1</v>
      </c>
      <c r="O38" s="11"/>
      <c r="P38" s="6">
        <v>145645</v>
      </c>
      <c r="Q38" s="2"/>
      <c r="R38" s="7">
        <f t="shared" si="20"/>
        <v>0</v>
      </c>
      <c r="S38" s="2"/>
      <c r="T38" s="6">
        <v>43582.89</v>
      </c>
      <c r="U38" s="2"/>
      <c r="V38" s="7">
        <f t="shared" si="21"/>
        <v>0</v>
      </c>
      <c r="W38" s="2"/>
      <c r="X38" s="6">
        <f t="shared" si="22"/>
        <v>102062.11</v>
      </c>
      <c r="Y38" s="2"/>
      <c r="Z38" s="7">
        <f t="shared" si="23"/>
        <v>2.3417930752182796</v>
      </c>
    </row>
    <row r="39" spans="1:26" s="26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143.03</v>
      </c>
      <c r="I39" s="1"/>
      <c r="J39" s="5">
        <f t="shared" si="17"/>
        <v>0</v>
      </c>
      <c r="K39" s="1"/>
      <c r="L39" s="1">
        <f t="shared" si="18"/>
        <v>-143.03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4684.79</v>
      </c>
      <c r="U39" s="1"/>
      <c r="V39" s="5">
        <f t="shared" si="21"/>
        <v>0</v>
      </c>
      <c r="W39" s="1"/>
      <c r="X39" s="1">
        <f t="shared" si="22"/>
        <v>-4684.79</v>
      </c>
      <c r="Y39" s="1"/>
      <c r="Z39" s="5">
        <f t="shared" si="23"/>
        <v>-1</v>
      </c>
    </row>
    <row r="40" spans="1:26" s="24" customFormat="1" hidden="1" outlineLevel="2" x14ac:dyDescent="0.25">
      <c r="A40" s="25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>
        <v>143.03</v>
      </c>
      <c r="I40" s="2"/>
      <c r="J40" s="7">
        <f t="shared" si="17"/>
        <v>0</v>
      </c>
      <c r="K40" s="2"/>
      <c r="L40" s="6">
        <f t="shared" si="18"/>
        <v>-143.03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4684.79</v>
      </c>
      <c r="U40" s="2"/>
      <c r="V40" s="7">
        <f t="shared" si="21"/>
        <v>0</v>
      </c>
      <c r="W40" s="2"/>
      <c r="X40" s="6">
        <f t="shared" si="22"/>
        <v>-4684.79</v>
      </c>
      <c r="Y40" s="2"/>
      <c r="Z40" s="7">
        <f t="shared" si="23"/>
        <v>-1</v>
      </c>
    </row>
    <row r="41" spans="1:26" s="26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824.04</v>
      </c>
      <c r="Q41" s="1"/>
      <c r="R41" s="5">
        <f t="shared" si="20"/>
        <v>0</v>
      </c>
      <c r="S41" s="1"/>
      <c r="T41" s="1">
        <f>SUM(OSRRefT22_6x_0)</f>
        <v>824.04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5"/>
      <c r="B42" s="11" t="str">
        <f>CONCATENATE("          ", "6351", " - ", "EQUIPMENT RENTAL")</f>
        <v xml:space="preserve">          6351 - EQUIPMENT RENTAL</v>
      </c>
      <c r="C42" s="11"/>
      <c r="D42" s="6">
        <v>117.72</v>
      </c>
      <c r="E42" s="2"/>
      <c r="F42" s="7">
        <f t="shared" si="16"/>
        <v>0</v>
      </c>
      <c r="G42" s="2"/>
      <c r="H42" s="6">
        <v>117.72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824.04</v>
      </c>
      <c r="Q42" s="2"/>
      <c r="R42" s="7">
        <f t="shared" si="20"/>
        <v>0</v>
      </c>
      <c r="S42" s="2"/>
      <c r="T42" s="6">
        <v>824.04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6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SUM(OSRRefP22_7x_0)</f>
        <v>132.5</v>
      </c>
      <c r="Q43" s="1"/>
      <c r="R43" s="5">
        <f t="shared" si="20"/>
        <v>0</v>
      </c>
      <c r="S43" s="1"/>
      <c r="T43" s="1">
        <f>SUM(OSRRefT22_7x_0)</f>
        <v>1.41</v>
      </c>
      <c r="U43" s="1"/>
      <c r="V43" s="5">
        <f t="shared" si="21"/>
        <v>0</v>
      </c>
      <c r="W43" s="1"/>
      <c r="X43" s="1">
        <f t="shared" si="22"/>
        <v>131.09</v>
      </c>
      <c r="Y43" s="1"/>
      <c r="Z43" s="5">
        <f t="shared" si="23"/>
        <v>92.971631205673773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132.5</v>
      </c>
      <c r="Q44" s="2"/>
      <c r="R44" s="7">
        <f t="shared" si="20"/>
        <v>0</v>
      </c>
      <c r="S44" s="2"/>
      <c r="T44" s="6">
        <v>1.41</v>
      </c>
      <c r="U44" s="2"/>
      <c r="V44" s="7">
        <f t="shared" si="21"/>
        <v>0</v>
      </c>
      <c r="W44" s="2"/>
      <c r="X44" s="6">
        <f t="shared" si="22"/>
        <v>131.09</v>
      </c>
      <c r="Y44" s="2"/>
      <c r="Z44" s="7">
        <f t="shared" si="23"/>
        <v>92.971631205673773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SUM(OSRRefP22_8x_0)</f>
        <v>11700.62</v>
      </c>
      <c r="Q45" s="1"/>
      <c r="R45" s="5">
        <f t="shared" si="20"/>
        <v>0</v>
      </c>
      <c r="S45" s="1"/>
      <c r="T45" s="1">
        <f>SUM(OSRRefT22_8x_0)</f>
        <v>10183</v>
      </c>
      <c r="U45" s="1"/>
      <c r="V45" s="5">
        <f t="shared" si="21"/>
        <v>0</v>
      </c>
      <c r="W45" s="1"/>
      <c r="X45" s="1">
        <f t="shared" si="22"/>
        <v>1517.6200000000008</v>
      </c>
      <c r="Y45" s="1"/>
      <c r="Z45" s="5">
        <f t="shared" si="23"/>
        <v>0.14903466561916928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11700.62</v>
      </c>
      <c r="Q46" s="2"/>
      <c r="R46" s="7">
        <f t="shared" si="20"/>
        <v>0</v>
      </c>
      <c r="S46" s="2"/>
      <c r="T46" s="6">
        <v>10183</v>
      </c>
      <c r="U46" s="2"/>
      <c r="V46" s="7">
        <f t="shared" si="21"/>
        <v>0</v>
      </c>
      <c r="W46" s="2"/>
      <c r="X46" s="6">
        <f t="shared" si="22"/>
        <v>1517.6200000000008</v>
      </c>
      <c r="Y46" s="2"/>
      <c r="Z46" s="7">
        <f t="shared" si="23"/>
        <v>0.14903466561916928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462.47</v>
      </c>
      <c r="I47" s="1"/>
      <c r="J47" s="5">
        <f t="shared" si="17"/>
        <v>0</v>
      </c>
      <c r="K47" s="1"/>
      <c r="L47" s="1">
        <f t="shared" si="18"/>
        <v>-347.34000000000003</v>
      </c>
      <c r="M47" s="1"/>
      <c r="N47" s="5">
        <f t="shared" si="19"/>
        <v>-0.75105412242956304</v>
      </c>
      <c r="O47" s="13"/>
      <c r="P47" s="1">
        <f>SUM(OSRRefP22_9x_0)</f>
        <v>805.91</v>
      </c>
      <c r="Q47" s="1"/>
      <c r="R47" s="5">
        <f t="shared" si="20"/>
        <v>0</v>
      </c>
      <c r="S47" s="1"/>
      <c r="T47" s="1">
        <f>SUM(OSRRefT22_9x_0)</f>
        <v>1113.29</v>
      </c>
      <c r="U47" s="1"/>
      <c r="V47" s="5">
        <f t="shared" si="21"/>
        <v>0</v>
      </c>
      <c r="W47" s="1"/>
      <c r="X47" s="1">
        <f t="shared" si="22"/>
        <v>-307.38</v>
      </c>
      <c r="Y47" s="1"/>
      <c r="Z47" s="5">
        <f t="shared" si="23"/>
        <v>-0.27610056678852768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115.13</v>
      </c>
      <c r="E48" s="2"/>
      <c r="F48" s="7">
        <f t="shared" si="16"/>
        <v>0</v>
      </c>
      <c r="G48" s="2"/>
      <c r="H48" s="6">
        <v>462.47</v>
      </c>
      <c r="I48" s="2"/>
      <c r="J48" s="7">
        <f t="shared" si="17"/>
        <v>0</v>
      </c>
      <c r="K48" s="2"/>
      <c r="L48" s="6">
        <f t="shared" si="18"/>
        <v>-347.34000000000003</v>
      </c>
      <c r="M48" s="2"/>
      <c r="N48" s="7">
        <f t="shared" si="19"/>
        <v>-0.75105412242956304</v>
      </c>
      <c r="O48" s="11"/>
      <c r="P48" s="6">
        <v>805.91</v>
      </c>
      <c r="Q48" s="2"/>
      <c r="R48" s="7">
        <f t="shared" si="20"/>
        <v>0</v>
      </c>
      <c r="S48" s="2"/>
      <c r="T48" s="6">
        <v>1113.29</v>
      </c>
      <c r="U48" s="2"/>
      <c r="V48" s="7">
        <f t="shared" si="21"/>
        <v>0</v>
      </c>
      <c r="W48" s="2"/>
      <c r="X48" s="6">
        <f t="shared" si="22"/>
        <v>-307.38</v>
      </c>
      <c r="Y48" s="2"/>
      <c r="Z48" s="7">
        <f t="shared" si="23"/>
        <v>-0.27610056678852768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0</v>
      </c>
      <c r="E49" s="1"/>
      <c r="F49" s="5">
        <f t="shared" si="16"/>
        <v>0</v>
      </c>
      <c r="G49" s="1"/>
      <c r="H49" s="1">
        <f>SUM(OSRRefH22_10x_0)</f>
        <v>5500</v>
      </c>
      <c r="I49" s="1"/>
      <c r="J49" s="5">
        <f t="shared" si="17"/>
        <v>0</v>
      </c>
      <c r="K49" s="1"/>
      <c r="L49" s="1">
        <f t="shared" si="18"/>
        <v>-5500</v>
      </c>
      <c r="M49" s="1"/>
      <c r="N49" s="5">
        <f t="shared" si="19"/>
        <v>-1</v>
      </c>
      <c r="O49" s="13"/>
      <c r="P49" s="1">
        <f>SUM(OSRRefP22_10x_0)</f>
        <v>50860</v>
      </c>
      <c r="Q49" s="1"/>
      <c r="R49" s="5">
        <f t="shared" si="20"/>
        <v>0</v>
      </c>
      <c r="S49" s="1"/>
      <c r="T49" s="1">
        <f>SUM(OSRRefT22_10x_0)</f>
        <v>50350</v>
      </c>
      <c r="U49" s="1"/>
      <c r="V49" s="5">
        <f t="shared" si="21"/>
        <v>0</v>
      </c>
      <c r="W49" s="1"/>
      <c r="X49" s="1">
        <f t="shared" si="22"/>
        <v>510</v>
      </c>
      <c r="Y49" s="1"/>
      <c r="Z49" s="5">
        <f t="shared" si="23"/>
        <v>1.012909632571996E-2</v>
      </c>
    </row>
    <row r="50" spans="1:26" s="24" customFormat="1" hidden="1" outlineLevel="2" x14ac:dyDescent="0.25">
      <c r="A50" s="25"/>
      <c r="B50" s="11" t="str">
        <f>CONCATENATE("          ", "6331", " - ", "INDIRECT COSTS-AUXILIARY ORGAN")</f>
        <v xml:space="preserve">          6331 - INDIRECT COSTS-AUXILIARY ORGAN</v>
      </c>
      <c r="C50" s="11"/>
      <c r="D50" s="6"/>
      <c r="E50" s="2"/>
      <c r="F50" s="7">
        <f t="shared" si="16"/>
        <v>0</v>
      </c>
      <c r="G50" s="2"/>
      <c r="H50" s="6">
        <v>5150</v>
      </c>
      <c r="I50" s="2"/>
      <c r="J50" s="7">
        <f t="shared" si="17"/>
        <v>0</v>
      </c>
      <c r="K50" s="2"/>
      <c r="L50" s="6">
        <f t="shared" si="18"/>
        <v>-5150</v>
      </c>
      <c r="M50" s="2"/>
      <c r="N50" s="7">
        <f t="shared" si="19"/>
        <v>-1</v>
      </c>
      <c r="O50" s="11"/>
      <c r="P50" s="6">
        <v>45550</v>
      </c>
      <c r="Q50" s="2"/>
      <c r="R50" s="7">
        <f t="shared" si="20"/>
        <v>0</v>
      </c>
      <c r="S50" s="2"/>
      <c r="T50" s="6">
        <v>44400</v>
      </c>
      <c r="U50" s="2"/>
      <c r="V50" s="7">
        <f t="shared" si="21"/>
        <v>0</v>
      </c>
      <c r="W50" s="2"/>
      <c r="X50" s="6">
        <f t="shared" si="22"/>
        <v>1150</v>
      </c>
      <c r="Y50" s="2"/>
      <c r="Z50" s="7">
        <f t="shared" si="23"/>
        <v>2.59009009009009E-2</v>
      </c>
    </row>
    <row r="51" spans="1:26" s="24" customFormat="1" hidden="1" outlineLevel="2" x14ac:dyDescent="0.25">
      <c r="A51" s="25"/>
      <c r="B51" s="11" t="str">
        <f>CONCATENATE("          ", "6334", " - ", "LEGAL COUNCIL EXPENSE")</f>
        <v xml:space="preserve">          6334 - LEGAL COUNCIL EXPENSE</v>
      </c>
      <c r="C51" s="11"/>
      <c r="D51" s="6"/>
      <c r="E51" s="2"/>
      <c r="F51" s="7">
        <f t="shared" si="16"/>
        <v>0</v>
      </c>
      <c r="G51" s="2"/>
      <c r="H51" s="6">
        <v>350</v>
      </c>
      <c r="I51" s="2"/>
      <c r="J51" s="7">
        <f t="shared" si="17"/>
        <v>0</v>
      </c>
      <c r="K51" s="2"/>
      <c r="L51" s="6">
        <f t="shared" si="18"/>
        <v>-350</v>
      </c>
      <c r="M51" s="2"/>
      <c r="N51" s="7">
        <f t="shared" si="19"/>
        <v>-1</v>
      </c>
      <c r="O51" s="11"/>
      <c r="P51" s="6">
        <v>290</v>
      </c>
      <c r="Q51" s="2"/>
      <c r="R51" s="7">
        <f t="shared" si="20"/>
        <v>0</v>
      </c>
      <c r="S51" s="2"/>
      <c r="T51" s="6">
        <v>950</v>
      </c>
      <c r="U51" s="2"/>
      <c r="V51" s="7">
        <f t="shared" si="21"/>
        <v>0</v>
      </c>
      <c r="W51" s="2"/>
      <c r="X51" s="6">
        <f t="shared" si="22"/>
        <v>-660</v>
      </c>
      <c r="Y51" s="2"/>
      <c r="Z51" s="7">
        <f t="shared" si="23"/>
        <v>-0.69473684210526321</v>
      </c>
    </row>
    <row r="52" spans="1:26" s="24" customFormat="1" hidden="1" outlineLevel="2" x14ac:dyDescent="0.25">
      <c r="A52" s="25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5020</v>
      </c>
      <c r="Q52" s="2"/>
      <c r="R52" s="7">
        <f t="shared" si="20"/>
        <v>0</v>
      </c>
      <c r="S52" s="2"/>
      <c r="T52" s="6">
        <v>5000</v>
      </c>
      <c r="U52" s="2"/>
      <c r="V52" s="7">
        <f t="shared" si="21"/>
        <v>0</v>
      </c>
      <c r="W52" s="2"/>
      <c r="X52" s="6">
        <f t="shared" si="22"/>
        <v>20</v>
      </c>
      <c r="Y52" s="2"/>
      <c r="Z52" s="7">
        <f t="shared" si="23"/>
        <v>4.0000000000000001E-3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2565</v>
      </c>
      <c r="E53" s="1"/>
      <c r="F53" s="5">
        <f t="shared" ref="F53:F56" si="24">IF(D$12=0,0,D53/D$12)</f>
        <v>0</v>
      </c>
      <c r="G53" s="1"/>
      <c r="H53" s="1">
        <f>SUM(OSRRefH22_11x_0)</f>
        <v>5500.2300000000005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-2935.2300000000005</v>
      </c>
      <c r="M53" s="1"/>
      <c r="N53" s="5">
        <f t="shared" ref="N53:N56" si="27">IF(H53=0,0,L53/H53)</f>
        <v>-0.53365586530017839</v>
      </c>
      <c r="O53" s="13"/>
      <c r="P53" s="1">
        <f>SUM(OSRRefP22_11x_0)</f>
        <v>22860.83</v>
      </c>
      <c r="Q53" s="1"/>
      <c r="R53" s="5">
        <f t="shared" ref="R53:R56" si="28">IF(P$12=0,0,P53/P$12)</f>
        <v>0</v>
      </c>
      <c r="S53" s="1"/>
      <c r="T53" s="1">
        <f>SUM(OSRRefT22_11x_0)</f>
        <v>31109.570000000003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-8248.7400000000016</v>
      </c>
      <c r="Y53" s="1"/>
      <c r="Z53" s="5">
        <f t="shared" ref="Z53:Z56" si="31">IF(T53=0,0,X53/T53)</f>
        <v>-0.2651512058829486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31.58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31.58</v>
      </c>
      <c r="Y54" s="2"/>
      <c r="Z54" s="7">
        <f t="shared" si="31"/>
        <v>0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>
        <v>2565</v>
      </c>
      <c r="E55" s="2"/>
      <c r="F55" s="7">
        <f t="shared" si="24"/>
        <v>0</v>
      </c>
      <c r="G55" s="2"/>
      <c r="H55" s="6">
        <v>5333.59</v>
      </c>
      <c r="I55" s="2"/>
      <c r="J55" s="7">
        <f t="shared" si="25"/>
        <v>0</v>
      </c>
      <c r="K55" s="2"/>
      <c r="L55" s="6">
        <f t="shared" si="26"/>
        <v>-2768.59</v>
      </c>
      <c r="M55" s="2"/>
      <c r="N55" s="7">
        <f t="shared" si="27"/>
        <v>-0.51908564400338231</v>
      </c>
      <c r="O55" s="11"/>
      <c r="P55" s="6">
        <v>22304.26</v>
      </c>
      <c r="Q55" s="2"/>
      <c r="R55" s="7">
        <f t="shared" si="28"/>
        <v>0</v>
      </c>
      <c r="S55" s="2"/>
      <c r="T55" s="6">
        <v>27894.510000000002</v>
      </c>
      <c r="U55" s="2"/>
      <c r="V55" s="7">
        <f t="shared" si="29"/>
        <v>0</v>
      </c>
      <c r="W55" s="2"/>
      <c r="X55" s="6">
        <f t="shared" si="30"/>
        <v>-5590.2500000000036</v>
      </c>
      <c r="Y55" s="2"/>
      <c r="Z55" s="7">
        <f t="shared" si="31"/>
        <v>-0.2004068184026177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>
        <v>166.64</v>
      </c>
      <c r="I56" s="2"/>
      <c r="J56" s="7">
        <f t="shared" si="25"/>
        <v>0</v>
      </c>
      <c r="K56" s="2"/>
      <c r="L56" s="6">
        <f t="shared" si="26"/>
        <v>-166.64</v>
      </c>
      <c r="M56" s="2"/>
      <c r="N56" s="7">
        <f t="shared" si="27"/>
        <v>-1</v>
      </c>
      <c r="O56" s="11"/>
      <c r="P56" s="6">
        <v>524.99</v>
      </c>
      <c r="Q56" s="2"/>
      <c r="R56" s="7">
        <f t="shared" si="28"/>
        <v>0</v>
      </c>
      <c r="S56" s="2"/>
      <c r="T56" s="6">
        <v>3215.06</v>
      </c>
      <c r="U56" s="2"/>
      <c r="V56" s="7">
        <f t="shared" si="29"/>
        <v>0</v>
      </c>
      <c r="W56" s="2"/>
      <c r="X56" s="6">
        <f t="shared" si="30"/>
        <v>-2690.0699999999997</v>
      </c>
      <c r="Y56" s="2"/>
      <c r="Z56" s="7">
        <f t="shared" si="31"/>
        <v>-0.83670911273817583</v>
      </c>
    </row>
    <row r="57" spans="1:26" s="26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ref="F57:F62" si="32">IF(D$12=0,0,D57/D$12)</f>
        <v>0</v>
      </c>
      <c r="G57" s="1"/>
      <c r="H57" s="1">
        <f>SUM(OSRRefH22_12x_0)</f>
        <v>0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0</v>
      </c>
      <c r="M57" s="1"/>
      <c r="N57" s="5">
        <f t="shared" ref="N57:N62" si="35">IF(H57=0,0,L57/H57)</f>
        <v>0</v>
      </c>
      <c r="O57" s="13"/>
      <c r="P57" s="1">
        <f>SUM(OSRRefP22_12x_0)</f>
        <v>1795</v>
      </c>
      <c r="Q57" s="1"/>
      <c r="R57" s="5">
        <f t="shared" ref="R57:R62" si="36">IF(P$12=0,0,P57/P$12)</f>
        <v>0</v>
      </c>
      <c r="S57" s="1"/>
      <c r="T57" s="1">
        <f>SUM(OSRRefT22_12x_0)</f>
        <v>1230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565</v>
      </c>
      <c r="Y57" s="1"/>
      <c r="Z57" s="5">
        <f t="shared" ref="Z57:Z62" si="39">IF(T57=0,0,X57/T57)</f>
        <v>0.45934959349593496</v>
      </c>
    </row>
    <row r="58" spans="1:26" s="24" customFormat="1" hidden="1" outlineLevel="2" x14ac:dyDescent="0.25">
      <c r="A58" s="25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1795</v>
      </c>
      <c r="Q58" s="2"/>
      <c r="R58" s="7">
        <f t="shared" si="36"/>
        <v>0</v>
      </c>
      <c r="S58" s="2"/>
      <c r="T58" s="6">
        <v>1230</v>
      </c>
      <c r="U58" s="2"/>
      <c r="V58" s="7">
        <f t="shared" si="37"/>
        <v>0</v>
      </c>
      <c r="W58" s="2"/>
      <c r="X58" s="6">
        <f t="shared" si="38"/>
        <v>565</v>
      </c>
      <c r="Y58" s="2"/>
      <c r="Z58" s="7">
        <f t="shared" si="39"/>
        <v>0.45934959349593496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125</v>
      </c>
      <c r="E59" s="1"/>
      <c r="F59" s="5">
        <f t="shared" si="32"/>
        <v>0</v>
      </c>
      <c r="G59" s="1"/>
      <c r="H59" s="1">
        <f>SUM(OSRRefH22_13x_0)</f>
        <v>85.11</v>
      </c>
      <c r="I59" s="1"/>
      <c r="J59" s="5">
        <f t="shared" si="33"/>
        <v>0</v>
      </c>
      <c r="K59" s="1"/>
      <c r="L59" s="1">
        <f t="shared" si="34"/>
        <v>39.89</v>
      </c>
      <c r="M59" s="1"/>
      <c r="N59" s="5">
        <f t="shared" si="35"/>
        <v>0.46868758077781697</v>
      </c>
      <c r="O59" s="13"/>
      <c r="P59" s="1">
        <f>SUM(OSRRefP22_13x_0)</f>
        <v>3927.7200000000003</v>
      </c>
      <c r="Q59" s="1"/>
      <c r="R59" s="5">
        <f t="shared" si="36"/>
        <v>0</v>
      </c>
      <c r="S59" s="1"/>
      <c r="T59" s="1">
        <f>SUM(OSRRefT22_13x_0)</f>
        <v>1839.54</v>
      </c>
      <c r="U59" s="1"/>
      <c r="V59" s="5">
        <f t="shared" si="37"/>
        <v>0</v>
      </c>
      <c r="W59" s="1"/>
      <c r="X59" s="1">
        <f t="shared" si="38"/>
        <v>2088.1800000000003</v>
      </c>
      <c r="Y59" s="1"/>
      <c r="Z59" s="5">
        <f t="shared" si="39"/>
        <v>1.1351642258390686</v>
      </c>
    </row>
    <row r="60" spans="1:26" s="24" customFormat="1" hidden="1" outlineLevel="2" x14ac:dyDescent="0.25">
      <c r="A60" s="25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217.02</v>
      </c>
      <c r="Q60" s="2"/>
      <c r="R60" s="7">
        <f t="shared" si="36"/>
        <v>0</v>
      </c>
      <c r="S60" s="2"/>
      <c r="T60" s="6">
        <v>517.49</v>
      </c>
      <c r="U60" s="2"/>
      <c r="V60" s="7">
        <f t="shared" si="37"/>
        <v>0</v>
      </c>
      <c r="W60" s="2"/>
      <c r="X60" s="6">
        <f t="shared" si="38"/>
        <v>-300.47000000000003</v>
      </c>
      <c r="Y60" s="2"/>
      <c r="Z60" s="7">
        <f t="shared" si="39"/>
        <v>-0.58062957738313792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>
        <v>125</v>
      </c>
      <c r="E61" s="2"/>
      <c r="F61" s="7">
        <f t="shared" si="32"/>
        <v>0</v>
      </c>
      <c r="G61" s="2"/>
      <c r="H61" s="6">
        <v>85.11</v>
      </c>
      <c r="I61" s="2"/>
      <c r="J61" s="7">
        <f t="shared" si="33"/>
        <v>0</v>
      </c>
      <c r="K61" s="2"/>
      <c r="L61" s="6">
        <f t="shared" si="34"/>
        <v>39.89</v>
      </c>
      <c r="M61" s="2"/>
      <c r="N61" s="7">
        <f t="shared" si="35"/>
        <v>0.46868758077781697</v>
      </c>
      <c r="O61" s="11"/>
      <c r="P61" s="6">
        <v>3678.84</v>
      </c>
      <c r="Q61" s="2"/>
      <c r="R61" s="7">
        <f t="shared" si="36"/>
        <v>0</v>
      </c>
      <c r="S61" s="2"/>
      <c r="T61" s="6">
        <v>1170.24</v>
      </c>
      <c r="U61" s="2"/>
      <c r="V61" s="7">
        <f t="shared" si="37"/>
        <v>0</v>
      </c>
      <c r="W61" s="2"/>
      <c r="X61" s="6">
        <f t="shared" si="38"/>
        <v>2508.6000000000004</v>
      </c>
      <c r="Y61" s="2"/>
      <c r="Z61" s="7">
        <f t="shared" si="39"/>
        <v>2.143662838392125</v>
      </c>
    </row>
    <row r="62" spans="1:26" s="24" customFormat="1" hidden="1" outlineLevel="2" x14ac:dyDescent="0.25">
      <c r="A62" s="25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31.86</v>
      </c>
      <c r="Q62" s="2"/>
      <c r="R62" s="7">
        <f t="shared" si="36"/>
        <v>0</v>
      </c>
      <c r="S62" s="2"/>
      <c r="T62" s="6">
        <v>151.81</v>
      </c>
      <c r="U62" s="2"/>
      <c r="V62" s="7">
        <f t="shared" si="37"/>
        <v>0</v>
      </c>
      <c r="W62" s="2"/>
      <c r="X62" s="6">
        <f t="shared" si="38"/>
        <v>-119.95</v>
      </c>
      <c r="Y62" s="2"/>
      <c r="Z62" s="7">
        <f t="shared" si="39"/>
        <v>-0.79013240234503657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263.81</v>
      </c>
      <c r="E63" s="1"/>
      <c r="F63" s="5">
        <f t="shared" ref="F63:F69" si="40">IF(D$12=0,0,D63/D$12)</f>
        <v>0</v>
      </c>
      <c r="G63" s="1"/>
      <c r="H63" s="1">
        <f>SUM(OSRRefH22_14x_0)</f>
        <v>-4.43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268.24</v>
      </c>
      <c r="M63" s="1"/>
      <c r="N63" s="5">
        <f t="shared" ref="N63:N69" si="43">IF(H63=0,0,L63/H63)</f>
        <v>-60.550790067720094</v>
      </c>
      <c r="O63" s="13"/>
      <c r="P63" s="1">
        <f>SUM(OSRRefP22_14x_0)</f>
        <v>2920.14</v>
      </c>
      <c r="Q63" s="1"/>
      <c r="R63" s="5">
        <f t="shared" ref="R63:R69" si="44">IF(P$12=0,0,P63/P$12)</f>
        <v>0</v>
      </c>
      <c r="S63" s="1"/>
      <c r="T63" s="1">
        <f>SUM(OSRRefT22_14x_0)</f>
        <v>1971.81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948.32999999999993</v>
      </c>
      <c r="Y63" s="1"/>
      <c r="Z63" s="5">
        <f t="shared" ref="Z63:Z69" si="47">IF(T63=0,0,X63/T63)</f>
        <v>0.48094390433155321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263.81</v>
      </c>
      <c r="E64" s="2"/>
      <c r="F64" s="7">
        <f t="shared" si="40"/>
        <v>0</v>
      </c>
      <c r="G64" s="2"/>
      <c r="H64" s="6">
        <v>-4.43</v>
      </c>
      <c r="I64" s="2"/>
      <c r="J64" s="7">
        <f t="shared" si="41"/>
        <v>0</v>
      </c>
      <c r="K64" s="2"/>
      <c r="L64" s="6">
        <f t="shared" si="42"/>
        <v>268.24</v>
      </c>
      <c r="M64" s="2"/>
      <c r="N64" s="7">
        <f t="shared" si="43"/>
        <v>-60.550790067720094</v>
      </c>
      <c r="O64" s="11"/>
      <c r="P64" s="6">
        <v>2920.14</v>
      </c>
      <c r="Q64" s="2"/>
      <c r="R64" s="7">
        <f t="shared" si="44"/>
        <v>0</v>
      </c>
      <c r="S64" s="2"/>
      <c r="T64" s="6">
        <v>1971.81</v>
      </c>
      <c r="U64" s="2"/>
      <c r="V64" s="7">
        <f t="shared" si="45"/>
        <v>0</v>
      </c>
      <c r="W64" s="2"/>
      <c r="X64" s="6">
        <f t="shared" si="46"/>
        <v>948.32999999999993</v>
      </c>
      <c r="Y64" s="2"/>
      <c r="Z64" s="7">
        <f t="shared" si="47"/>
        <v>0.48094390433155321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878.37</v>
      </c>
      <c r="E65" s="1"/>
      <c r="F65" s="5">
        <f t="shared" si="40"/>
        <v>0</v>
      </c>
      <c r="G65" s="1"/>
      <c r="H65" s="1">
        <f>SUM(OSRRefH22_15x_0)</f>
        <v>1196.46</v>
      </c>
      <c r="I65" s="1"/>
      <c r="J65" s="5">
        <f t="shared" si="41"/>
        <v>0</v>
      </c>
      <c r="K65" s="1"/>
      <c r="L65" s="1">
        <f t="shared" si="42"/>
        <v>-318.09000000000003</v>
      </c>
      <c r="M65" s="1"/>
      <c r="N65" s="5">
        <f t="shared" si="43"/>
        <v>-0.26585928489042676</v>
      </c>
      <c r="O65" s="13"/>
      <c r="P65" s="1">
        <f>SUM(OSRRefP22_15x_0)</f>
        <v>4192.29</v>
      </c>
      <c r="Q65" s="1"/>
      <c r="R65" s="5">
        <f t="shared" si="44"/>
        <v>0</v>
      </c>
      <c r="S65" s="1"/>
      <c r="T65" s="1">
        <f>SUM(OSRRefT22_15x_0)</f>
        <v>3421.93</v>
      </c>
      <c r="U65" s="1"/>
      <c r="V65" s="5">
        <f t="shared" si="45"/>
        <v>0</v>
      </c>
      <c r="W65" s="1"/>
      <c r="X65" s="1">
        <f t="shared" si="46"/>
        <v>770.36000000000013</v>
      </c>
      <c r="Y65" s="1"/>
      <c r="Z65" s="5">
        <f t="shared" si="47"/>
        <v>0.22512441809154488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>
        <v>878.37</v>
      </c>
      <c r="E66" s="2"/>
      <c r="F66" s="7">
        <f t="shared" si="40"/>
        <v>0</v>
      </c>
      <c r="G66" s="2"/>
      <c r="H66" s="6">
        <v>1196.46</v>
      </c>
      <c r="I66" s="2"/>
      <c r="J66" s="7">
        <f t="shared" si="41"/>
        <v>0</v>
      </c>
      <c r="K66" s="2"/>
      <c r="L66" s="6">
        <f t="shared" si="42"/>
        <v>-318.09000000000003</v>
      </c>
      <c r="M66" s="2"/>
      <c r="N66" s="7">
        <f t="shared" si="43"/>
        <v>-0.26585928489042676</v>
      </c>
      <c r="O66" s="11"/>
      <c r="P66" s="6">
        <v>4192.29</v>
      </c>
      <c r="Q66" s="2"/>
      <c r="R66" s="7">
        <f t="shared" si="44"/>
        <v>0</v>
      </c>
      <c r="S66" s="2"/>
      <c r="T66" s="6">
        <v>3421.93</v>
      </c>
      <c r="U66" s="2"/>
      <c r="V66" s="7">
        <f t="shared" si="45"/>
        <v>0</v>
      </c>
      <c r="W66" s="2"/>
      <c r="X66" s="6">
        <f t="shared" si="46"/>
        <v>770.36000000000013</v>
      </c>
      <c r="Y66" s="2"/>
      <c r="Z66" s="7">
        <f t="shared" si="47"/>
        <v>0.22512441809154488</v>
      </c>
    </row>
    <row r="67" spans="1:26" s="26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40.770000000000003</v>
      </c>
      <c r="E67" s="1"/>
      <c r="F67" s="5">
        <f t="shared" si="40"/>
        <v>0</v>
      </c>
      <c r="G67" s="1"/>
      <c r="H67" s="1">
        <f>SUM(OSRRefH22_16x_0)</f>
        <v>1567.95</v>
      </c>
      <c r="I67" s="1"/>
      <c r="J67" s="5">
        <f t="shared" si="41"/>
        <v>0</v>
      </c>
      <c r="K67" s="1"/>
      <c r="L67" s="1">
        <f t="shared" si="42"/>
        <v>-1527.18</v>
      </c>
      <c r="M67" s="1"/>
      <c r="N67" s="5">
        <f t="shared" si="43"/>
        <v>-0.97399789534105041</v>
      </c>
      <c r="O67" s="13"/>
      <c r="P67" s="1">
        <f>SUM(OSRRefP22_16x_0)</f>
        <v>3716.07</v>
      </c>
      <c r="Q67" s="1"/>
      <c r="R67" s="5">
        <f t="shared" si="44"/>
        <v>0</v>
      </c>
      <c r="S67" s="1"/>
      <c r="T67" s="1">
        <f>SUM(OSRRefT22_16x_0)</f>
        <v>8778.44</v>
      </c>
      <c r="U67" s="1"/>
      <c r="V67" s="5">
        <f t="shared" si="45"/>
        <v>0</v>
      </c>
      <c r="W67" s="1"/>
      <c r="X67" s="1">
        <f t="shared" si="46"/>
        <v>-5062.3700000000008</v>
      </c>
      <c r="Y67" s="1"/>
      <c r="Z67" s="5">
        <f t="shared" si="47"/>
        <v>-0.57668218954620643</v>
      </c>
    </row>
    <row r="68" spans="1:26" s="24" customFormat="1" hidden="1" outlineLevel="2" x14ac:dyDescent="0.25">
      <c r="A68" s="25"/>
      <c r="B68" s="11" t="str">
        <f>CONCATENATE("          ", "6292", " - ", "TRAVEL/CONFERENCE")</f>
        <v xml:space="preserve">          6292 - TRAVEL/CONFERENCE</v>
      </c>
      <c r="C68" s="11"/>
      <c r="D68" s="6">
        <v>40.770000000000003</v>
      </c>
      <c r="E68" s="2"/>
      <c r="F68" s="7">
        <f t="shared" si="40"/>
        <v>0</v>
      </c>
      <c r="G68" s="2"/>
      <c r="H68" s="6">
        <v>1567.95</v>
      </c>
      <c r="I68" s="2"/>
      <c r="J68" s="7">
        <f t="shared" si="41"/>
        <v>0</v>
      </c>
      <c r="K68" s="2"/>
      <c r="L68" s="6">
        <f t="shared" si="42"/>
        <v>-1527.18</v>
      </c>
      <c r="M68" s="2"/>
      <c r="N68" s="7">
        <f t="shared" si="43"/>
        <v>-0.97399789534105041</v>
      </c>
      <c r="O68" s="11"/>
      <c r="P68" s="6">
        <v>3716.07</v>
      </c>
      <c r="Q68" s="2"/>
      <c r="R68" s="7">
        <f t="shared" si="44"/>
        <v>0</v>
      </c>
      <c r="S68" s="2"/>
      <c r="T68" s="6">
        <v>7404.01</v>
      </c>
      <c r="U68" s="2"/>
      <c r="V68" s="7">
        <f t="shared" si="45"/>
        <v>0</v>
      </c>
      <c r="W68" s="2"/>
      <c r="X68" s="6">
        <f t="shared" si="46"/>
        <v>-3687.94</v>
      </c>
      <c r="Y68" s="2"/>
      <c r="Z68" s="7">
        <f t="shared" si="47"/>
        <v>-0.49810035372723699</v>
      </c>
    </row>
    <row r="69" spans="1:26" s="24" customFormat="1" hidden="1" outlineLevel="2" x14ac:dyDescent="0.25">
      <c r="A69" s="25"/>
      <c r="B69" s="11" t="str">
        <f>CONCATENATE("          ", "6294", " - ", "TRAVEL OPERATIONAL")</f>
        <v xml:space="preserve">          6294 - TRAVEL OPERATIONAL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1374.43</v>
      </c>
      <c r="U69" s="2"/>
      <c r="V69" s="7">
        <f t="shared" si="45"/>
        <v>0</v>
      </c>
      <c r="W69" s="2"/>
      <c r="X69" s="6">
        <f t="shared" si="46"/>
        <v>-1374.43</v>
      </c>
      <c r="Y69" s="2"/>
      <c r="Z69" s="7">
        <f t="shared" si="47"/>
        <v>-1</v>
      </c>
    </row>
    <row r="70" spans="1:26" s="59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+D16-D18+D71</f>
        <v>-39380.729999999996</v>
      </c>
      <c r="E73" s="14"/>
      <c r="F73" s="22">
        <f>IF(D$12=0,0,D73/D$12)</f>
        <v>0</v>
      </c>
      <c r="G73" s="14"/>
      <c r="H73" s="21">
        <f>+H16-H18+H71</f>
        <v>-73431.830000000016</v>
      </c>
      <c r="I73" s="14"/>
      <c r="J73" s="22">
        <f>IF(H$12=0,0,H73/H$12)</f>
        <v>0</v>
      </c>
      <c r="K73" s="16"/>
      <c r="L73" s="21">
        <f>+D73-H73</f>
        <v>34051.10000000002</v>
      </c>
      <c r="M73" s="16"/>
      <c r="N73" s="22">
        <f>IF(H73=0,0,L73/H73)</f>
        <v>-0.46371035557741125</v>
      </c>
      <c r="O73" s="29"/>
      <c r="P73" s="21">
        <f>+P16-P18+P71</f>
        <v>-476355.03</v>
      </c>
      <c r="Q73" s="14"/>
      <c r="R73" s="22">
        <f>IF(P$12=0,0,P73/P$12)</f>
        <v>0</v>
      </c>
      <c r="S73" s="14"/>
      <c r="T73" s="21">
        <f>+T16-T18+T71</f>
        <v>-527861.10999999987</v>
      </c>
      <c r="U73" s="14"/>
      <c r="V73" s="22">
        <f>IF(T$12=0,0,T73/T$12)</f>
        <v>0</v>
      </c>
      <c r="W73" s="16"/>
      <c r="X73" s="21">
        <f>+P73-T73</f>
        <v>51506.079999999842</v>
      </c>
      <c r="Y73" s="16"/>
      <c r="Z73" s="22">
        <f>IF(T73=0,0,X73/T73)</f>
        <v>-9.7575060985265333E-2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4">
        <f>+D73-D75</f>
        <v>-39380.729999999996</v>
      </c>
      <c r="E77" s="14"/>
      <c r="F77" s="31">
        <f>IF(D$12=0,0,D77/D$12)</f>
        <v>0</v>
      </c>
      <c r="G77" s="14"/>
      <c r="H77" s="34">
        <f>+H73-H75</f>
        <v>-73431.830000000016</v>
      </c>
      <c r="I77" s="14"/>
      <c r="J77" s="31">
        <f>IF(H$12=0,0,H77/H$12)</f>
        <v>0</v>
      </c>
      <c r="K77" s="16"/>
      <c r="L77" s="34">
        <f>D77-H77</f>
        <v>34051.10000000002</v>
      </c>
      <c r="M77" s="16"/>
      <c r="N77" s="31">
        <f>IF(H77=0,0,L77/H77)</f>
        <v>-0.46371035557741125</v>
      </c>
      <c r="O77" s="29"/>
      <c r="P77" s="34">
        <f>+P73-P75</f>
        <v>-476355.03</v>
      </c>
      <c r="Q77" s="14"/>
      <c r="R77" s="31">
        <f>IF(P$12=0,0,P77/P$12)</f>
        <v>0</v>
      </c>
      <c r="S77" s="14"/>
      <c r="T77" s="34">
        <f>+T73-T75</f>
        <v>-527861.10999999987</v>
      </c>
      <c r="U77" s="14"/>
      <c r="V77" s="31">
        <f>IF(T$12=0,0,T77/T$12)</f>
        <v>0</v>
      </c>
      <c r="W77" s="16"/>
      <c r="X77" s="34">
        <f>P77-T77</f>
        <v>51506.079999999842</v>
      </c>
      <c r="Y77" s="16"/>
      <c r="Z77" s="31">
        <f>IF(T77=0,0,X77/T77)</f>
        <v>-9.7575060985265333E-2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0">
        <f>SUM(D77:D79)</f>
        <v>-39380.729999999996</v>
      </c>
      <c r="E80" s="14"/>
      <c r="F80" s="33">
        <f>IF(D$12=0,0,D80/D$12)</f>
        <v>0</v>
      </c>
      <c r="G80" s="14"/>
      <c r="H80" s="30">
        <f>SUM(H77:H79)</f>
        <v>-73431.830000000016</v>
      </c>
      <c r="I80" s="14"/>
      <c r="J80" s="33">
        <f>IF(H$12=0,0,H80/H$12)</f>
        <v>0</v>
      </c>
      <c r="K80" s="16"/>
      <c r="L80" s="30">
        <f>+D80-H80</f>
        <v>34051.10000000002</v>
      </c>
      <c r="M80" s="16"/>
      <c r="N80" s="33">
        <f>IF(H80=0,0,L80/H80)</f>
        <v>-0.46371035557741125</v>
      </c>
      <c r="O80" s="29"/>
      <c r="P80" s="30">
        <f>SUM(P77:P79)</f>
        <v>-476355.03</v>
      </c>
      <c r="Q80" s="14"/>
      <c r="R80" s="33">
        <f>IF(P$12=0,0,P80/P$12)</f>
        <v>0</v>
      </c>
      <c r="S80" s="14"/>
      <c r="T80" s="30">
        <f>SUM(T77:T79)</f>
        <v>-527861.10999999987</v>
      </c>
      <c r="U80" s="14"/>
      <c r="V80" s="33">
        <f>IF(T$12=0,0,T80/T$12)</f>
        <v>0</v>
      </c>
      <c r="W80" s="16"/>
      <c r="X80" s="30">
        <f>+P80-T80</f>
        <v>51506.079999999842</v>
      </c>
      <c r="Y80" s="16"/>
      <c r="Z80" s="33">
        <f>IF(T80=0,0,X80/T80)</f>
        <v>-9.7575060985265333E-2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43879.553584108799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8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","202", " - ", "Accounting")</f>
        <v>Department 202 - Accounting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62425.07</v>
      </c>
      <c r="E18" s="20"/>
      <c r="F18" s="32">
        <f t="shared" ref="F18:F27" si="0">IF(D$12=0,0,D18/D$12)</f>
        <v>0</v>
      </c>
      <c r="G18" s="20"/>
      <c r="H18" s="20">
        <f>SUM(OSRRefH22x_0)</f>
        <v>59189.1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3235.9700000000012</v>
      </c>
      <c r="M18" s="4"/>
      <c r="N18" s="32">
        <f t="shared" ref="N18:N27" si="3">IF(H18=0,0,L18/H18)</f>
        <v>5.4671721651452738E-2</v>
      </c>
      <c r="O18" s="10"/>
      <c r="P18" s="20">
        <f>SUM(OSRRefP22x_0)</f>
        <v>368582.25999999995</v>
      </c>
      <c r="Q18" s="20"/>
      <c r="R18" s="32">
        <f t="shared" ref="R18:R27" si="4">IF(P$12=0,0,P18/P$12)</f>
        <v>0</v>
      </c>
      <c r="S18" s="20"/>
      <c r="T18" s="20">
        <f>SUM(OSRRefT22x_0)</f>
        <v>362046.87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6535.3899999999558</v>
      </c>
      <c r="Y18" s="4"/>
      <c r="Z18" s="32">
        <f t="shared" ref="Z18:Z27" si="7">IF(T18=0,0,X18/T18)</f>
        <v>1.8051226350886435E-2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15757.270000000002</v>
      </c>
      <c r="E19" s="1"/>
      <c r="F19" s="5">
        <f t="shared" si="0"/>
        <v>0</v>
      </c>
      <c r="G19" s="1"/>
      <c r="H19" s="1">
        <f>SUM(OSRRefH22_0x_0)</f>
        <v>16399.87</v>
      </c>
      <c r="I19" s="1"/>
      <c r="J19" s="5">
        <f t="shared" si="1"/>
        <v>0</v>
      </c>
      <c r="K19" s="1"/>
      <c r="L19" s="1">
        <f t="shared" si="2"/>
        <v>-642.59999999999673</v>
      </c>
      <c r="M19" s="1"/>
      <c r="N19" s="5">
        <f t="shared" si="3"/>
        <v>-3.918323742810137E-2</v>
      </c>
      <c r="O19" s="13"/>
      <c r="P19" s="1">
        <f>SUM(OSRRefP22_0x_0)</f>
        <v>110542.91999999997</v>
      </c>
      <c r="Q19" s="1"/>
      <c r="R19" s="5">
        <f t="shared" si="4"/>
        <v>0</v>
      </c>
      <c r="S19" s="1"/>
      <c r="T19" s="1">
        <f>SUM(OSRRefT22_0x_0)</f>
        <v>114152.85999999999</v>
      </c>
      <c r="U19" s="1"/>
      <c r="V19" s="5">
        <f t="shared" si="5"/>
        <v>0</v>
      </c>
      <c r="W19" s="1"/>
      <c r="X19" s="1">
        <f t="shared" si="6"/>
        <v>-3609.9400000000169</v>
      </c>
      <c r="Y19" s="1"/>
      <c r="Z19" s="5">
        <f t="shared" si="7"/>
        <v>-3.162373680344073E-2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2047.74</v>
      </c>
      <c r="E20" s="2"/>
      <c r="F20" s="7">
        <f t="shared" si="0"/>
        <v>0</v>
      </c>
      <c r="G20" s="2"/>
      <c r="H20" s="6">
        <v>2084.2399999999998</v>
      </c>
      <c r="I20" s="2"/>
      <c r="J20" s="7">
        <f t="shared" si="1"/>
        <v>0</v>
      </c>
      <c r="K20" s="2"/>
      <c r="L20" s="6">
        <f t="shared" si="2"/>
        <v>-36.499999999999773</v>
      </c>
      <c r="M20" s="2"/>
      <c r="N20" s="7">
        <f t="shared" si="3"/>
        <v>-1.7512378612827589E-2</v>
      </c>
      <c r="O20" s="11"/>
      <c r="P20" s="6">
        <v>17482.16</v>
      </c>
      <c r="Q20" s="2"/>
      <c r="R20" s="7">
        <f t="shared" si="4"/>
        <v>0</v>
      </c>
      <c r="S20" s="2"/>
      <c r="T20" s="6">
        <v>16848.099999999999</v>
      </c>
      <c r="U20" s="2"/>
      <c r="V20" s="7">
        <f t="shared" si="5"/>
        <v>0</v>
      </c>
      <c r="W20" s="2"/>
      <c r="X20" s="6">
        <f t="shared" si="6"/>
        <v>634.06000000000131</v>
      </c>
      <c r="Y20" s="2"/>
      <c r="Z20" s="7">
        <f t="shared" si="7"/>
        <v>3.7633917177604677E-2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102.89</v>
      </c>
      <c r="E21" s="2"/>
      <c r="F21" s="7">
        <f t="shared" si="0"/>
        <v>0</v>
      </c>
      <c r="G21" s="2"/>
      <c r="H21" s="6">
        <v>89.13</v>
      </c>
      <c r="I21" s="2"/>
      <c r="J21" s="7">
        <f t="shared" si="1"/>
        <v>0</v>
      </c>
      <c r="K21" s="2"/>
      <c r="L21" s="6">
        <f t="shared" si="2"/>
        <v>13.760000000000005</v>
      </c>
      <c r="M21" s="2"/>
      <c r="N21" s="7">
        <f t="shared" si="3"/>
        <v>0.15438124088410193</v>
      </c>
      <c r="O21" s="11"/>
      <c r="P21" s="6">
        <v>678.44</v>
      </c>
      <c r="Q21" s="2"/>
      <c r="R21" s="7">
        <f t="shared" si="4"/>
        <v>0</v>
      </c>
      <c r="S21" s="2"/>
      <c r="T21" s="6">
        <v>777.88</v>
      </c>
      <c r="U21" s="2"/>
      <c r="V21" s="7">
        <f t="shared" si="5"/>
        <v>0</v>
      </c>
      <c r="W21" s="2"/>
      <c r="X21" s="6">
        <f t="shared" si="6"/>
        <v>-99.439999999999941</v>
      </c>
      <c r="Y21" s="2"/>
      <c r="Z21" s="7">
        <f t="shared" si="7"/>
        <v>-0.12783462744896379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6259.57</v>
      </c>
      <c r="E22" s="2"/>
      <c r="F22" s="7">
        <f t="shared" si="0"/>
        <v>0</v>
      </c>
      <c r="G22" s="2"/>
      <c r="H22" s="6">
        <v>6555.64</v>
      </c>
      <c r="I22" s="2"/>
      <c r="J22" s="7">
        <f t="shared" si="1"/>
        <v>0</v>
      </c>
      <c r="K22" s="2"/>
      <c r="L22" s="6">
        <f t="shared" si="2"/>
        <v>-296.07000000000062</v>
      </c>
      <c r="M22" s="2"/>
      <c r="N22" s="7">
        <f t="shared" si="3"/>
        <v>-4.5162638582960719E-2</v>
      </c>
      <c r="O22" s="11"/>
      <c r="P22" s="6">
        <v>41911.689999999995</v>
      </c>
      <c r="Q22" s="2"/>
      <c r="R22" s="7">
        <f t="shared" si="4"/>
        <v>0</v>
      </c>
      <c r="S22" s="2"/>
      <c r="T22" s="6">
        <v>43920.28</v>
      </c>
      <c r="U22" s="2"/>
      <c r="V22" s="7">
        <f t="shared" si="5"/>
        <v>0</v>
      </c>
      <c r="W22" s="2"/>
      <c r="X22" s="6">
        <f t="shared" si="6"/>
        <v>-2008.5900000000038</v>
      </c>
      <c r="Y22" s="2"/>
      <c r="Z22" s="7">
        <f t="shared" si="7"/>
        <v>-4.5732631941326506E-2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78.680000000000007</v>
      </c>
      <c r="E23" s="2"/>
      <c r="F23" s="7">
        <f t="shared" si="0"/>
        <v>0</v>
      </c>
      <c r="G23" s="2"/>
      <c r="H23" s="6">
        <v>74.75</v>
      </c>
      <c r="I23" s="2"/>
      <c r="J23" s="7">
        <f t="shared" si="1"/>
        <v>0</v>
      </c>
      <c r="K23" s="2"/>
      <c r="L23" s="6">
        <f t="shared" si="2"/>
        <v>3.9300000000000068</v>
      </c>
      <c r="M23" s="2"/>
      <c r="N23" s="7">
        <f t="shared" si="3"/>
        <v>5.2575250836120489E-2</v>
      </c>
      <c r="O23" s="11"/>
      <c r="P23" s="6">
        <v>659.56</v>
      </c>
      <c r="Q23" s="2"/>
      <c r="R23" s="7">
        <f t="shared" si="4"/>
        <v>0</v>
      </c>
      <c r="S23" s="2"/>
      <c r="T23" s="6">
        <v>652.41999999999996</v>
      </c>
      <c r="U23" s="2"/>
      <c r="V23" s="7">
        <f t="shared" si="5"/>
        <v>0</v>
      </c>
      <c r="W23" s="2"/>
      <c r="X23" s="6">
        <f t="shared" si="6"/>
        <v>7.1399999999999864</v>
      </c>
      <c r="Y23" s="2"/>
      <c r="Z23" s="7">
        <f t="shared" si="7"/>
        <v>1.0943870512859794E-2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3295.2</v>
      </c>
      <c r="E24" s="2"/>
      <c r="F24" s="7">
        <f t="shared" si="0"/>
        <v>0</v>
      </c>
      <c r="G24" s="2"/>
      <c r="H24" s="6">
        <v>2977.22</v>
      </c>
      <c r="I24" s="2"/>
      <c r="J24" s="7">
        <f t="shared" si="1"/>
        <v>0</v>
      </c>
      <c r="K24" s="2"/>
      <c r="L24" s="6">
        <f t="shared" si="2"/>
        <v>317.98</v>
      </c>
      <c r="M24" s="2"/>
      <c r="N24" s="7">
        <f t="shared" si="3"/>
        <v>0.10680433424469808</v>
      </c>
      <c r="O24" s="11"/>
      <c r="P24" s="6">
        <v>17703.73</v>
      </c>
      <c r="Q24" s="2"/>
      <c r="R24" s="7">
        <f t="shared" si="4"/>
        <v>0</v>
      </c>
      <c r="S24" s="2"/>
      <c r="T24" s="6">
        <v>16629.649999999998</v>
      </c>
      <c r="U24" s="2"/>
      <c r="V24" s="7">
        <f t="shared" si="5"/>
        <v>0</v>
      </c>
      <c r="W24" s="2"/>
      <c r="X24" s="6">
        <f t="shared" si="6"/>
        <v>1074.0800000000017</v>
      </c>
      <c r="Y24" s="2"/>
      <c r="Z24" s="7">
        <f t="shared" si="7"/>
        <v>6.4588250504370323E-2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1866.76</v>
      </c>
      <c r="E25" s="2"/>
      <c r="F25" s="7">
        <f t="shared" si="0"/>
        <v>0</v>
      </c>
      <c r="G25" s="2"/>
      <c r="H25" s="6">
        <v>1979.74</v>
      </c>
      <c r="I25" s="2"/>
      <c r="J25" s="7">
        <f t="shared" si="1"/>
        <v>0</v>
      </c>
      <c r="K25" s="2"/>
      <c r="L25" s="6">
        <f t="shared" si="2"/>
        <v>-112.98000000000002</v>
      </c>
      <c r="M25" s="2"/>
      <c r="N25" s="7">
        <f t="shared" si="3"/>
        <v>-5.7068099851495663E-2</v>
      </c>
      <c r="O25" s="11"/>
      <c r="P25" s="6">
        <v>14875.12</v>
      </c>
      <c r="Q25" s="2"/>
      <c r="R25" s="7">
        <f t="shared" si="4"/>
        <v>0</v>
      </c>
      <c r="S25" s="2"/>
      <c r="T25" s="6">
        <v>14721.62</v>
      </c>
      <c r="U25" s="2"/>
      <c r="V25" s="7">
        <f t="shared" si="5"/>
        <v>0</v>
      </c>
      <c r="W25" s="2"/>
      <c r="X25" s="6">
        <f t="shared" si="6"/>
        <v>153.5</v>
      </c>
      <c r="Y25" s="2"/>
      <c r="Z25" s="7">
        <f t="shared" si="7"/>
        <v>1.0426841611181377E-2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1152.2</v>
      </c>
      <c r="E26" s="2"/>
      <c r="F26" s="7">
        <f t="shared" si="0"/>
        <v>0</v>
      </c>
      <c r="G26" s="2"/>
      <c r="H26" s="6">
        <v>1892.84</v>
      </c>
      <c r="I26" s="2"/>
      <c r="J26" s="7">
        <f t="shared" si="1"/>
        <v>0</v>
      </c>
      <c r="K26" s="2"/>
      <c r="L26" s="6">
        <f t="shared" si="2"/>
        <v>-740.63999999999987</v>
      </c>
      <c r="M26" s="2"/>
      <c r="N26" s="7">
        <f t="shared" si="3"/>
        <v>-0.39128505314765111</v>
      </c>
      <c r="O26" s="11"/>
      <c r="P26" s="6">
        <v>11424.21</v>
      </c>
      <c r="Q26" s="2"/>
      <c r="R26" s="7">
        <f t="shared" si="4"/>
        <v>0</v>
      </c>
      <c r="S26" s="2"/>
      <c r="T26" s="6">
        <v>15421.670000000002</v>
      </c>
      <c r="U26" s="2"/>
      <c r="V26" s="7">
        <f t="shared" si="5"/>
        <v>0</v>
      </c>
      <c r="W26" s="2"/>
      <c r="X26" s="6">
        <f t="shared" si="6"/>
        <v>-3997.4600000000028</v>
      </c>
      <c r="Y26" s="2"/>
      <c r="Z26" s="7">
        <f t="shared" si="7"/>
        <v>-0.25921057836148759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954.23</v>
      </c>
      <c r="E27" s="2"/>
      <c r="F27" s="7">
        <f t="shared" si="0"/>
        <v>0</v>
      </c>
      <c r="G27" s="2"/>
      <c r="H27" s="6">
        <v>746.31</v>
      </c>
      <c r="I27" s="2"/>
      <c r="J27" s="7">
        <f t="shared" si="1"/>
        <v>0</v>
      </c>
      <c r="K27" s="2"/>
      <c r="L27" s="6">
        <f t="shared" si="2"/>
        <v>207.92000000000007</v>
      </c>
      <c r="M27" s="2"/>
      <c r="N27" s="7">
        <f t="shared" si="3"/>
        <v>0.27859736570594001</v>
      </c>
      <c r="O27" s="11"/>
      <c r="P27" s="6">
        <v>5808.01</v>
      </c>
      <c r="Q27" s="2"/>
      <c r="R27" s="7">
        <f t="shared" si="4"/>
        <v>0</v>
      </c>
      <c r="S27" s="2"/>
      <c r="T27" s="6">
        <v>5181.24</v>
      </c>
      <c r="U27" s="2"/>
      <c r="V27" s="7">
        <f t="shared" si="5"/>
        <v>0</v>
      </c>
      <c r="W27" s="2"/>
      <c r="X27" s="6">
        <f t="shared" si="6"/>
        <v>626.77000000000044</v>
      </c>
      <c r="Y27" s="2"/>
      <c r="Z27" s="7">
        <f t="shared" si="7"/>
        <v>0.12096911164122882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37117.58</v>
      </c>
      <c r="E28" s="1"/>
      <c r="F28" s="5">
        <f t="shared" ref="F28:F33" si="8">IF(D$12=0,0,D28/D$12)</f>
        <v>0</v>
      </c>
      <c r="G28" s="1"/>
      <c r="H28" s="1">
        <f>SUM(OSRRefH22_1x_0)</f>
        <v>33794.18</v>
      </c>
      <c r="I28" s="1"/>
      <c r="J28" s="5">
        <f t="shared" ref="J28:J33" si="9">IF(H$12=0,0,H28/H$12)</f>
        <v>0</v>
      </c>
      <c r="K28" s="1"/>
      <c r="L28" s="1">
        <f t="shared" ref="L28:L33" si="10">+D28-H28</f>
        <v>3323.4000000000015</v>
      </c>
      <c r="M28" s="1"/>
      <c r="N28" s="5">
        <f t="shared" ref="N28:N33" si="11">IF(H28=0,0,L28/H28)</f>
        <v>9.834237729691922E-2</v>
      </c>
      <c r="O28" s="13"/>
      <c r="P28" s="1">
        <f>SUM(OSRRefP22_1x_0)</f>
        <v>222021.05</v>
      </c>
      <c r="Q28" s="1"/>
      <c r="R28" s="5">
        <f t="shared" ref="R28:R33" si="12">IF(P$12=0,0,P28/P$12)</f>
        <v>0</v>
      </c>
      <c r="S28" s="1"/>
      <c r="T28" s="1">
        <f>SUM(OSRRefT22_1x_0)</f>
        <v>209095.21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12925.839999999997</v>
      </c>
      <c r="Y28" s="1"/>
      <c r="Z28" s="5">
        <f t="shared" ref="Z28:Z33" si="15">IF(T28=0,0,X28/T28)</f>
        <v>6.1817963213982745E-2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29234.27</v>
      </c>
      <c r="E29" s="2"/>
      <c r="F29" s="7">
        <f t="shared" si="8"/>
        <v>0</v>
      </c>
      <c r="G29" s="2"/>
      <c r="H29" s="6">
        <v>26925.79</v>
      </c>
      <c r="I29" s="2"/>
      <c r="J29" s="7">
        <f t="shared" si="9"/>
        <v>0</v>
      </c>
      <c r="K29" s="2"/>
      <c r="L29" s="6">
        <f t="shared" si="10"/>
        <v>2308.4799999999996</v>
      </c>
      <c r="M29" s="2"/>
      <c r="N29" s="7">
        <f t="shared" si="11"/>
        <v>8.5734903228466067E-2</v>
      </c>
      <c r="O29" s="11"/>
      <c r="P29" s="6">
        <v>178672.18</v>
      </c>
      <c r="Q29" s="2"/>
      <c r="R29" s="7">
        <f t="shared" si="12"/>
        <v>0</v>
      </c>
      <c r="S29" s="2"/>
      <c r="T29" s="6">
        <v>167008.35</v>
      </c>
      <c r="U29" s="2"/>
      <c r="V29" s="7">
        <f t="shared" si="13"/>
        <v>0</v>
      </c>
      <c r="W29" s="2"/>
      <c r="X29" s="6">
        <f t="shared" si="14"/>
        <v>11663.829999999987</v>
      </c>
      <c r="Y29" s="2"/>
      <c r="Z29" s="7">
        <f t="shared" si="15"/>
        <v>6.9839801423102421E-2</v>
      </c>
    </row>
    <row r="30" spans="1:26" s="24" customFormat="1" hidden="1" outlineLevel="2" x14ac:dyDescent="0.25">
      <c r="A30" s="25"/>
      <c r="B30" s="11" t="str">
        <f>CONCATENATE("          ", "6005", " - ", "TEMPORARY WAGES-HOURLY")</f>
        <v xml:space="preserve">          6005 - TEMPORARY WAGES-HOURLY</v>
      </c>
      <c r="C30" s="11"/>
      <c r="D30" s="6">
        <v>1793.09</v>
      </c>
      <c r="E30" s="2"/>
      <c r="F30" s="7">
        <f t="shared" si="8"/>
        <v>0</v>
      </c>
      <c r="G30" s="2"/>
      <c r="H30" s="6">
        <v>1957</v>
      </c>
      <c r="I30" s="2"/>
      <c r="J30" s="7">
        <f t="shared" si="9"/>
        <v>0</v>
      </c>
      <c r="K30" s="2"/>
      <c r="L30" s="6">
        <f t="shared" si="10"/>
        <v>-163.91000000000008</v>
      </c>
      <c r="M30" s="2"/>
      <c r="N30" s="7">
        <f t="shared" si="11"/>
        <v>-8.3755748594787988E-2</v>
      </c>
      <c r="O30" s="11"/>
      <c r="P30" s="6">
        <v>15527.769999999999</v>
      </c>
      <c r="Q30" s="2"/>
      <c r="R30" s="7">
        <f t="shared" si="12"/>
        <v>0</v>
      </c>
      <c r="S30" s="2"/>
      <c r="T30" s="6">
        <v>14507.55</v>
      </c>
      <c r="U30" s="2"/>
      <c r="V30" s="7">
        <f t="shared" si="13"/>
        <v>0</v>
      </c>
      <c r="W30" s="2"/>
      <c r="X30" s="6">
        <f t="shared" si="14"/>
        <v>1020.2199999999993</v>
      </c>
      <c r="Y30" s="2"/>
      <c r="Z30" s="7">
        <f t="shared" si="15"/>
        <v>7.0323383341777165E-2</v>
      </c>
    </row>
    <row r="31" spans="1:26" s="24" customFormat="1" hidden="1" outlineLevel="2" x14ac:dyDescent="0.25">
      <c r="A31" s="25"/>
      <c r="B31" s="11" t="str">
        <f>CONCATENATE("          ", "6006", " - ", "TEMPORARY PART TIME")</f>
        <v xml:space="preserve">          6006 - TEMPORARY PART TIME</v>
      </c>
      <c r="C31" s="11"/>
      <c r="D31" s="6"/>
      <c r="E31" s="2"/>
      <c r="F31" s="7">
        <f t="shared" si="8"/>
        <v>0</v>
      </c>
      <c r="G31" s="2"/>
      <c r="H31" s="6">
        <v>951.32</v>
      </c>
      <c r="I31" s="2"/>
      <c r="J31" s="7">
        <f t="shared" si="9"/>
        <v>0</v>
      </c>
      <c r="K31" s="2"/>
      <c r="L31" s="6">
        <f t="shared" si="10"/>
        <v>-951.32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951.32</v>
      </c>
      <c r="U31" s="2"/>
      <c r="V31" s="7">
        <f t="shared" si="13"/>
        <v>0</v>
      </c>
      <c r="W31" s="2"/>
      <c r="X31" s="6">
        <f t="shared" si="14"/>
        <v>-951.32</v>
      </c>
      <c r="Y31" s="2"/>
      <c r="Z31" s="7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"6007", " - ", "STUDENT HOURLY")</f>
        <v xml:space="preserve">          6007 - STUDENT HOURLY</v>
      </c>
      <c r="C32" s="11"/>
      <c r="D32" s="6">
        <v>5680.72</v>
      </c>
      <c r="E32" s="2"/>
      <c r="F32" s="7">
        <f t="shared" si="8"/>
        <v>0</v>
      </c>
      <c r="G32" s="2"/>
      <c r="H32" s="6">
        <v>3777.07</v>
      </c>
      <c r="I32" s="2"/>
      <c r="J32" s="7">
        <f t="shared" si="9"/>
        <v>0</v>
      </c>
      <c r="K32" s="2"/>
      <c r="L32" s="6">
        <f t="shared" si="10"/>
        <v>1903.65</v>
      </c>
      <c r="M32" s="2"/>
      <c r="N32" s="7">
        <f t="shared" si="11"/>
        <v>0.50400177915685973</v>
      </c>
      <c r="O32" s="11"/>
      <c r="P32" s="6">
        <v>24567.599999999999</v>
      </c>
      <c r="Q32" s="2"/>
      <c r="R32" s="7">
        <f t="shared" si="12"/>
        <v>0</v>
      </c>
      <c r="S32" s="2"/>
      <c r="T32" s="6">
        <v>26444.99</v>
      </c>
      <c r="U32" s="2"/>
      <c r="V32" s="7">
        <f t="shared" si="13"/>
        <v>0</v>
      </c>
      <c r="W32" s="2"/>
      <c r="X32" s="6">
        <f t="shared" si="14"/>
        <v>-1877.3900000000031</v>
      </c>
      <c r="Y32" s="2"/>
      <c r="Z32" s="7">
        <f t="shared" si="15"/>
        <v>-7.0992274907269878E-2</v>
      </c>
    </row>
    <row r="33" spans="1:26" s="24" customFormat="1" hidden="1" outlineLevel="2" x14ac:dyDescent="0.25">
      <c r="A33" s="25"/>
      <c r="B33" s="11" t="str">
        <f>CONCATENATE("          ", "6008", " - ", "STUDENT HOURLY-FICA EXEMPT")</f>
        <v xml:space="preserve">          6008 - STUDENT HOURLY-FICA EXEMPT</v>
      </c>
      <c r="C33" s="11"/>
      <c r="D33" s="6">
        <v>409.5</v>
      </c>
      <c r="E33" s="2"/>
      <c r="F33" s="7">
        <f t="shared" si="8"/>
        <v>0</v>
      </c>
      <c r="G33" s="2"/>
      <c r="H33" s="6">
        <v>183</v>
      </c>
      <c r="I33" s="2"/>
      <c r="J33" s="7">
        <f t="shared" si="9"/>
        <v>0</v>
      </c>
      <c r="K33" s="2"/>
      <c r="L33" s="6">
        <f t="shared" si="10"/>
        <v>226.5</v>
      </c>
      <c r="M33" s="2"/>
      <c r="N33" s="7">
        <f t="shared" si="11"/>
        <v>1.2377049180327868</v>
      </c>
      <c r="O33" s="11"/>
      <c r="P33" s="6">
        <v>3253.5</v>
      </c>
      <c r="Q33" s="2"/>
      <c r="R33" s="7">
        <f t="shared" si="12"/>
        <v>0</v>
      </c>
      <c r="S33" s="2"/>
      <c r="T33" s="6">
        <v>183</v>
      </c>
      <c r="U33" s="2"/>
      <c r="V33" s="7">
        <f t="shared" si="13"/>
        <v>0</v>
      </c>
      <c r="W33" s="2"/>
      <c r="X33" s="6">
        <f t="shared" si="14"/>
        <v>3070.5</v>
      </c>
      <c r="Y33" s="2"/>
      <c r="Z33" s="7">
        <f t="shared" si="15"/>
        <v>16.778688524590162</v>
      </c>
    </row>
    <row r="34" spans="1:26" s="26" customFormat="1" outlineLevel="1" collapsed="1" x14ac:dyDescent="0.25">
      <c r="A34" s="27"/>
      <c r="B34" s="13" t="str">
        <f>CONCATENATE("     ","Advertising/Promo                                 ")</f>
        <v xml:space="preserve">     Advertising/Promo                                 </v>
      </c>
      <c r="C34" s="13"/>
      <c r="D34" s="1">
        <f>SUM(OSRRefD22_2x_0)</f>
        <v>18</v>
      </c>
      <c r="E34" s="1"/>
      <c r="F34" s="5">
        <f t="shared" ref="F34:F53" si="16">IF(D$12=0,0,D34/D$12)</f>
        <v>0</v>
      </c>
      <c r="G34" s="1"/>
      <c r="H34" s="1">
        <f>SUM(OSRRefH22_2x_0)</f>
        <v>0</v>
      </c>
      <c r="I34" s="1"/>
      <c r="J34" s="5">
        <f t="shared" ref="J34:J53" si="17">IF(H$12=0,0,H34/H$12)</f>
        <v>0</v>
      </c>
      <c r="K34" s="1"/>
      <c r="L34" s="1">
        <f t="shared" ref="L34:L53" si="18">+D34-H34</f>
        <v>18</v>
      </c>
      <c r="M34" s="1"/>
      <c r="N34" s="5">
        <f t="shared" ref="N34:N53" si="19">IF(H34=0,0,L34/H34)</f>
        <v>0</v>
      </c>
      <c r="O34" s="13"/>
      <c r="P34" s="1">
        <f>SUM(OSRRefP22_2x_0)</f>
        <v>18</v>
      </c>
      <c r="Q34" s="1"/>
      <c r="R34" s="5">
        <f t="shared" ref="R34:R53" si="20">IF(P$12=0,0,P34/P$12)</f>
        <v>0</v>
      </c>
      <c r="S34" s="1"/>
      <c r="T34" s="1">
        <f>SUM(OSRRefT22_2x_0)</f>
        <v>389</v>
      </c>
      <c r="U34" s="1"/>
      <c r="V34" s="5">
        <f t="shared" ref="V34:V53" si="21">IF(T$12=0,0,T34/T$12)</f>
        <v>0</v>
      </c>
      <c r="W34" s="1"/>
      <c r="X34" s="1">
        <f t="shared" ref="X34:X53" si="22">+P34-T34</f>
        <v>-371</v>
      </c>
      <c r="Y34" s="1"/>
      <c r="Z34" s="5">
        <f t="shared" ref="Z34:Z53" si="23">IF(T34=0,0,X34/T34)</f>
        <v>-0.95372750642673521</v>
      </c>
    </row>
    <row r="35" spans="1:26" s="24" customFormat="1" hidden="1" outlineLevel="2" x14ac:dyDescent="0.25">
      <c r="A35" s="25"/>
      <c r="B35" s="11" t="str">
        <f>CONCATENATE("          ", "6362", " - ", "ADVERTISING EXPENSE")</f>
        <v xml:space="preserve">          6362 - ADVERTISING EXPENSE</v>
      </c>
      <c r="C35" s="11"/>
      <c r="D35" s="6">
        <v>18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18</v>
      </c>
      <c r="M35" s="2"/>
      <c r="N35" s="7">
        <f t="shared" si="19"/>
        <v>0</v>
      </c>
      <c r="O35" s="11"/>
      <c r="P35" s="6">
        <v>18</v>
      </c>
      <c r="Q35" s="2"/>
      <c r="R35" s="7">
        <f t="shared" si="20"/>
        <v>0</v>
      </c>
      <c r="S35" s="2"/>
      <c r="T35" s="6">
        <v>389</v>
      </c>
      <c r="U35" s="2"/>
      <c r="V35" s="7">
        <f t="shared" si="21"/>
        <v>0</v>
      </c>
      <c r="W35" s="2"/>
      <c r="X35" s="6">
        <f t="shared" si="22"/>
        <v>-371</v>
      </c>
      <c r="Y35" s="2"/>
      <c r="Z35" s="7">
        <f t="shared" si="23"/>
        <v>-0.95372750642673521</v>
      </c>
    </row>
    <row r="36" spans="1:26" s="26" customFormat="1" outlineLevel="1" collapsed="1" x14ac:dyDescent="0.25">
      <c r="A36" s="27"/>
      <c r="B36" s="13" t="str">
        <f>CONCATENATE("     ","Depreciation                                      ")</f>
        <v xml:space="preserve">     Depreciation                                      </v>
      </c>
      <c r="C36" s="13"/>
      <c r="D36" s="1">
        <f>SUM(OSRRefD22_3x_0)</f>
        <v>1558.88</v>
      </c>
      <c r="E36" s="1"/>
      <c r="F36" s="5">
        <f t="shared" si="16"/>
        <v>0</v>
      </c>
      <c r="G36" s="1"/>
      <c r="H36" s="1">
        <f>SUM(OSRRefH22_3x_0)</f>
        <v>1558.88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3"/>
      <c r="P36" s="1">
        <f>SUM(OSRRefP22_3x_0)</f>
        <v>10912.16</v>
      </c>
      <c r="Q36" s="1"/>
      <c r="R36" s="5">
        <f t="shared" si="20"/>
        <v>0</v>
      </c>
      <c r="S36" s="1"/>
      <c r="T36" s="1">
        <f>SUM(OSRRefT22_3x_0)</f>
        <v>10912.16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25">
      <c r="A37" s="25"/>
      <c r="B37" s="11" t="str">
        <f>CONCATENATE("          ", "6322", " - ", "EQUIPMENT DEPRECIATION EXPENSE")</f>
        <v xml:space="preserve">          6322 - EQUIPMENT DEPRECIATION EXPENSE</v>
      </c>
      <c r="C37" s="11"/>
      <c r="D37" s="6">
        <v>1558.88</v>
      </c>
      <c r="E37" s="2"/>
      <c r="F37" s="7">
        <f t="shared" si="16"/>
        <v>0</v>
      </c>
      <c r="G37" s="2"/>
      <c r="H37" s="6">
        <v>1558.88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10912.16</v>
      </c>
      <c r="Q37" s="2"/>
      <c r="R37" s="7">
        <f t="shared" si="20"/>
        <v>0</v>
      </c>
      <c r="S37" s="2"/>
      <c r="T37" s="6">
        <v>10912.16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6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3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137.68</v>
      </c>
      <c r="U38" s="1"/>
      <c r="V38" s="5">
        <f t="shared" si="21"/>
        <v>0</v>
      </c>
      <c r="W38" s="1"/>
      <c r="X38" s="1">
        <f t="shared" si="22"/>
        <v>-137.68</v>
      </c>
      <c r="Y38" s="1"/>
      <c r="Z38" s="5">
        <f t="shared" si="23"/>
        <v>-1</v>
      </c>
    </row>
    <row r="39" spans="1:26" s="24" customFormat="1" hidden="1" outlineLevel="2" x14ac:dyDescent="0.25">
      <c r="A39" s="25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137.68</v>
      </c>
      <c r="U39" s="2"/>
      <c r="V39" s="7">
        <f t="shared" si="21"/>
        <v>0</v>
      </c>
      <c r="W39" s="2"/>
      <c r="X39" s="6">
        <f t="shared" si="22"/>
        <v>-137.68</v>
      </c>
      <c r="Y39" s="2"/>
      <c r="Z39" s="7">
        <f t="shared" si="23"/>
        <v>-1</v>
      </c>
    </row>
    <row r="40" spans="1:26" s="26" customFormat="1" outlineLevel="1" collapsed="1" x14ac:dyDescent="0.25">
      <c r="A40" s="27"/>
      <c r="B40" s="13" t="str">
        <f>CONCATENATE("     ","Equipment Rental                                  ")</f>
        <v xml:space="preserve">     Equipment Rental                                  </v>
      </c>
      <c r="C40" s="13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SUM(OSRRefP22_5x_0)</f>
        <v>638.82000000000005</v>
      </c>
      <c r="Q40" s="1"/>
      <c r="R40" s="5">
        <f t="shared" si="20"/>
        <v>0</v>
      </c>
      <c r="S40" s="1"/>
      <c r="T40" s="1">
        <f>SUM(OSRRefT22_5x_0)</f>
        <v>638.82000000000005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4" customFormat="1" hidden="1" outlineLevel="2" x14ac:dyDescent="0.25">
      <c r="A41" s="25"/>
      <c r="B41" s="11" t="str">
        <f>CONCATENATE("          ", "6351", " - ", "EQUIPMENT RENTAL")</f>
        <v xml:space="preserve">          6351 - EQUIPMENT RENTAL</v>
      </c>
      <c r="C41" s="11"/>
      <c r="D41" s="6">
        <v>91.26</v>
      </c>
      <c r="E41" s="2"/>
      <c r="F41" s="7">
        <f t="shared" si="16"/>
        <v>0</v>
      </c>
      <c r="G41" s="2"/>
      <c r="H41" s="6">
        <v>91.26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638.82000000000005</v>
      </c>
      <c r="Q41" s="2"/>
      <c r="R41" s="7">
        <f t="shared" si="20"/>
        <v>0</v>
      </c>
      <c r="S41" s="2"/>
      <c r="T41" s="6">
        <v>638.82000000000005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SUM(OSRRefD22_6x_0)</f>
        <v>118.3</v>
      </c>
      <c r="E42" s="1"/>
      <c r="F42" s="5">
        <f t="shared" si="16"/>
        <v>0</v>
      </c>
      <c r="G42" s="1"/>
      <c r="H42" s="1">
        <f>SUM(OSRRefH22_6x_0)</f>
        <v>141.4</v>
      </c>
      <c r="I42" s="1"/>
      <c r="J42" s="5">
        <f t="shared" si="17"/>
        <v>0</v>
      </c>
      <c r="K42" s="1"/>
      <c r="L42" s="1">
        <f t="shared" si="18"/>
        <v>-23.100000000000009</v>
      </c>
      <c r="M42" s="1"/>
      <c r="N42" s="5">
        <f t="shared" si="19"/>
        <v>-0.16336633663366343</v>
      </c>
      <c r="O42" s="13"/>
      <c r="P42" s="1">
        <f>SUM(OSRRefP22_6x_0)</f>
        <v>867.2</v>
      </c>
      <c r="Q42" s="1"/>
      <c r="R42" s="5">
        <f t="shared" si="20"/>
        <v>0</v>
      </c>
      <c r="S42" s="1"/>
      <c r="T42" s="1">
        <f>SUM(OSRRefT22_6x_0)</f>
        <v>844.05</v>
      </c>
      <c r="U42" s="1"/>
      <c r="V42" s="5">
        <f t="shared" si="21"/>
        <v>0</v>
      </c>
      <c r="W42" s="1"/>
      <c r="X42" s="1">
        <f t="shared" si="22"/>
        <v>23.150000000000091</v>
      </c>
      <c r="Y42" s="1"/>
      <c r="Z42" s="5">
        <f t="shared" si="23"/>
        <v>2.7427285113441256E-2</v>
      </c>
    </row>
    <row r="43" spans="1:26" s="24" customFormat="1" hidden="1" outlineLevel="2" x14ac:dyDescent="0.25">
      <c r="A43" s="25"/>
      <c r="B43" s="11" t="str">
        <f>CONCATENATE("          ", "6307", " - ", "POSTAGE")</f>
        <v xml:space="preserve">          6307 - POSTAGE</v>
      </c>
      <c r="C43" s="11"/>
      <c r="D43" s="6">
        <v>118.3</v>
      </c>
      <c r="E43" s="2"/>
      <c r="F43" s="7">
        <f t="shared" si="16"/>
        <v>0</v>
      </c>
      <c r="G43" s="2"/>
      <c r="H43" s="6">
        <v>141.4</v>
      </c>
      <c r="I43" s="2"/>
      <c r="J43" s="7">
        <f t="shared" si="17"/>
        <v>0</v>
      </c>
      <c r="K43" s="2"/>
      <c r="L43" s="6">
        <f t="shared" si="18"/>
        <v>-23.100000000000009</v>
      </c>
      <c r="M43" s="2"/>
      <c r="N43" s="7">
        <f t="shared" si="19"/>
        <v>-0.16336633663366343</v>
      </c>
      <c r="O43" s="11"/>
      <c r="P43" s="6">
        <v>867.2</v>
      </c>
      <c r="Q43" s="2"/>
      <c r="R43" s="7">
        <f t="shared" si="20"/>
        <v>0</v>
      </c>
      <c r="S43" s="2"/>
      <c r="T43" s="6">
        <v>844.05</v>
      </c>
      <c r="U43" s="2"/>
      <c r="V43" s="7">
        <f t="shared" si="21"/>
        <v>0</v>
      </c>
      <c r="W43" s="2"/>
      <c r="X43" s="6">
        <f t="shared" si="22"/>
        <v>23.150000000000091</v>
      </c>
      <c r="Y43" s="2"/>
      <c r="Z43" s="7">
        <f t="shared" si="23"/>
        <v>2.7427285113441256E-2</v>
      </c>
    </row>
    <row r="44" spans="1:26" s="26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SUM(OSRRefD22_7x_0)</f>
        <v>0</v>
      </c>
      <c r="E44" s="1"/>
      <c r="F44" s="5">
        <f t="shared" si="16"/>
        <v>0</v>
      </c>
      <c r="G44" s="1"/>
      <c r="H44" s="1">
        <f>SUM(OSRRefH22_7x_0)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SUM(OSRRefP22_7x_0)</f>
        <v>0</v>
      </c>
      <c r="Q44" s="1"/>
      <c r="R44" s="5">
        <f t="shared" si="20"/>
        <v>0</v>
      </c>
      <c r="S44" s="1"/>
      <c r="T44" s="1">
        <f>SUM(OSRRefT22_7x_0)</f>
        <v>90.42</v>
      </c>
      <c r="U44" s="1"/>
      <c r="V44" s="5">
        <f t="shared" si="21"/>
        <v>0</v>
      </c>
      <c r="W44" s="1"/>
      <c r="X44" s="1">
        <f t="shared" si="22"/>
        <v>-90.42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90.42</v>
      </c>
      <c r="U45" s="2"/>
      <c r="V45" s="7">
        <f t="shared" si="21"/>
        <v>0</v>
      </c>
      <c r="W45" s="2"/>
      <c r="X45" s="6">
        <f t="shared" si="22"/>
        <v>-90.42</v>
      </c>
      <c r="Y45" s="2"/>
      <c r="Z45" s="7">
        <f t="shared" si="23"/>
        <v>-1</v>
      </c>
    </row>
    <row r="46" spans="1:26" s="26" customFormat="1" outlineLevel="1" collapsed="1" x14ac:dyDescent="0.25">
      <c r="A46" s="27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SUM(OSRRefD22_8x_0)</f>
        <v>132.16999999999999</v>
      </c>
      <c r="E46" s="1"/>
      <c r="F46" s="5">
        <f t="shared" si="16"/>
        <v>0</v>
      </c>
      <c r="G46" s="1"/>
      <c r="H46" s="1">
        <f>SUM(OSRRefH22_8x_0)</f>
        <v>124.52</v>
      </c>
      <c r="I46" s="1"/>
      <c r="J46" s="5">
        <f t="shared" si="17"/>
        <v>0</v>
      </c>
      <c r="K46" s="1"/>
      <c r="L46" s="1">
        <f t="shared" si="18"/>
        <v>7.6499999999999915</v>
      </c>
      <c r="M46" s="1"/>
      <c r="N46" s="5">
        <f t="shared" si="19"/>
        <v>6.1435913909412075E-2</v>
      </c>
      <c r="O46" s="13"/>
      <c r="P46" s="1">
        <f>SUM(OSRRefP22_8x_0)</f>
        <v>925.19</v>
      </c>
      <c r="Q46" s="1"/>
      <c r="R46" s="5">
        <f t="shared" si="20"/>
        <v>0</v>
      </c>
      <c r="S46" s="1"/>
      <c r="T46" s="1">
        <f>SUM(OSRRefT22_8x_0)</f>
        <v>871.64</v>
      </c>
      <c r="U46" s="1"/>
      <c r="V46" s="5">
        <f t="shared" si="21"/>
        <v>0</v>
      </c>
      <c r="W46" s="1"/>
      <c r="X46" s="1">
        <f t="shared" si="22"/>
        <v>53.550000000000068</v>
      </c>
      <c r="Y46" s="1"/>
      <c r="Z46" s="5">
        <f t="shared" si="23"/>
        <v>6.1435913909412221E-2</v>
      </c>
    </row>
    <row r="47" spans="1:26" s="24" customFormat="1" hidden="1" outlineLevel="2" x14ac:dyDescent="0.25">
      <c r="A47" s="25"/>
      <c r="B47" s="11" t="str">
        <f>CONCATENATE("          ", "6314", " - ", "LIABILITY INSURANCE")</f>
        <v xml:space="preserve">          6314 - LIABILITY INSURANCE</v>
      </c>
      <c r="C47" s="11"/>
      <c r="D47" s="6">
        <v>132.16999999999999</v>
      </c>
      <c r="E47" s="2"/>
      <c r="F47" s="7">
        <f t="shared" si="16"/>
        <v>0</v>
      </c>
      <c r="G47" s="2"/>
      <c r="H47" s="6">
        <v>124.52</v>
      </c>
      <c r="I47" s="2"/>
      <c r="J47" s="7">
        <f t="shared" si="17"/>
        <v>0</v>
      </c>
      <c r="K47" s="2"/>
      <c r="L47" s="6">
        <f t="shared" si="18"/>
        <v>7.6499999999999915</v>
      </c>
      <c r="M47" s="2"/>
      <c r="N47" s="7">
        <f t="shared" si="19"/>
        <v>6.1435913909412075E-2</v>
      </c>
      <c r="O47" s="11"/>
      <c r="P47" s="6">
        <v>925.19</v>
      </c>
      <c r="Q47" s="2"/>
      <c r="R47" s="7">
        <f t="shared" si="20"/>
        <v>0</v>
      </c>
      <c r="S47" s="2"/>
      <c r="T47" s="6">
        <v>871.64</v>
      </c>
      <c r="U47" s="2"/>
      <c r="V47" s="7">
        <f t="shared" si="21"/>
        <v>0</v>
      </c>
      <c r="W47" s="2"/>
      <c r="X47" s="6">
        <f t="shared" si="22"/>
        <v>53.550000000000068</v>
      </c>
      <c r="Y47" s="2"/>
      <c r="Z47" s="7">
        <f t="shared" si="23"/>
        <v>6.1435913909412221E-2</v>
      </c>
    </row>
    <row r="48" spans="1:26" s="26" customFormat="1" outlineLevel="1" collapsed="1" x14ac:dyDescent="0.25">
      <c r="A48" s="27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SUM(OSRRefD22_9x_0)</f>
        <v>0</v>
      </c>
      <c r="E48" s="1"/>
      <c r="F48" s="5">
        <f t="shared" si="16"/>
        <v>0</v>
      </c>
      <c r="G48" s="1"/>
      <c r="H48" s="1">
        <f>SUM(OSRRefH22_9x_0)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SUM(OSRRefP22_9x_0)</f>
        <v>82.5</v>
      </c>
      <c r="Q48" s="1"/>
      <c r="R48" s="5">
        <f t="shared" si="20"/>
        <v>0</v>
      </c>
      <c r="S48" s="1"/>
      <c r="T48" s="1">
        <f>SUM(OSRRefT22_9x_0)</f>
        <v>0</v>
      </c>
      <c r="U48" s="1"/>
      <c r="V48" s="5">
        <f t="shared" si="21"/>
        <v>0</v>
      </c>
      <c r="W48" s="1"/>
      <c r="X48" s="1">
        <f t="shared" si="22"/>
        <v>82.5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"6332", " - ", "CONSULTANT FEES")</f>
        <v xml:space="preserve">          6332 - CONSULTANT FEES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82.5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82.5</v>
      </c>
      <c r="Y49" s="2"/>
      <c r="Z49" s="7">
        <f t="shared" si="23"/>
        <v>0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4436.8900000000003</v>
      </c>
      <c r="E50" s="1"/>
      <c r="F50" s="5">
        <f t="shared" si="16"/>
        <v>0</v>
      </c>
      <c r="G50" s="1"/>
      <c r="H50" s="1">
        <f>SUM(OSRRefH22_10x_0)</f>
        <v>33.03</v>
      </c>
      <c r="I50" s="1"/>
      <c r="J50" s="5">
        <f t="shared" si="17"/>
        <v>0</v>
      </c>
      <c r="K50" s="1"/>
      <c r="L50" s="1">
        <f t="shared" si="18"/>
        <v>4403.8600000000006</v>
      </c>
      <c r="M50" s="1"/>
      <c r="N50" s="5">
        <f t="shared" si="19"/>
        <v>133.32909476233729</v>
      </c>
      <c r="O50" s="13"/>
      <c r="P50" s="1">
        <f>SUM(OSRRefP22_10x_0)</f>
        <v>5401.08</v>
      </c>
      <c r="Q50" s="1"/>
      <c r="R50" s="5">
        <f t="shared" si="20"/>
        <v>0</v>
      </c>
      <c r="S50" s="1"/>
      <c r="T50" s="1">
        <f>SUM(OSRRefT22_10x_0)</f>
        <v>4576.7700000000004</v>
      </c>
      <c r="U50" s="1"/>
      <c r="V50" s="5">
        <f t="shared" si="21"/>
        <v>0</v>
      </c>
      <c r="W50" s="1"/>
      <c r="X50" s="1">
        <f t="shared" si="22"/>
        <v>824.30999999999949</v>
      </c>
      <c r="Y50" s="1"/>
      <c r="Z50" s="5">
        <f t="shared" si="23"/>
        <v>0.1801073682968555</v>
      </c>
    </row>
    <row r="51" spans="1:26" s="24" customFormat="1" hidden="1" outlineLevel="2" x14ac:dyDescent="0.25">
      <c r="A51" s="25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375</v>
      </c>
      <c r="Q51" s="2"/>
      <c r="R51" s="7">
        <f t="shared" si="20"/>
        <v>0</v>
      </c>
      <c r="S51" s="2"/>
      <c r="T51" s="6">
        <v>75</v>
      </c>
      <c r="U51" s="2"/>
      <c r="V51" s="7">
        <f t="shared" si="21"/>
        <v>0</v>
      </c>
      <c r="W51" s="2"/>
      <c r="X51" s="6">
        <f t="shared" si="22"/>
        <v>300</v>
      </c>
      <c r="Y51" s="2"/>
      <c r="Z51" s="7">
        <f t="shared" si="23"/>
        <v>4</v>
      </c>
    </row>
    <row r="52" spans="1:26" s="24" customFormat="1" hidden="1" outlineLevel="2" x14ac:dyDescent="0.25">
      <c r="A52" s="25"/>
      <c r="B52" s="11" t="str">
        <f>CONCATENATE("          ", "6373", " - ", "MAINTENANCE CONTRACTS")</f>
        <v xml:space="preserve">          6373 - MAINTENANCE CONTRACTS</v>
      </c>
      <c r="C52" s="11"/>
      <c r="D52" s="6">
        <v>4436.8900000000003</v>
      </c>
      <c r="E52" s="2"/>
      <c r="F52" s="7">
        <f t="shared" si="16"/>
        <v>0</v>
      </c>
      <c r="G52" s="2"/>
      <c r="H52" s="6">
        <v>33.03</v>
      </c>
      <c r="I52" s="2"/>
      <c r="J52" s="7">
        <f t="shared" si="17"/>
        <v>0</v>
      </c>
      <c r="K52" s="2"/>
      <c r="L52" s="6">
        <f t="shared" si="18"/>
        <v>4403.8600000000006</v>
      </c>
      <c r="M52" s="2"/>
      <c r="N52" s="7">
        <f t="shared" si="19"/>
        <v>133.32909476233729</v>
      </c>
      <c r="O52" s="11"/>
      <c r="P52" s="6">
        <v>4561.5</v>
      </c>
      <c r="Q52" s="2"/>
      <c r="R52" s="7">
        <f t="shared" si="20"/>
        <v>0</v>
      </c>
      <c r="S52" s="2"/>
      <c r="T52" s="6">
        <v>4501.7700000000004</v>
      </c>
      <c r="U52" s="2"/>
      <c r="V52" s="7">
        <f t="shared" si="21"/>
        <v>0</v>
      </c>
      <c r="W52" s="2"/>
      <c r="X52" s="6">
        <f t="shared" si="22"/>
        <v>59.729999999999563</v>
      </c>
      <c r="Y52" s="2"/>
      <c r="Z52" s="7">
        <f t="shared" si="23"/>
        <v>1.3268114541613535E-2</v>
      </c>
    </row>
    <row r="53" spans="1:26" s="24" customFormat="1" hidden="1" outlineLevel="2" x14ac:dyDescent="0.25">
      <c r="A53" s="25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>
        <v>464.58</v>
      </c>
      <c r="Q53" s="2"/>
      <c r="R53" s="7">
        <f t="shared" si="20"/>
        <v>0</v>
      </c>
      <c r="S53" s="2"/>
      <c r="T53" s="6"/>
      <c r="U53" s="2"/>
      <c r="V53" s="7">
        <f t="shared" si="21"/>
        <v>0</v>
      </c>
      <c r="W53" s="2"/>
      <c r="X53" s="6">
        <f t="shared" si="22"/>
        <v>464.58</v>
      </c>
      <c r="Y53" s="2"/>
      <c r="Z53" s="7">
        <f t="shared" si="23"/>
        <v>0</v>
      </c>
    </row>
    <row r="54" spans="1:26" s="26" customFormat="1" outlineLevel="1" collapsed="1" x14ac:dyDescent="0.25">
      <c r="A54" s="27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SUM(OSRRefD22_11x_0)</f>
        <v>599.61</v>
      </c>
      <c r="E54" s="1"/>
      <c r="F54" s="5">
        <f t="shared" ref="F54:F61" si="24">IF(D$12=0,0,D54/D$12)</f>
        <v>0</v>
      </c>
      <c r="G54" s="1"/>
      <c r="H54" s="1">
        <f>SUM(OSRRefH22_11x_0)</f>
        <v>650.16999999999996</v>
      </c>
      <c r="I54" s="1"/>
      <c r="J54" s="5">
        <f t="shared" ref="J54:J61" si="25">IF(H$12=0,0,H54/H$12)</f>
        <v>0</v>
      </c>
      <c r="K54" s="1"/>
      <c r="L54" s="1">
        <f t="shared" ref="L54:L61" si="26">+D54-H54</f>
        <v>-50.559999999999945</v>
      </c>
      <c r="M54" s="1"/>
      <c r="N54" s="5">
        <f t="shared" ref="N54:N61" si="27">IF(H54=0,0,L54/H54)</f>
        <v>-7.7764277035236862E-2</v>
      </c>
      <c r="O54" s="13"/>
      <c r="P54" s="1">
        <f>SUM(OSRRefP22_11x_0)</f>
        <v>8699.01</v>
      </c>
      <c r="Q54" s="1"/>
      <c r="R54" s="5">
        <f t="shared" ref="R54:R61" si="28">IF(P$12=0,0,P54/P$12)</f>
        <v>0</v>
      </c>
      <c r="S54" s="1"/>
      <c r="T54" s="1">
        <f>SUM(OSRRefT22_11x_0)</f>
        <v>4046.89</v>
      </c>
      <c r="U54" s="1"/>
      <c r="V54" s="5">
        <f t="shared" ref="V54:V61" si="29">IF(T$12=0,0,T54/T$12)</f>
        <v>0</v>
      </c>
      <c r="W54" s="1"/>
      <c r="X54" s="1">
        <f t="shared" ref="X54:X61" si="30">+P54-T54</f>
        <v>4652.1200000000008</v>
      </c>
      <c r="Y54" s="1"/>
      <c r="Z54" s="5">
        <f t="shared" ref="Z54:Z61" si="31">IF(T54=0,0,X54/T54)</f>
        <v>1.1495543491421809</v>
      </c>
    </row>
    <row r="55" spans="1:26" s="24" customFormat="1" hidden="1" outlineLevel="2" x14ac:dyDescent="0.25">
      <c r="A55" s="25"/>
      <c r="B55" s="11" t="str">
        <f>CONCATENATE("          ", "6281", " - ", "STORAGE FEE")</f>
        <v xml:space="preserve">          6281 - STORAGE FEE</v>
      </c>
      <c r="C55" s="11"/>
      <c r="D55" s="6">
        <v>599.61</v>
      </c>
      <c r="E55" s="2"/>
      <c r="F55" s="7">
        <f t="shared" si="24"/>
        <v>0</v>
      </c>
      <c r="G55" s="2"/>
      <c r="H55" s="6">
        <v>650.16999999999996</v>
      </c>
      <c r="I55" s="2"/>
      <c r="J55" s="7">
        <f t="shared" si="25"/>
        <v>0</v>
      </c>
      <c r="K55" s="2"/>
      <c r="L55" s="6">
        <f t="shared" si="26"/>
        <v>-50.559999999999945</v>
      </c>
      <c r="M55" s="2"/>
      <c r="N55" s="7">
        <f t="shared" si="27"/>
        <v>-7.7764277035236862E-2</v>
      </c>
      <c r="O55" s="11"/>
      <c r="P55" s="6">
        <v>8699.01</v>
      </c>
      <c r="Q55" s="2"/>
      <c r="R55" s="7">
        <f t="shared" si="28"/>
        <v>0</v>
      </c>
      <c r="S55" s="2"/>
      <c r="T55" s="6">
        <v>4046.89</v>
      </c>
      <c r="U55" s="2"/>
      <c r="V55" s="7">
        <f t="shared" si="29"/>
        <v>0</v>
      </c>
      <c r="W55" s="2"/>
      <c r="X55" s="6">
        <f t="shared" si="30"/>
        <v>4652.1200000000008</v>
      </c>
      <c r="Y55" s="2"/>
      <c r="Z55" s="7">
        <f t="shared" si="31"/>
        <v>1.1495543491421809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SUM(OSRRefD22_12x_0)</f>
        <v>0</v>
      </c>
      <c r="E56" s="1"/>
      <c r="F56" s="5">
        <f t="shared" si="24"/>
        <v>0</v>
      </c>
      <c r="G56" s="1"/>
      <c r="H56" s="1">
        <f>SUM(OSRRefH22_12x_0)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SUM(OSRRefP22_12x_0)</f>
        <v>39</v>
      </c>
      <c r="Q56" s="1"/>
      <c r="R56" s="5">
        <f t="shared" si="28"/>
        <v>0</v>
      </c>
      <c r="S56" s="1"/>
      <c r="T56" s="1">
        <f>SUM(OSRRefT22_12x_0)</f>
        <v>0</v>
      </c>
      <c r="U56" s="1"/>
      <c r="V56" s="5">
        <f t="shared" si="29"/>
        <v>0</v>
      </c>
      <c r="W56" s="1"/>
      <c r="X56" s="1">
        <f t="shared" si="30"/>
        <v>39</v>
      </c>
      <c r="Y56" s="1"/>
      <c r="Z56" s="5">
        <f t="shared" si="31"/>
        <v>0</v>
      </c>
    </row>
    <row r="57" spans="1:26" s="24" customFormat="1" hidden="1" outlineLevel="2" x14ac:dyDescent="0.25">
      <c r="A57" s="25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39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39</v>
      </c>
      <c r="Y57" s="2"/>
      <c r="Z57" s="7">
        <f t="shared" si="31"/>
        <v>0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SUM(OSRRefD22_13x_0)</f>
        <v>2175.7600000000002</v>
      </c>
      <c r="E58" s="1"/>
      <c r="F58" s="5">
        <f t="shared" si="24"/>
        <v>0</v>
      </c>
      <c r="G58" s="1"/>
      <c r="H58" s="1">
        <f>SUM(OSRRefH22_13x_0)</f>
        <v>6086.54</v>
      </c>
      <c r="I58" s="1"/>
      <c r="J58" s="5">
        <f t="shared" si="25"/>
        <v>0</v>
      </c>
      <c r="K58" s="1"/>
      <c r="L58" s="1">
        <f t="shared" si="26"/>
        <v>-3910.7799999999997</v>
      </c>
      <c r="M58" s="1"/>
      <c r="N58" s="5">
        <f t="shared" si="27"/>
        <v>-0.64252925307317454</v>
      </c>
      <c r="O58" s="13"/>
      <c r="P58" s="1">
        <f>SUM(OSRRefP22_13x_0)</f>
        <v>5238.01</v>
      </c>
      <c r="Q58" s="1"/>
      <c r="R58" s="5">
        <f t="shared" si="28"/>
        <v>0</v>
      </c>
      <c r="S58" s="1"/>
      <c r="T58" s="1">
        <f>SUM(OSRRefT22_13x_0)</f>
        <v>9790.2199999999993</v>
      </c>
      <c r="U58" s="1"/>
      <c r="V58" s="5">
        <f t="shared" si="29"/>
        <v>0</v>
      </c>
      <c r="W58" s="1"/>
      <c r="X58" s="1">
        <f t="shared" si="30"/>
        <v>-4552.2099999999991</v>
      </c>
      <c r="Y58" s="1"/>
      <c r="Z58" s="5">
        <f t="shared" si="31"/>
        <v>-0.46497525081152408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/>
      <c r="Q59" s="2"/>
      <c r="R59" s="7">
        <f t="shared" si="28"/>
        <v>0</v>
      </c>
      <c r="S59" s="2"/>
      <c r="T59" s="6">
        <v>2355.94</v>
      </c>
      <c r="U59" s="2"/>
      <c r="V59" s="7">
        <f t="shared" si="29"/>
        <v>0</v>
      </c>
      <c r="W59" s="2"/>
      <c r="X59" s="6">
        <f t="shared" si="30"/>
        <v>-2355.94</v>
      </c>
      <c r="Y59" s="2"/>
      <c r="Z59" s="7">
        <f t="shared" si="31"/>
        <v>-1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6">
        <v>2175.7600000000002</v>
      </c>
      <c r="E60" s="2"/>
      <c r="F60" s="7">
        <f t="shared" si="24"/>
        <v>0</v>
      </c>
      <c r="G60" s="2"/>
      <c r="H60" s="6">
        <v>6086.54</v>
      </c>
      <c r="I60" s="2"/>
      <c r="J60" s="7">
        <f t="shared" si="25"/>
        <v>0</v>
      </c>
      <c r="K60" s="2"/>
      <c r="L60" s="6">
        <f t="shared" si="26"/>
        <v>-3910.7799999999997</v>
      </c>
      <c r="M60" s="2"/>
      <c r="N60" s="7">
        <f t="shared" si="27"/>
        <v>-0.64252925307317454</v>
      </c>
      <c r="O60" s="11"/>
      <c r="P60" s="6">
        <v>4575.1000000000004</v>
      </c>
      <c r="Q60" s="2"/>
      <c r="R60" s="7">
        <f t="shared" si="28"/>
        <v>0</v>
      </c>
      <c r="S60" s="2"/>
      <c r="T60" s="6">
        <v>7434.28</v>
      </c>
      <c r="U60" s="2"/>
      <c r="V60" s="7">
        <f t="shared" si="29"/>
        <v>0</v>
      </c>
      <c r="W60" s="2"/>
      <c r="X60" s="6">
        <f t="shared" si="30"/>
        <v>-2859.1799999999994</v>
      </c>
      <c r="Y60" s="2"/>
      <c r="Z60" s="7">
        <f t="shared" si="31"/>
        <v>-0.38459406963418102</v>
      </c>
    </row>
    <row r="61" spans="1:26" s="24" customFormat="1" hidden="1" outlineLevel="2" x14ac:dyDescent="0.25">
      <c r="A61" s="25"/>
      <c r="B61" s="11" t="str">
        <f>CONCATENATE("          ", "6245", " - ", "PRINTING")</f>
        <v xml:space="preserve">          6245 - PRINTING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662.91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662.91</v>
      </c>
      <c r="Y61" s="2"/>
      <c r="Z61" s="7">
        <f t="shared" si="31"/>
        <v>0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SUM(OSRRefD22_14x_0)</f>
        <v>419.35</v>
      </c>
      <c r="E62" s="1"/>
      <c r="F62" s="5">
        <f t="shared" ref="F62:F67" si="32">IF(D$12=0,0,D62/D$12)</f>
        <v>0</v>
      </c>
      <c r="G62" s="1"/>
      <c r="H62" s="1">
        <f>SUM(OSRRefH22_14x_0)</f>
        <v>-6.5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425.85</v>
      </c>
      <c r="M62" s="1"/>
      <c r="N62" s="5">
        <f t="shared" ref="N62:N67" si="35">IF(H62=0,0,L62/H62)</f>
        <v>-65.515384615384619</v>
      </c>
      <c r="O62" s="13"/>
      <c r="P62" s="1">
        <f>SUM(OSRRefP22_14x_0)</f>
        <v>2858.79</v>
      </c>
      <c r="Q62" s="1"/>
      <c r="R62" s="5">
        <f t="shared" ref="R62:R67" si="36">IF(P$12=0,0,P62/P$12)</f>
        <v>0</v>
      </c>
      <c r="S62" s="1"/>
      <c r="T62" s="1">
        <f>SUM(OSRRefT22_14x_0)</f>
        <v>2213.15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645.63999999999987</v>
      </c>
      <c r="Y62" s="1"/>
      <c r="Z62" s="5">
        <f t="shared" ref="Z62:Z67" si="39">IF(T62=0,0,X62/T62)</f>
        <v>0.29172898357544669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>
        <v>419.35</v>
      </c>
      <c r="E63" s="2"/>
      <c r="F63" s="7">
        <f t="shared" si="32"/>
        <v>0</v>
      </c>
      <c r="G63" s="2"/>
      <c r="H63" s="6">
        <v>-6.5</v>
      </c>
      <c r="I63" s="2"/>
      <c r="J63" s="7">
        <f t="shared" si="33"/>
        <v>0</v>
      </c>
      <c r="K63" s="2"/>
      <c r="L63" s="6">
        <f t="shared" si="34"/>
        <v>425.85</v>
      </c>
      <c r="M63" s="2"/>
      <c r="N63" s="7">
        <f t="shared" si="35"/>
        <v>-65.515384615384619</v>
      </c>
      <c r="O63" s="11"/>
      <c r="P63" s="6">
        <v>2858.79</v>
      </c>
      <c r="Q63" s="2"/>
      <c r="R63" s="7">
        <f t="shared" si="36"/>
        <v>0</v>
      </c>
      <c r="S63" s="2"/>
      <c r="T63" s="6">
        <v>2213.15</v>
      </c>
      <c r="U63" s="2"/>
      <c r="V63" s="7">
        <f t="shared" si="37"/>
        <v>0</v>
      </c>
      <c r="W63" s="2"/>
      <c r="X63" s="6">
        <f t="shared" si="38"/>
        <v>645.63999999999987</v>
      </c>
      <c r="Y63" s="2"/>
      <c r="Z63" s="7">
        <f t="shared" si="39"/>
        <v>0.29172898357544669</v>
      </c>
    </row>
    <row r="64" spans="1:26" s="26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SUM(OSRRefD22_15x_0)</f>
        <v>0</v>
      </c>
      <c r="E64" s="1"/>
      <c r="F64" s="5">
        <f t="shared" si="32"/>
        <v>0</v>
      </c>
      <c r="G64" s="1"/>
      <c r="H64" s="1">
        <f>SUM(OSRRefH22_15x_0)</f>
        <v>312.12</v>
      </c>
      <c r="I64" s="1"/>
      <c r="J64" s="5">
        <f t="shared" si="33"/>
        <v>0</v>
      </c>
      <c r="K64" s="1"/>
      <c r="L64" s="1">
        <f t="shared" si="34"/>
        <v>-312.12</v>
      </c>
      <c r="M64" s="1"/>
      <c r="N64" s="5">
        <f t="shared" si="35"/>
        <v>-1</v>
      </c>
      <c r="O64" s="13"/>
      <c r="P64" s="1">
        <f>SUM(OSRRefP22_15x_0)</f>
        <v>338.53</v>
      </c>
      <c r="Q64" s="1"/>
      <c r="R64" s="5">
        <f t="shared" si="36"/>
        <v>0</v>
      </c>
      <c r="S64" s="1"/>
      <c r="T64" s="1">
        <f>SUM(OSRRefT22_15x_0)</f>
        <v>4284.37</v>
      </c>
      <c r="U64" s="1"/>
      <c r="V64" s="5">
        <f t="shared" si="37"/>
        <v>0</v>
      </c>
      <c r="W64" s="1"/>
      <c r="X64" s="1">
        <f t="shared" si="38"/>
        <v>-3945.84</v>
      </c>
      <c r="Y64" s="1"/>
      <c r="Z64" s="5">
        <f t="shared" si="39"/>
        <v>-0.92098488225806829</v>
      </c>
    </row>
    <row r="65" spans="1:26" s="24" customFormat="1" hidden="1" outlineLevel="2" x14ac:dyDescent="0.25">
      <c r="A65" s="25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32"/>
        <v>0</v>
      </c>
      <c r="G65" s="2"/>
      <c r="H65" s="6">
        <v>312.12</v>
      </c>
      <c r="I65" s="2"/>
      <c r="J65" s="7">
        <f t="shared" si="33"/>
        <v>0</v>
      </c>
      <c r="K65" s="2"/>
      <c r="L65" s="6">
        <f t="shared" si="34"/>
        <v>-312.12</v>
      </c>
      <c r="M65" s="2"/>
      <c r="N65" s="7">
        <f t="shared" si="35"/>
        <v>-1</v>
      </c>
      <c r="O65" s="11"/>
      <c r="P65" s="6">
        <v>338.53</v>
      </c>
      <c r="Q65" s="2"/>
      <c r="R65" s="7">
        <f t="shared" si="36"/>
        <v>0</v>
      </c>
      <c r="S65" s="2"/>
      <c r="T65" s="6">
        <v>4284.37</v>
      </c>
      <c r="U65" s="2"/>
      <c r="V65" s="7">
        <f t="shared" si="37"/>
        <v>0</v>
      </c>
      <c r="W65" s="2"/>
      <c r="X65" s="6">
        <f t="shared" si="38"/>
        <v>-3945.84</v>
      </c>
      <c r="Y65" s="2"/>
      <c r="Z65" s="7">
        <f t="shared" si="39"/>
        <v>-0.92098488225806829</v>
      </c>
    </row>
    <row r="66" spans="1:26" s="26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SUM(OSRRefD22_16x_0)</f>
        <v>0</v>
      </c>
      <c r="E66" s="1"/>
      <c r="F66" s="5">
        <f t="shared" si="32"/>
        <v>0</v>
      </c>
      <c r="G66" s="1"/>
      <c r="H66" s="1">
        <f>SUM(OSRRefH22_16x_0)</f>
        <v>3.63</v>
      </c>
      <c r="I66" s="1"/>
      <c r="J66" s="5">
        <f t="shared" si="33"/>
        <v>0</v>
      </c>
      <c r="K66" s="1"/>
      <c r="L66" s="1">
        <f t="shared" si="34"/>
        <v>-3.63</v>
      </c>
      <c r="M66" s="1"/>
      <c r="N66" s="5">
        <f t="shared" si="35"/>
        <v>-1</v>
      </c>
      <c r="O66" s="13"/>
      <c r="P66" s="1">
        <f>SUM(OSRRefP22_16x_0)</f>
        <v>0</v>
      </c>
      <c r="Q66" s="1"/>
      <c r="R66" s="5">
        <f t="shared" si="36"/>
        <v>0</v>
      </c>
      <c r="S66" s="1"/>
      <c r="T66" s="1">
        <f>SUM(OSRRefT22_16x_0)</f>
        <v>3.63</v>
      </c>
      <c r="U66" s="1"/>
      <c r="V66" s="5">
        <f t="shared" si="37"/>
        <v>0</v>
      </c>
      <c r="W66" s="1"/>
      <c r="X66" s="1">
        <f t="shared" si="38"/>
        <v>-3.63</v>
      </c>
      <c r="Y66" s="1"/>
      <c r="Z66" s="5">
        <f t="shared" si="39"/>
        <v>-1</v>
      </c>
    </row>
    <row r="67" spans="1:26" s="24" customFormat="1" hidden="1" outlineLevel="2" x14ac:dyDescent="0.25">
      <c r="A67" s="25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32"/>
        <v>0</v>
      </c>
      <c r="G67" s="2"/>
      <c r="H67" s="6">
        <v>3.63</v>
      </c>
      <c r="I67" s="2"/>
      <c r="J67" s="7">
        <f t="shared" si="33"/>
        <v>0</v>
      </c>
      <c r="K67" s="2"/>
      <c r="L67" s="6">
        <f t="shared" si="34"/>
        <v>-3.63</v>
      </c>
      <c r="M67" s="2"/>
      <c r="N67" s="7">
        <f t="shared" si="35"/>
        <v>-1</v>
      </c>
      <c r="O67" s="11"/>
      <c r="P67" s="6"/>
      <c r="Q67" s="2"/>
      <c r="R67" s="7">
        <f t="shared" si="36"/>
        <v>0</v>
      </c>
      <c r="S67" s="2"/>
      <c r="T67" s="6">
        <v>3.63</v>
      </c>
      <c r="U67" s="2"/>
      <c r="V67" s="7">
        <f t="shared" si="37"/>
        <v>0</v>
      </c>
      <c r="W67" s="2"/>
      <c r="X67" s="6">
        <f t="shared" si="38"/>
        <v>-3.63</v>
      </c>
      <c r="Y67" s="2"/>
      <c r="Z67" s="7">
        <f t="shared" si="39"/>
        <v>-1</v>
      </c>
    </row>
    <row r="68" spans="1:26" s="59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1">
        <f>+D16-D18+D69</f>
        <v>-62425.07</v>
      </c>
      <c r="E71" s="14"/>
      <c r="F71" s="22">
        <f>IF(D$12=0,0,D71/D$12)</f>
        <v>0</v>
      </c>
      <c r="G71" s="14"/>
      <c r="H71" s="21">
        <f>+H16-H18+H69</f>
        <v>-59189.1</v>
      </c>
      <c r="I71" s="14"/>
      <c r="J71" s="22">
        <f>IF(H$12=0,0,H71/H$12)</f>
        <v>0</v>
      </c>
      <c r="K71" s="16"/>
      <c r="L71" s="21">
        <f>+D71-H71</f>
        <v>-3235.9700000000012</v>
      </c>
      <c r="M71" s="16"/>
      <c r="N71" s="22">
        <f>IF(H71=0,0,L71/H71)</f>
        <v>5.4671721651452738E-2</v>
      </c>
      <c r="O71" s="29"/>
      <c r="P71" s="21">
        <f>+P16-P18+P69</f>
        <v>-368582.25999999995</v>
      </c>
      <c r="Q71" s="14"/>
      <c r="R71" s="22">
        <f>IF(P$12=0,0,P71/P$12)</f>
        <v>0</v>
      </c>
      <c r="S71" s="14"/>
      <c r="T71" s="21">
        <f>+T16-T18+T69</f>
        <v>-362046.87</v>
      </c>
      <c r="U71" s="14"/>
      <c r="V71" s="22">
        <f>IF(T$12=0,0,T71/T$12)</f>
        <v>0</v>
      </c>
      <c r="W71" s="16"/>
      <c r="X71" s="21">
        <f>+P71-T71</f>
        <v>-6535.3899999999558</v>
      </c>
      <c r="Y71" s="16"/>
      <c r="Z71" s="22">
        <f>IF(T71=0,0,X71/T71)</f>
        <v>1.8051226350886435E-2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4">
        <f>+D71-D73</f>
        <v>-62425.07</v>
      </c>
      <c r="E75" s="14"/>
      <c r="F75" s="31">
        <f>IF(D$12=0,0,D75/D$12)</f>
        <v>0</v>
      </c>
      <c r="G75" s="14"/>
      <c r="H75" s="34">
        <f>+H71-H73</f>
        <v>-59189.1</v>
      </c>
      <c r="I75" s="14"/>
      <c r="J75" s="31">
        <f>IF(H$12=0,0,H75/H$12)</f>
        <v>0</v>
      </c>
      <c r="K75" s="16"/>
      <c r="L75" s="34">
        <f>D75-H75</f>
        <v>-3235.9700000000012</v>
      </c>
      <c r="M75" s="16"/>
      <c r="N75" s="31">
        <f>IF(H75=0,0,L75/H75)</f>
        <v>5.4671721651452738E-2</v>
      </c>
      <c r="O75" s="29"/>
      <c r="P75" s="34">
        <f>+P71-P73</f>
        <v>-368582.25999999995</v>
      </c>
      <c r="Q75" s="14"/>
      <c r="R75" s="31">
        <f>IF(P$12=0,0,P75/P$12)</f>
        <v>0</v>
      </c>
      <c r="S75" s="14"/>
      <c r="T75" s="34">
        <f>+T71-T73</f>
        <v>-362046.87</v>
      </c>
      <c r="U75" s="14"/>
      <c r="V75" s="31">
        <f>IF(T$12=0,0,T75/T$12)</f>
        <v>0</v>
      </c>
      <c r="W75" s="16"/>
      <c r="X75" s="34">
        <f>P75-T75</f>
        <v>-6535.3899999999558</v>
      </c>
      <c r="Y75" s="16"/>
      <c r="Z75" s="31">
        <f>IF(T75=0,0,X75/T75)</f>
        <v>1.8051226350886435E-2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0">
        <f>SUM(D75:D77)</f>
        <v>-62425.07</v>
      </c>
      <c r="E78" s="14"/>
      <c r="F78" s="33">
        <f>IF(D$12=0,0,D78/D$12)</f>
        <v>0</v>
      </c>
      <c r="G78" s="14"/>
      <c r="H78" s="30">
        <f>SUM(H75:H77)</f>
        <v>-59189.1</v>
      </c>
      <c r="I78" s="14"/>
      <c r="J78" s="33">
        <f>IF(H$12=0,0,H78/H$12)</f>
        <v>0</v>
      </c>
      <c r="K78" s="16"/>
      <c r="L78" s="30">
        <f>+D78-H78</f>
        <v>-3235.9700000000012</v>
      </c>
      <c r="M78" s="16"/>
      <c r="N78" s="33">
        <f>IF(H78=0,0,L78/H78)</f>
        <v>5.4671721651452738E-2</v>
      </c>
      <c r="O78" s="29"/>
      <c r="P78" s="30">
        <f>SUM(P75:P77)</f>
        <v>-368582.25999999995</v>
      </c>
      <c r="Q78" s="14"/>
      <c r="R78" s="33">
        <f>IF(P$12=0,0,P78/P$12)</f>
        <v>0</v>
      </c>
      <c r="S78" s="14"/>
      <c r="T78" s="30">
        <f>SUM(T75:T77)</f>
        <v>-362046.87</v>
      </c>
      <c r="U78" s="14"/>
      <c r="V78" s="33">
        <f>IF(T$12=0,0,T78/T$12)</f>
        <v>0</v>
      </c>
      <c r="W78" s="16"/>
      <c r="X78" s="30">
        <f>+P78-T78</f>
        <v>-6535.3899999999558</v>
      </c>
      <c r="Y78" s="16"/>
      <c r="Z78" s="33">
        <f>IF(T78=0,0,X78/T78)</f>
        <v>1.8051226350886435E-2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43879.553600810184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5" t="s">
        <v>313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8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","203", " - ", "Human Resources")</f>
        <v>Department 203 - Human Resources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71552.580000000016</v>
      </c>
      <c r="E18" s="20"/>
      <c r="F18" s="32">
        <f t="shared" ref="F18:F29" si="0">IF(D$12=0,0,D18/D$12)</f>
        <v>0</v>
      </c>
      <c r="G18" s="20"/>
      <c r="H18" s="20">
        <f>SUM(OSRRefH22x_0)</f>
        <v>60052.4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11500.180000000015</v>
      </c>
      <c r="M18" s="4"/>
      <c r="N18" s="32">
        <f t="shared" ref="N18:N29" si="3">IF(H18=0,0,L18/H18)</f>
        <v>0.19150242121880248</v>
      </c>
      <c r="O18" s="10"/>
      <c r="P18" s="20">
        <f>SUM(OSRRefP22x_0)</f>
        <v>474151.29</v>
      </c>
      <c r="Q18" s="20"/>
      <c r="R18" s="32">
        <f t="shared" ref="R18:R29" si="4">IF(P$12=0,0,P18/P$12)</f>
        <v>0</v>
      </c>
      <c r="S18" s="20"/>
      <c r="T18" s="20">
        <f>SUM(OSRRefT22x_0)</f>
        <v>404257.57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69893.719999999972</v>
      </c>
      <c r="Y18" s="4"/>
      <c r="Z18" s="32">
        <f t="shared" ref="Z18:Z29" si="7">IF(T18=0,0,X18/T18)</f>
        <v>0.17289402892319361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15464.15</v>
      </c>
      <c r="E19" s="1"/>
      <c r="F19" s="5">
        <f t="shared" si="0"/>
        <v>0</v>
      </c>
      <c r="G19" s="1"/>
      <c r="H19" s="1">
        <f>SUM(OSRRefH22_0x_0)</f>
        <v>11087.62</v>
      </c>
      <c r="I19" s="1"/>
      <c r="J19" s="5">
        <f t="shared" si="1"/>
        <v>0</v>
      </c>
      <c r="K19" s="1"/>
      <c r="L19" s="1">
        <f t="shared" si="2"/>
        <v>4376.5299999999988</v>
      </c>
      <c r="M19" s="1"/>
      <c r="N19" s="5">
        <f t="shared" si="3"/>
        <v>0.39472222172116272</v>
      </c>
      <c r="O19" s="13"/>
      <c r="P19" s="1">
        <f>SUM(OSRRefP22_0x_0)</f>
        <v>96828.23000000001</v>
      </c>
      <c r="Q19" s="1"/>
      <c r="R19" s="5">
        <f t="shared" si="4"/>
        <v>0</v>
      </c>
      <c r="S19" s="1"/>
      <c r="T19" s="1">
        <f>SUM(OSRRefT22_0x_0)</f>
        <v>77680.659999999989</v>
      </c>
      <c r="U19" s="1"/>
      <c r="V19" s="5">
        <f t="shared" si="5"/>
        <v>0</v>
      </c>
      <c r="W19" s="1"/>
      <c r="X19" s="1">
        <f t="shared" si="6"/>
        <v>19147.570000000022</v>
      </c>
      <c r="Y19" s="1"/>
      <c r="Z19" s="5">
        <f t="shared" si="7"/>
        <v>0.24649082538691128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2037.13</v>
      </c>
      <c r="E20" s="2"/>
      <c r="F20" s="7">
        <f t="shared" si="0"/>
        <v>0</v>
      </c>
      <c r="G20" s="2"/>
      <c r="H20" s="6">
        <v>1444.48</v>
      </c>
      <c r="I20" s="2"/>
      <c r="J20" s="7">
        <f t="shared" si="1"/>
        <v>0</v>
      </c>
      <c r="K20" s="2"/>
      <c r="L20" s="6">
        <f t="shared" si="2"/>
        <v>592.65000000000009</v>
      </c>
      <c r="M20" s="2"/>
      <c r="N20" s="7">
        <f t="shared" si="3"/>
        <v>0.41028605449712013</v>
      </c>
      <c r="O20" s="11"/>
      <c r="P20" s="6">
        <v>14618.3</v>
      </c>
      <c r="Q20" s="2"/>
      <c r="R20" s="7">
        <f t="shared" si="4"/>
        <v>0</v>
      </c>
      <c r="S20" s="2"/>
      <c r="T20" s="6">
        <v>12521.81</v>
      </c>
      <c r="U20" s="2"/>
      <c r="V20" s="7">
        <f t="shared" si="5"/>
        <v>0</v>
      </c>
      <c r="W20" s="2"/>
      <c r="X20" s="6">
        <f t="shared" si="6"/>
        <v>2096.4899999999998</v>
      </c>
      <c r="Y20" s="2"/>
      <c r="Z20" s="7">
        <f t="shared" si="7"/>
        <v>0.16742707324260628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91.59</v>
      </c>
      <c r="E21" s="2"/>
      <c r="F21" s="7">
        <f t="shared" si="0"/>
        <v>0</v>
      </c>
      <c r="G21" s="2"/>
      <c r="H21" s="6">
        <v>62.81</v>
      </c>
      <c r="I21" s="2"/>
      <c r="J21" s="7">
        <f t="shared" si="1"/>
        <v>0</v>
      </c>
      <c r="K21" s="2"/>
      <c r="L21" s="6">
        <f t="shared" si="2"/>
        <v>28.78</v>
      </c>
      <c r="M21" s="2"/>
      <c r="N21" s="7">
        <f t="shared" si="3"/>
        <v>0.45820729183251074</v>
      </c>
      <c r="O21" s="11"/>
      <c r="P21" s="6">
        <v>519.23</v>
      </c>
      <c r="Q21" s="2"/>
      <c r="R21" s="7">
        <f t="shared" si="4"/>
        <v>0</v>
      </c>
      <c r="S21" s="2"/>
      <c r="T21" s="6">
        <v>554.66</v>
      </c>
      <c r="U21" s="2"/>
      <c r="V21" s="7">
        <f t="shared" si="5"/>
        <v>0</v>
      </c>
      <c r="W21" s="2"/>
      <c r="X21" s="6">
        <f t="shared" si="6"/>
        <v>-35.42999999999995</v>
      </c>
      <c r="Y21" s="2"/>
      <c r="Z21" s="7">
        <f t="shared" si="7"/>
        <v>-6.3876969675116205E-2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6091.6</v>
      </c>
      <c r="E22" s="2"/>
      <c r="F22" s="7">
        <f t="shared" si="0"/>
        <v>0</v>
      </c>
      <c r="G22" s="2"/>
      <c r="H22" s="6">
        <v>5859.07</v>
      </c>
      <c r="I22" s="2"/>
      <c r="J22" s="7">
        <f t="shared" si="1"/>
        <v>0</v>
      </c>
      <c r="K22" s="2"/>
      <c r="L22" s="6">
        <f t="shared" si="2"/>
        <v>232.53000000000065</v>
      </c>
      <c r="M22" s="2"/>
      <c r="N22" s="7">
        <f t="shared" si="3"/>
        <v>3.9687185850314242E-2</v>
      </c>
      <c r="O22" s="11"/>
      <c r="P22" s="6">
        <v>41262.120000000003</v>
      </c>
      <c r="Q22" s="2"/>
      <c r="R22" s="7">
        <f t="shared" si="4"/>
        <v>0</v>
      </c>
      <c r="S22" s="2"/>
      <c r="T22" s="6">
        <v>38592.67</v>
      </c>
      <c r="U22" s="2"/>
      <c r="V22" s="7">
        <f t="shared" si="5"/>
        <v>0</v>
      </c>
      <c r="W22" s="2"/>
      <c r="X22" s="6">
        <f t="shared" si="6"/>
        <v>2669.4500000000044</v>
      </c>
      <c r="Y22" s="2"/>
      <c r="Z22" s="7">
        <f t="shared" si="7"/>
        <v>6.9169870858896379E-2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70.040000000000006</v>
      </c>
      <c r="E23" s="2"/>
      <c r="F23" s="7">
        <f t="shared" si="0"/>
        <v>0</v>
      </c>
      <c r="G23" s="2"/>
      <c r="H23" s="6">
        <v>52.68</v>
      </c>
      <c r="I23" s="2"/>
      <c r="J23" s="7">
        <f t="shared" si="1"/>
        <v>0</v>
      </c>
      <c r="K23" s="2"/>
      <c r="L23" s="6">
        <f t="shared" si="2"/>
        <v>17.360000000000007</v>
      </c>
      <c r="M23" s="2"/>
      <c r="N23" s="7">
        <f t="shared" si="3"/>
        <v>0.32953682611996976</v>
      </c>
      <c r="O23" s="11"/>
      <c r="P23" s="6">
        <v>495.75</v>
      </c>
      <c r="Q23" s="2"/>
      <c r="R23" s="7">
        <f t="shared" si="4"/>
        <v>0</v>
      </c>
      <c r="S23" s="2"/>
      <c r="T23" s="6">
        <v>465.2</v>
      </c>
      <c r="U23" s="2"/>
      <c r="V23" s="7">
        <f t="shared" si="5"/>
        <v>0</v>
      </c>
      <c r="W23" s="2"/>
      <c r="X23" s="6">
        <f t="shared" si="6"/>
        <v>30.550000000000011</v>
      </c>
      <c r="Y23" s="2"/>
      <c r="Z23" s="7">
        <f t="shared" si="7"/>
        <v>6.5670679277730029E-2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1602.07</v>
      </c>
      <c r="E24" s="2"/>
      <c r="F24" s="7">
        <f t="shared" si="0"/>
        <v>0</v>
      </c>
      <c r="G24" s="2"/>
      <c r="H24" s="6">
        <v>1090.76</v>
      </c>
      <c r="I24" s="2"/>
      <c r="J24" s="7">
        <f t="shared" si="1"/>
        <v>0</v>
      </c>
      <c r="K24" s="2"/>
      <c r="L24" s="6">
        <f t="shared" si="2"/>
        <v>511.30999999999995</v>
      </c>
      <c r="M24" s="2"/>
      <c r="N24" s="7">
        <f t="shared" si="3"/>
        <v>0.46876489786937542</v>
      </c>
      <c r="O24" s="11"/>
      <c r="P24" s="6">
        <v>8642.36</v>
      </c>
      <c r="Q24" s="2"/>
      <c r="R24" s="7">
        <f t="shared" si="4"/>
        <v>0</v>
      </c>
      <c r="S24" s="2"/>
      <c r="T24" s="6">
        <v>7224.76</v>
      </c>
      <c r="U24" s="2"/>
      <c r="V24" s="7">
        <f t="shared" si="5"/>
        <v>0</v>
      </c>
      <c r="W24" s="2"/>
      <c r="X24" s="6">
        <f t="shared" si="6"/>
        <v>1417.6000000000004</v>
      </c>
      <c r="Y24" s="2"/>
      <c r="Z24" s="7">
        <f t="shared" si="7"/>
        <v>0.19621413029636975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>
        <v>2231.94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2231.94</v>
      </c>
      <c r="M25" s="2"/>
      <c r="N25" s="7">
        <f t="shared" si="3"/>
        <v>0</v>
      </c>
      <c r="O25" s="11"/>
      <c r="P25" s="6">
        <v>4203.88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4203.88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557.91999999999996</v>
      </c>
      <c r="E26" s="2"/>
      <c r="F26" s="7">
        <f t="shared" si="0"/>
        <v>0</v>
      </c>
      <c r="G26" s="2"/>
      <c r="H26" s="6">
        <v>404.6</v>
      </c>
      <c r="I26" s="2"/>
      <c r="J26" s="7">
        <f t="shared" si="1"/>
        <v>0</v>
      </c>
      <c r="K26" s="2"/>
      <c r="L26" s="6">
        <f t="shared" si="2"/>
        <v>153.31999999999994</v>
      </c>
      <c r="M26" s="2"/>
      <c r="N26" s="7">
        <f t="shared" si="3"/>
        <v>0.37894216510133449</v>
      </c>
      <c r="O26" s="11"/>
      <c r="P26" s="6">
        <v>3325.96</v>
      </c>
      <c r="Q26" s="2"/>
      <c r="R26" s="7">
        <f t="shared" si="4"/>
        <v>0</v>
      </c>
      <c r="S26" s="2"/>
      <c r="T26" s="6">
        <v>1965.67</v>
      </c>
      <c r="U26" s="2"/>
      <c r="V26" s="7">
        <f t="shared" si="5"/>
        <v>0</v>
      </c>
      <c r="W26" s="2"/>
      <c r="X26" s="6">
        <f t="shared" si="6"/>
        <v>1360.29</v>
      </c>
      <c r="Y26" s="2"/>
      <c r="Z26" s="7">
        <f t="shared" si="7"/>
        <v>0.69202358483366988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1324.72</v>
      </c>
      <c r="E27" s="2"/>
      <c r="F27" s="7">
        <f t="shared" si="0"/>
        <v>0</v>
      </c>
      <c r="G27" s="2"/>
      <c r="H27" s="6">
        <v>1036.28</v>
      </c>
      <c r="I27" s="2"/>
      <c r="J27" s="7">
        <f t="shared" si="1"/>
        <v>0</v>
      </c>
      <c r="K27" s="2"/>
      <c r="L27" s="6">
        <f t="shared" si="2"/>
        <v>288.44000000000005</v>
      </c>
      <c r="M27" s="2"/>
      <c r="N27" s="7">
        <f t="shared" si="3"/>
        <v>0.27834176091403873</v>
      </c>
      <c r="O27" s="11"/>
      <c r="P27" s="6">
        <v>12612.41</v>
      </c>
      <c r="Q27" s="2"/>
      <c r="R27" s="7">
        <f t="shared" si="4"/>
        <v>0</v>
      </c>
      <c r="S27" s="2"/>
      <c r="T27" s="6">
        <v>8144.65</v>
      </c>
      <c r="U27" s="2"/>
      <c r="V27" s="7">
        <f t="shared" si="5"/>
        <v>0</v>
      </c>
      <c r="W27" s="2"/>
      <c r="X27" s="6">
        <f t="shared" si="6"/>
        <v>4467.76</v>
      </c>
      <c r="Y27" s="2"/>
      <c r="Z27" s="7">
        <f t="shared" si="7"/>
        <v>0.54855150313395917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1006.49</v>
      </c>
      <c r="E28" s="2"/>
      <c r="F28" s="7">
        <f t="shared" si="0"/>
        <v>0</v>
      </c>
      <c r="G28" s="2"/>
      <c r="H28" s="6">
        <v>742.68</v>
      </c>
      <c r="I28" s="2"/>
      <c r="J28" s="7">
        <f t="shared" si="1"/>
        <v>0</v>
      </c>
      <c r="K28" s="2"/>
      <c r="L28" s="6">
        <f t="shared" si="2"/>
        <v>263.81000000000006</v>
      </c>
      <c r="M28" s="2"/>
      <c r="N28" s="7">
        <f t="shared" si="3"/>
        <v>0.3552135509236819</v>
      </c>
      <c r="O28" s="11"/>
      <c r="P28" s="6">
        <v>8416.82</v>
      </c>
      <c r="Q28" s="2"/>
      <c r="R28" s="7">
        <f t="shared" si="4"/>
        <v>0</v>
      </c>
      <c r="S28" s="2"/>
      <c r="T28" s="6">
        <v>5647.95</v>
      </c>
      <c r="U28" s="2"/>
      <c r="V28" s="7">
        <f t="shared" si="5"/>
        <v>0</v>
      </c>
      <c r="W28" s="2"/>
      <c r="X28" s="6">
        <f t="shared" si="6"/>
        <v>2768.87</v>
      </c>
      <c r="Y28" s="2"/>
      <c r="Z28" s="7">
        <f t="shared" si="7"/>
        <v>0.49024336263600066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450.65</v>
      </c>
      <c r="E29" s="2"/>
      <c r="F29" s="7">
        <f t="shared" si="0"/>
        <v>0</v>
      </c>
      <c r="G29" s="2"/>
      <c r="H29" s="6">
        <v>394.26</v>
      </c>
      <c r="I29" s="2"/>
      <c r="J29" s="7">
        <f t="shared" si="1"/>
        <v>0</v>
      </c>
      <c r="K29" s="2"/>
      <c r="L29" s="6">
        <f t="shared" si="2"/>
        <v>56.389999999999986</v>
      </c>
      <c r="M29" s="2"/>
      <c r="N29" s="7">
        <f t="shared" si="3"/>
        <v>0.14302744381879975</v>
      </c>
      <c r="O29" s="11"/>
      <c r="P29" s="6">
        <v>2731.4</v>
      </c>
      <c r="Q29" s="2"/>
      <c r="R29" s="7">
        <f t="shared" si="4"/>
        <v>0</v>
      </c>
      <c r="S29" s="2"/>
      <c r="T29" s="6">
        <v>2563.29</v>
      </c>
      <c r="U29" s="2"/>
      <c r="V29" s="7">
        <f t="shared" si="5"/>
        <v>0</v>
      </c>
      <c r="W29" s="2"/>
      <c r="X29" s="6">
        <f t="shared" si="6"/>
        <v>168.11000000000013</v>
      </c>
      <c r="Y29" s="2"/>
      <c r="Z29" s="7">
        <f t="shared" si="7"/>
        <v>6.5583683469291471E-2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33019.479999999996</v>
      </c>
      <c r="E30" s="1"/>
      <c r="F30" s="5">
        <f t="shared" ref="F30:F35" si="8">IF(D$12=0,0,D30/D$12)</f>
        <v>0</v>
      </c>
      <c r="G30" s="1"/>
      <c r="H30" s="1">
        <f>SUM(OSRRefH22_1x_0)</f>
        <v>24006.440000000002</v>
      </c>
      <c r="I30" s="1"/>
      <c r="J30" s="5">
        <f t="shared" ref="J30:J35" si="9">IF(H$12=0,0,H30/H$12)</f>
        <v>0</v>
      </c>
      <c r="K30" s="1"/>
      <c r="L30" s="1">
        <f t="shared" ref="L30:L35" si="10">+D30-H30</f>
        <v>9013.0399999999936</v>
      </c>
      <c r="M30" s="1"/>
      <c r="N30" s="5">
        <f t="shared" ref="N30:N35" si="11">IF(H30=0,0,L30/H30)</f>
        <v>0.37544258957179794</v>
      </c>
      <c r="O30" s="13"/>
      <c r="P30" s="1">
        <f>SUM(OSRRefP22_1x_0)</f>
        <v>173522.49</v>
      </c>
      <c r="Q30" s="1"/>
      <c r="R30" s="5">
        <f t="shared" ref="R30:R35" si="12">IF(P$12=0,0,P30/P$12)</f>
        <v>0</v>
      </c>
      <c r="S30" s="1"/>
      <c r="T30" s="1">
        <f>SUM(OSRRefT22_1x_0)</f>
        <v>154190.18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19332.309999999998</v>
      </c>
      <c r="Y30" s="1"/>
      <c r="Z30" s="5">
        <f t="shared" ref="Z30:Z35" si="15">IF(T30=0,0,X30/T30)</f>
        <v>0.12537964479968827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9894.89</v>
      </c>
      <c r="E31" s="2"/>
      <c r="F31" s="7">
        <f t="shared" si="8"/>
        <v>0</v>
      </c>
      <c r="G31" s="2"/>
      <c r="H31" s="6">
        <v>9274.0400000000009</v>
      </c>
      <c r="I31" s="2"/>
      <c r="J31" s="7">
        <f t="shared" si="9"/>
        <v>0</v>
      </c>
      <c r="K31" s="2"/>
      <c r="L31" s="6">
        <f t="shared" si="10"/>
        <v>620.84999999999854</v>
      </c>
      <c r="M31" s="2"/>
      <c r="N31" s="7">
        <f t="shared" si="11"/>
        <v>6.6944934462219108E-2</v>
      </c>
      <c r="O31" s="11"/>
      <c r="P31" s="6">
        <v>62066.81</v>
      </c>
      <c r="Q31" s="2"/>
      <c r="R31" s="7">
        <f t="shared" si="12"/>
        <v>0</v>
      </c>
      <c r="S31" s="2"/>
      <c r="T31" s="6">
        <v>56804.07</v>
      </c>
      <c r="U31" s="2"/>
      <c r="V31" s="7">
        <f t="shared" si="13"/>
        <v>0</v>
      </c>
      <c r="W31" s="2"/>
      <c r="X31" s="6">
        <f t="shared" si="14"/>
        <v>5262.739999999998</v>
      </c>
      <c r="Y31" s="2"/>
      <c r="Z31" s="7">
        <f t="shared" si="15"/>
        <v>9.2647234608365173E-2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4788.3100000000004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4788.3100000000004</v>
      </c>
      <c r="M32" s="2"/>
      <c r="N32" s="7">
        <f t="shared" si="11"/>
        <v>0</v>
      </c>
      <c r="O32" s="11"/>
      <c r="P32" s="6">
        <v>4788.3100000000004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4788.3100000000004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9940.33</v>
      </c>
      <c r="E33" s="2"/>
      <c r="F33" s="7">
        <f t="shared" si="8"/>
        <v>0</v>
      </c>
      <c r="G33" s="2"/>
      <c r="H33" s="6">
        <v>7548.33</v>
      </c>
      <c r="I33" s="2"/>
      <c r="J33" s="7">
        <f t="shared" si="9"/>
        <v>0</v>
      </c>
      <c r="K33" s="2"/>
      <c r="L33" s="6">
        <f t="shared" si="10"/>
        <v>2392</v>
      </c>
      <c r="M33" s="2"/>
      <c r="N33" s="7">
        <f t="shared" si="11"/>
        <v>0.31689128588707699</v>
      </c>
      <c r="O33" s="11"/>
      <c r="P33" s="6">
        <v>67939.740000000005</v>
      </c>
      <c r="Q33" s="2"/>
      <c r="R33" s="7">
        <f t="shared" si="12"/>
        <v>0</v>
      </c>
      <c r="S33" s="2"/>
      <c r="T33" s="6">
        <v>59606.119999999995</v>
      </c>
      <c r="U33" s="2"/>
      <c r="V33" s="7">
        <f t="shared" si="13"/>
        <v>0</v>
      </c>
      <c r="W33" s="2"/>
      <c r="X33" s="6">
        <f t="shared" si="14"/>
        <v>8333.6200000000099</v>
      </c>
      <c r="Y33" s="2"/>
      <c r="Z33" s="7">
        <f t="shared" si="15"/>
        <v>0.1398114824450914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4905.95</v>
      </c>
      <c r="E34" s="2"/>
      <c r="F34" s="7">
        <f t="shared" si="8"/>
        <v>0</v>
      </c>
      <c r="G34" s="2"/>
      <c r="H34" s="6">
        <v>2718.32</v>
      </c>
      <c r="I34" s="2"/>
      <c r="J34" s="7">
        <f t="shared" si="9"/>
        <v>0</v>
      </c>
      <c r="K34" s="2"/>
      <c r="L34" s="6">
        <f t="shared" si="10"/>
        <v>2187.6299999999997</v>
      </c>
      <c r="M34" s="2"/>
      <c r="N34" s="7">
        <f t="shared" si="11"/>
        <v>0.80477280084758218</v>
      </c>
      <c r="O34" s="11"/>
      <c r="P34" s="6">
        <v>35237.630000000005</v>
      </c>
      <c r="Q34" s="2"/>
      <c r="R34" s="7">
        <f t="shared" si="12"/>
        <v>0</v>
      </c>
      <c r="S34" s="2"/>
      <c r="T34" s="6">
        <v>24238.550000000003</v>
      </c>
      <c r="U34" s="2"/>
      <c r="V34" s="7">
        <f t="shared" si="13"/>
        <v>0</v>
      </c>
      <c r="W34" s="2"/>
      <c r="X34" s="6">
        <f t="shared" si="14"/>
        <v>10999.080000000002</v>
      </c>
      <c r="Y34" s="2"/>
      <c r="Z34" s="7">
        <f t="shared" si="15"/>
        <v>0.45378457044666454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3490</v>
      </c>
      <c r="E35" s="2"/>
      <c r="F35" s="7">
        <f t="shared" si="8"/>
        <v>0</v>
      </c>
      <c r="G35" s="2"/>
      <c r="H35" s="6">
        <v>4465.75</v>
      </c>
      <c r="I35" s="2"/>
      <c r="J35" s="7">
        <f t="shared" si="9"/>
        <v>0</v>
      </c>
      <c r="K35" s="2"/>
      <c r="L35" s="6">
        <f t="shared" si="10"/>
        <v>-975.75</v>
      </c>
      <c r="M35" s="2"/>
      <c r="N35" s="7">
        <f t="shared" si="11"/>
        <v>-0.2184963332027095</v>
      </c>
      <c r="O35" s="11"/>
      <c r="P35" s="6">
        <v>3490</v>
      </c>
      <c r="Q35" s="2"/>
      <c r="R35" s="7">
        <f t="shared" si="12"/>
        <v>0</v>
      </c>
      <c r="S35" s="2"/>
      <c r="T35" s="6">
        <v>13541.44</v>
      </c>
      <c r="U35" s="2"/>
      <c r="V35" s="7">
        <f t="shared" si="13"/>
        <v>0</v>
      </c>
      <c r="W35" s="2"/>
      <c r="X35" s="6">
        <f t="shared" si="14"/>
        <v>-10051.44</v>
      </c>
      <c r="Y35" s="2"/>
      <c r="Z35" s="7">
        <f t="shared" si="15"/>
        <v>-0.7422726091169034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153.30000000000001</v>
      </c>
      <c r="E36" s="1"/>
      <c r="F36" s="5">
        <f t="shared" ref="F36:F53" si="16">IF(D$12=0,0,D36/D$12)</f>
        <v>0</v>
      </c>
      <c r="G36" s="1"/>
      <c r="H36" s="1">
        <f>SUM(OSRRefH22_2x_0)</f>
        <v>447.4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-294.09999999999997</v>
      </c>
      <c r="M36" s="1"/>
      <c r="N36" s="5">
        <f t="shared" ref="N36:N53" si="19">IF(H36=0,0,L36/H36)</f>
        <v>-0.6573535985695127</v>
      </c>
      <c r="O36" s="13"/>
      <c r="P36" s="1">
        <f>SUM(OSRRefP22_2x_0)</f>
        <v>1541.04</v>
      </c>
      <c r="Q36" s="1"/>
      <c r="R36" s="5">
        <f t="shared" ref="R36:R53" si="20">IF(P$12=0,0,P36/P$12)</f>
        <v>0</v>
      </c>
      <c r="S36" s="1"/>
      <c r="T36" s="1">
        <f>SUM(OSRRefT22_2x_0)</f>
        <v>3042.14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-1501.1</v>
      </c>
      <c r="Y36" s="1"/>
      <c r="Z36" s="5">
        <f t="shared" ref="Z36:Z53" si="23">IF(T36=0,0,X36/T36)</f>
        <v>-0.49343554208550561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>
        <v>153.30000000000001</v>
      </c>
      <c r="E37" s="2"/>
      <c r="F37" s="7">
        <f t="shared" si="16"/>
        <v>0</v>
      </c>
      <c r="G37" s="2"/>
      <c r="H37" s="6">
        <v>447.4</v>
      </c>
      <c r="I37" s="2"/>
      <c r="J37" s="7">
        <f t="shared" si="17"/>
        <v>0</v>
      </c>
      <c r="K37" s="2"/>
      <c r="L37" s="6">
        <f t="shared" si="18"/>
        <v>-294.09999999999997</v>
      </c>
      <c r="M37" s="2"/>
      <c r="N37" s="7">
        <f t="shared" si="19"/>
        <v>-0.6573535985695127</v>
      </c>
      <c r="O37" s="11"/>
      <c r="P37" s="6">
        <v>1541.04</v>
      </c>
      <c r="Q37" s="2"/>
      <c r="R37" s="7">
        <f t="shared" si="20"/>
        <v>0</v>
      </c>
      <c r="S37" s="2"/>
      <c r="T37" s="6">
        <v>3042.14</v>
      </c>
      <c r="U37" s="2"/>
      <c r="V37" s="7">
        <f t="shared" si="21"/>
        <v>0</v>
      </c>
      <c r="W37" s="2"/>
      <c r="X37" s="6">
        <f t="shared" si="22"/>
        <v>-1501.1</v>
      </c>
      <c r="Y37" s="2"/>
      <c r="Z37" s="7">
        <f t="shared" si="23"/>
        <v>-0.49343554208550561</v>
      </c>
    </row>
    <row r="38" spans="1:26" s="26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224.18</v>
      </c>
      <c r="E38" s="1"/>
      <c r="F38" s="5">
        <f t="shared" si="16"/>
        <v>0</v>
      </c>
      <c r="G38" s="1"/>
      <c r="H38" s="1">
        <f>SUM(OSRRefH22_3x_0)</f>
        <v>224.17</v>
      </c>
      <c r="I38" s="1"/>
      <c r="J38" s="5">
        <f t="shared" si="17"/>
        <v>0</v>
      </c>
      <c r="K38" s="1"/>
      <c r="L38" s="1">
        <f t="shared" si="18"/>
        <v>1.0000000000019327E-2</v>
      </c>
      <c r="M38" s="1"/>
      <c r="N38" s="5">
        <f t="shared" si="19"/>
        <v>4.4609002096709314E-5</v>
      </c>
      <c r="O38" s="13"/>
      <c r="P38" s="1">
        <f>SUM(OSRRefP22_3x_0)</f>
        <v>1569.26</v>
      </c>
      <c r="Q38" s="1"/>
      <c r="R38" s="5">
        <f t="shared" si="20"/>
        <v>0</v>
      </c>
      <c r="S38" s="1"/>
      <c r="T38" s="1">
        <f>SUM(OSRRefT22_3x_0)</f>
        <v>1569.19</v>
      </c>
      <c r="U38" s="1"/>
      <c r="V38" s="5">
        <f t="shared" si="21"/>
        <v>0</v>
      </c>
      <c r="W38" s="1"/>
      <c r="X38" s="1">
        <f t="shared" si="22"/>
        <v>6.9999999999936335E-2</v>
      </c>
      <c r="Y38" s="1"/>
      <c r="Z38" s="5">
        <f t="shared" si="23"/>
        <v>4.4609002096582523E-5</v>
      </c>
    </row>
    <row r="39" spans="1:26" s="24" customFormat="1" hidden="1" outlineLevel="2" x14ac:dyDescent="0.25">
      <c r="A39" s="25"/>
      <c r="B39" s="11" t="str">
        <f>CONCATENATE("          ", "6322", " - ", "EQUIPMENT DEPRECIATION EXPENSE")</f>
        <v xml:space="preserve">          6322 - EQUIPMENT DEPRECIATION EXPENSE</v>
      </c>
      <c r="C39" s="11"/>
      <c r="D39" s="6">
        <v>224.18</v>
      </c>
      <c r="E39" s="2"/>
      <c r="F39" s="7">
        <f t="shared" si="16"/>
        <v>0</v>
      </c>
      <c r="G39" s="2"/>
      <c r="H39" s="6">
        <v>224.17</v>
      </c>
      <c r="I39" s="2"/>
      <c r="J39" s="7">
        <f t="shared" si="17"/>
        <v>0</v>
      </c>
      <c r="K39" s="2"/>
      <c r="L39" s="6">
        <f t="shared" si="18"/>
        <v>1.0000000000019327E-2</v>
      </c>
      <c r="M39" s="2"/>
      <c r="N39" s="7">
        <f t="shared" si="19"/>
        <v>4.4609002096709314E-5</v>
      </c>
      <c r="O39" s="11"/>
      <c r="P39" s="6">
        <v>1569.26</v>
      </c>
      <c r="Q39" s="2"/>
      <c r="R39" s="7">
        <f t="shared" si="20"/>
        <v>0</v>
      </c>
      <c r="S39" s="2"/>
      <c r="T39" s="6">
        <v>1569.19</v>
      </c>
      <c r="U39" s="2"/>
      <c r="V39" s="7">
        <f t="shared" si="21"/>
        <v>0</v>
      </c>
      <c r="W39" s="2"/>
      <c r="X39" s="6">
        <f t="shared" si="22"/>
        <v>6.9999999999936335E-2</v>
      </c>
      <c r="Y39" s="2"/>
      <c r="Z39" s="7">
        <f t="shared" si="23"/>
        <v>4.4609002096582523E-5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2180.1799999999998</v>
      </c>
      <c r="E40" s="1"/>
      <c r="F40" s="5">
        <f t="shared" si="16"/>
        <v>0</v>
      </c>
      <c r="G40" s="1"/>
      <c r="H40" s="1">
        <f>SUM(OSRRefH22_4x_0)</f>
        <v>2988.1</v>
      </c>
      <c r="I40" s="1"/>
      <c r="J40" s="5">
        <f t="shared" si="17"/>
        <v>0</v>
      </c>
      <c r="K40" s="1"/>
      <c r="L40" s="1">
        <f t="shared" si="18"/>
        <v>-807.92000000000007</v>
      </c>
      <c r="M40" s="1"/>
      <c r="N40" s="5">
        <f t="shared" si="19"/>
        <v>-0.27037917071048495</v>
      </c>
      <c r="O40" s="13"/>
      <c r="P40" s="1">
        <f>SUM(OSRRefP22_4x_0)</f>
        <v>27018.04</v>
      </c>
      <c r="Q40" s="1"/>
      <c r="R40" s="5">
        <f t="shared" si="20"/>
        <v>0</v>
      </c>
      <c r="S40" s="1"/>
      <c r="T40" s="1">
        <f>SUM(OSRRefT22_4x_0)</f>
        <v>27627.69</v>
      </c>
      <c r="U40" s="1"/>
      <c r="V40" s="5">
        <f t="shared" si="21"/>
        <v>0</v>
      </c>
      <c r="W40" s="1"/>
      <c r="X40" s="1">
        <f t="shared" si="22"/>
        <v>-609.64999999999782</v>
      </c>
      <c r="Y40" s="1"/>
      <c r="Z40" s="5">
        <f t="shared" si="23"/>
        <v>-2.20666295300113E-2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>
        <v>2180.1799999999998</v>
      </c>
      <c r="E41" s="2"/>
      <c r="F41" s="7">
        <f t="shared" si="16"/>
        <v>0</v>
      </c>
      <c r="G41" s="2"/>
      <c r="H41" s="6">
        <v>2988.1</v>
      </c>
      <c r="I41" s="2"/>
      <c r="J41" s="7">
        <f t="shared" si="17"/>
        <v>0</v>
      </c>
      <c r="K41" s="2"/>
      <c r="L41" s="6">
        <f t="shared" si="18"/>
        <v>-807.92000000000007</v>
      </c>
      <c r="M41" s="2"/>
      <c r="N41" s="7">
        <f t="shared" si="19"/>
        <v>-0.27037917071048495</v>
      </c>
      <c r="O41" s="11"/>
      <c r="P41" s="6">
        <v>27018.04</v>
      </c>
      <c r="Q41" s="2"/>
      <c r="R41" s="7">
        <f t="shared" si="20"/>
        <v>0</v>
      </c>
      <c r="S41" s="2"/>
      <c r="T41" s="6">
        <v>27627.69</v>
      </c>
      <c r="U41" s="2"/>
      <c r="V41" s="7">
        <f t="shared" si="21"/>
        <v>0</v>
      </c>
      <c r="W41" s="2"/>
      <c r="X41" s="6">
        <f t="shared" si="22"/>
        <v>-609.64999999999782</v>
      </c>
      <c r="Y41" s="2"/>
      <c r="Z41" s="7">
        <f t="shared" si="23"/>
        <v>-2.20666295300113E-2</v>
      </c>
    </row>
    <row r="42" spans="1:26" s="26" customFormat="1" outlineLevel="1" collapsed="1" x14ac:dyDescent="0.25">
      <c r="A42" s="27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3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638.82000000000005</v>
      </c>
      <c r="U42" s="1"/>
      <c r="V42" s="5">
        <f t="shared" si="21"/>
        <v>0</v>
      </c>
      <c r="W42" s="1"/>
      <c r="X42" s="1">
        <f t="shared" si="22"/>
        <v>-365.04000000000008</v>
      </c>
      <c r="Y42" s="1"/>
      <c r="Z42" s="5">
        <f t="shared" si="23"/>
        <v>-0.57142857142857151</v>
      </c>
    </row>
    <row r="43" spans="1:26" s="24" customFormat="1" hidden="1" outlineLevel="2" x14ac:dyDescent="0.25">
      <c r="A43" s="25"/>
      <c r="B43" s="11" t="str">
        <f>CONCATENATE("          ", "6351", " - ", "EQUIPMENT RENTAL")</f>
        <v xml:space="preserve">          6351 - EQUIPMENT RENTAL</v>
      </c>
      <c r="C43" s="11"/>
      <c r="D43" s="6"/>
      <c r="E43" s="2"/>
      <c r="F43" s="7">
        <f t="shared" si="16"/>
        <v>0</v>
      </c>
      <c r="G43" s="2"/>
      <c r="H43" s="6">
        <v>91.26</v>
      </c>
      <c r="I43" s="2"/>
      <c r="J43" s="7">
        <f t="shared" si="17"/>
        <v>0</v>
      </c>
      <c r="K43" s="2"/>
      <c r="L43" s="6">
        <f t="shared" si="18"/>
        <v>-91.26</v>
      </c>
      <c r="M43" s="2"/>
      <c r="N43" s="7">
        <f t="shared" si="19"/>
        <v>-1</v>
      </c>
      <c r="O43" s="11"/>
      <c r="P43" s="6">
        <v>273.77999999999997</v>
      </c>
      <c r="Q43" s="2"/>
      <c r="R43" s="7">
        <f t="shared" si="20"/>
        <v>0</v>
      </c>
      <c r="S43" s="2"/>
      <c r="T43" s="6">
        <v>638.82000000000005</v>
      </c>
      <c r="U43" s="2"/>
      <c r="V43" s="7">
        <f t="shared" si="21"/>
        <v>0</v>
      </c>
      <c r="W43" s="2"/>
      <c r="X43" s="6">
        <f t="shared" si="22"/>
        <v>-365.04000000000008</v>
      </c>
      <c r="Y43" s="2"/>
      <c r="Z43" s="7">
        <f t="shared" si="23"/>
        <v>-0.57142857142857151</v>
      </c>
    </row>
    <row r="44" spans="1:26" s="26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573.29999999999995</v>
      </c>
      <c r="E44" s="1"/>
      <c r="F44" s="5">
        <f t="shared" si="16"/>
        <v>0</v>
      </c>
      <c r="G44" s="1"/>
      <c r="H44" s="1">
        <f>SUM(OSRRefH22_6x_0)</f>
        <v>551.71</v>
      </c>
      <c r="I44" s="1"/>
      <c r="J44" s="5">
        <f t="shared" si="17"/>
        <v>0</v>
      </c>
      <c r="K44" s="1"/>
      <c r="L44" s="1">
        <f t="shared" si="18"/>
        <v>21.589999999999918</v>
      </c>
      <c r="M44" s="1"/>
      <c r="N44" s="5">
        <f t="shared" si="19"/>
        <v>3.9132877779992963E-2</v>
      </c>
      <c r="O44" s="13"/>
      <c r="P44" s="1">
        <f>SUM(OSRRefP22_6x_0)</f>
        <v>856.8</v>
      </c>
      <c r="Q44" s="1"/>
      <c r="R44" s="5">
        <f t="shared" si="20"/>
        <v>0</v>
      </c>
      <c r="S44" s="1"/>
      <c r="T44" s="1">
        <f>SUM(OSRRefT22_6x_0)</f>
        <v>1096.98</v>
      </c>
      <c r="U44" s="1"/>
      <c r="V44" s="5">
        <f t="shared" si="21"/>
        <v>0</v>
      </c>
      <c r="W44" s="1"/>
      <c r="X44" s="1">
        <f t="shared" si="22"/>
        <v>-240.18000000000006</v>
      </c>
      <c r="Y44" s="1"/>
      <c r="Z44" s="5">
        <f t="shared" si="23"/>
        <v>-0.2189465623803534</v>
      </c>
    </row>
    <row r="45" spans="1:26" s="24" customFormat="1" hidden="1" outlineLevel="2" x14ac:dyDescent="0.25">
      <c r="A45" s="25"/>
      <c r="B45" s="11" t="str">
        <f>CONCATENATE("          ", "6307", " - ", "POSTAGE")</f>
        <v xml:space="preserve">          6307 - POSTAGE</v>
      </c>
      <c r="C45" s="11"/>
      <c r="D45" s="6">
        <v>573.29999999999995</v>
      </c>
      <c r="E45" s="2"/>
      <c r="F45" s="7">
        <f t="shared" si="16"/>
        <v>0</v>
      </c>
      <c r="G45" s="2"/>
      <c r="H45" s="6">
        <v>551.71</v>
      </c>
      <c r="I45" s="2"/>
      <c r="J45" s="7">
        <f t="shared" si="17"/>
        <v>0</v>
      </c>
      <c r="K45" s="2"/>
      <c r="L45" s="6">
        <f t="shared" si="18"/>
        <v>21.589999999999918</v>
      </c>
      <c r="M45" s="2"/>
      <c r="N45" s="7">
        <f t="shared" si="19"/>
        <v>3.9132877779992963E-2</v>
      </c>
      <c r="O45" s="11"/>
      <c r="P45" s="6">
        <v>856.8</v>
      </c>
      <c r="Q45" s="2"/>
      <c r="R45" s="7">
        <f t="shared" si="20"/>
        <v>0</v>
      </c>
      <c r="S45" s="2"/>
      <c r="T45" s="6">
        <v>1096.98</v>
      </c>
      <c r="U45" s="2"/>
      <c r="V45" s="7">
        <f t="shared" si="21"/>
        <v>0</v>
      </c>
      <c r="W45" s="2"/>
      <c r="X45" s="6">
        <f t="shared" si="22"/>
        <v>-240.18000000000006</v>
      </c>
      <c r="Y45" s="2"/>
      <c r="Z45" s="7">
        <f t="shared" si="23"/>
        <v>-0.2189465623803534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700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0</v>
      </c>
      <c r="Y47" s="2"/>
      <c r="Z47" s="7">
        <f t="shared" si="23"/>
        <v>0</v>
      </c>
    </row>
    <row r="48" spans="1:26" s="26" customFormat="1" outlineLevel="1" collapsed="1" x14ac:dyDescent="0.25">
      <c r="A48" s="27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61.68</v>
      </c>
      <c r="I48" s="1"/>
      <c r="J48" s="5">
        <f t="shared" si="17"/>
        <v>0</v>
      </c>
      <c r="K48" s="1"/>
      <c r="L48" s="1">
        <f t="shared" si="18"/>
        <v>3.7899999999999991</v>
      </c>
      <c r="M48" s="1"/>
      <c r="N48" s="5">
        <f t="shared" si="19"/>
        <v>6.1446173800259393E-2</v>
      </c>
      <c r="O48" s="13"/>
      <c r="P48" s="1">
        <f>SUM(OSRRefP22_8x_0)</f>
        <v>458.29</v>
      </c>
      <c r="Q48" s="1"/>
      <c r="R48" s="5">
        <f t="shared" si="20"/>
        <v>0</v>
      </c>
      <c r="S48" s="1"/>
      <c r="T48" s="1">
        <f>SUM(OSRRefT22_8x_0)</f>
        <v>431.76</v>
      </c>
      <c r="U48" s="1"/>
      <c r="V48" s="5">
        <f t="shared" si="21"/>
        <v>0</v>
      </c>
      <c r="W48" s="1"/>
      <c r="X48" s="1">
        <f t="shared" si="22"/>
        <v>26.53000000000003</v>
      </c>
      <c r="Y48" s="1"/>
      <c r="Z48" s="5">
        <f t="shared" si="23"/>
        <v>6.1446173800259477E-2</v>
      </c>
    </row>
    <row r="49" spans="1:26" s="24" customFormat="1" hidden="1" outlineLevel="2" x14ac:dyDescent="0.25">
      <c r="A49" s="25"/>
      <c r="B49" s="11" t="str">
        <f>CONCATENATE("          ", "6314", " - ", "LIABILITY INSURANCE")</f>
        <v xml:space="preserve">          6314 - LIABILITY INSURANCE</v>
      </c>
      <c r="C49" s="11"/>
      <c r="D49" s="6">
        <v>65.47</v>
      </c>
      <c r="E49" s="2"/>
      <c r="F49" s="7">
        <f t="shared" si="16"/>
        <v>0</v>
      </c>
      <c r="G49" s="2"/>
      <c r="H49" s="6">
        <v>61.68</v>
      </c>
      <c r="I49" s="2"/>
      <c r="J49" s="7">
        <f t="shared" si="17"/>
        <v>0</v>
      </c>
      <c r="K49" s="2"/>
      <c r="L49" s="6">
        <f t="shared" si="18"/>
        <v>3.7899999999999991</v>
      </c>
      <c r="M49" s="2"/>
      <c r="N49" s="7">
        <f t="shared" si="19"/>
        <v>6.1446173800259393E-2</v>
      </c>
      <c r="O49" s="11"/>
      <c r="P49" s="6">
        <v>458.29</v>
      </c>
      <c r="Q49" s="2"/>
      <c r="R49" s="7">
        <f t="shared" si="20"/>
        <v>0</v>
      </c>
      <c r="S49" s="2"/>
      <c r="T49" s="6">
        <v>431.76</v>
      </c>
      <c r="U49" s="2"/>
      <c r="V49" s="7">
        <f t="shared" si="21"/>
        <v>0</v>
      </c>
      <c r="W49" s="2"/>
      <c r="X49" s="6">
        <f t="shared" si="22"/>
        <v>26.53000000000003</v>
      </c>
      <c r="Y49" s="2"/>
      <c r="Z49" s="7">
        <f t="shared" si="23"/>
        <v>6.1446173800259477E-2</v>
      </c>
    </row>
    <row r="50" spans="1:26" s="26" customFormat="1" outlineLevel="1" collapsed="1" x14ac:dyDescent="0.25">
      <c r="A50" s="27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521.95000000000005</v>
      </c>
      <c r="E50" s="1"/>
      <c r="F50" s="5">
        <f t="shared" si="16"/>
        <v>0</v>
      </c>
      <c r="G50" s="1"/>
      <c r="H50" s="1">
        <f>SUM(OSRRefH22_9x_0)</f>
        <v>0</v>
      </c>
      <c r="I50" s="1"/>
      <c r="J50" s="5">
        <f t="shared" si="17"/>
        <v>0</v>
      </c>
      <c r="K50" s="1"/>
      <c r="L50" s="1">
        <f t="shared" si="18"/>
        <v>521.95000000000005</v>
      </c>
      <c r="M50" s="1"/>
      <c r="N50" s="5">
        <f t="shared" si="19"/>
        <v>0</v>
      </c>
      <c r="O50" s="13"/>
      <c r="P50" s="1">
        <f>SUM(OSRRefP22_9x_0)</f>
        <v>55355.990000000005</v>
      </c>
      <c r="Q50" s="1"/>
      <c r="R50" s="5">
        <f t="shared" si="20"/>
        <v>0</v>
      </c>
      <c r="S50" s="1"/>
      <c r="T50" s="1">
        <f>SUM(OSRRefT22_9x_0)</f>
        <v>18121.190000000002</v>
      </c>
      <c r="U50" s="1"/>
      <c r="V50" s="5">
        <f t="shared" si="21"/>
        <v>0</v>
      </c>
      <c r="W50" s="1"/>
      <c r="X50" s="1">
        <f t="shared" si="22"/>
        <v>37234.800000000003</v>
      </c>
      <c r="Y50" s="1"/>
      <c r="Z50" s="5">
        <f t="shared" si="23"/>
        <v>2.0547657190283859</v>
      </c>
    </row>
    <row r="51" spans="1:26" s="24" customFormat="1" hidden="1" outlineLevel="2" x14ac:dyDescent="0.25">
      <c r="A51" s="25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14450</v>
      </c>
      <c r="U51" s="2"/>
      <c r="V51" s="7">
        <f t="shared" si="21"/>
        <v>0</v>
      </c>
      <c r="W51" s="2"/>
      <c r="X51" s="6">
        <f t="shared" si="22"/>
        <v>-14450</v>
      </c>
      <c r="Y51" s="2"/>
      <c r="Z51" s="7">
        <f t="shared" si="23"/>
        <v>-1</v>
      </c>
    </row>
    <row r="52" spans="1:26" s="24" customFormat="1" hidden="1" outlineLevel="2" x14ac:dyDescent="0.25">
      <c r="A52" s="25"/>
      <c r="B52" s="11" t="str">
        <f>CONCATENATE("          ", "6334", " - ", "LEGAL COUNCIL EXPENSE")</f>
        <v xml:space="preserve">          6334 - LEGAL COUNCIL EXPENSE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38010</v>
      </c>
      <c r="Q52" s="2"/>
      <c r="R52" s="7">
        <f t="shared" si="20"/>
        <v>0</v>
      </c>
      <c r="S52" s="2"/>
      <c r="T52" s="6">
        <v>407.79</v>
      </c>
      <c r="U52" s="2"/>
      <c r="V52" s="7">
        <f t="shared" si="21"/>
        <v>0</v>
      </c>
      <c r="W52" s="2"/>
      <c r="X52" s="6">
        <f t="shared" si="22"/>
        <v>37602.21</v>
      </c>
      <c r="Y52" s="2"/>
      <c r="Z52" s="7">
        <f t="shared" si="23"/>
        <v>92.209740307511211</v>
      </c>
    </row>
    <row r="53" spans="1:26" s="24" customFormat="1" hidden="1" outlineLevel="2" x14ac:dyDescent="0.25">
      <c r="A53" s="25"/>
      <c r="B53" s="11" t="str">
        <f>CONCATENATE("          ", "6336", " - ", "PROFESSIONAL SERVICES")</f>
        <v xml:space="preserve">          6336 - PROFESSIONAL SERVICES</v>
      </c>
      <c r="C53" s="11"/>
      <c r="D53" s="6">
        <v>521.95000000000005</v>
      </c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521.95000000000005</v>
      </c>
      <c r="M53" s="2"/>
      <c r="N53" s="7">
        <f t="shared" si="19"/>
        <v>0</v>
      </c>
      <c r="O53" s="11"/>
      <c r="P53" s="6">
        <v>17345.990000000002</v>
      </c>
      <c r="Q53" s="2"/>
      <c r="R53" s="7">
        <f t="shared" si="20"/>
        <v>0</v>
      </c>
      <c r="S53" s="2"/>
      <c r="T53" s="6">
        <v>3263.4</v>
      </c>
      <c r="U53" s="2"/>
      <c r="V53" s="7">
        <f t="shared" si="21"/>
        <v>0</v>
      </c>
      <c r="W53" s="2"/>
      <c r="X53" s="6">
        <f t="shared" si="22"/>
        <v>14082.590000000002</v>
      </c>
      <c r="Y53" s="2"/>
      <c r="Z53" s="7">
        <f t="shared" si="23"/>
        <v>4.3153122510265369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13167.4</v>
      </c>
      <c r="E54" s="1"/>
      <c r="F54" s="5">
        <f t="shared" ref="F54:F56" si="24">IF(D$12=0,0,D54/D$12)</f>
        <v>0</v>
      </c>
      <c r="G54" s="1"/>
      <c r="H54" s="1">
        <f>SUM(OSRRefH22_10x_0)</f>
        <v>14260.89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-1093.4899999999998</v>
      </c>
      <c r="M54" s="1"/>
      <c r="N54" s="5">
        <f t="shared" ref="N54:N56" si="27">IF(H54=0,0,L54/H54)</f>
        <v>-7.6677542565716433E-2</v>
      </c>
      <c r="O54" s="13"/>
      <c r="P54" s="1">
        <f>SUM(OSRRefP22_10x_0)</f>
        <v>85936.93</v>
      </c>
      <c r="Q54" s="1"/>
      <c r="R54" s="5">
        <f t="shared" ref="R54:R56" si="28">IF(P$12=0,0,P54/P$12)</f>
        <v>0</v>
      </c>
      <c r="S54" s="1"/>
      <c r="T54" s="1">
        <f>SUM(OSRRefT22_10x_0)</f>
        <v>87060.74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-1123.8100000000122</v>
      </c>
      <c r="Y54" s="1"/>
      <c r="Z54" s="5">
        <f t="shared" ref="Z54:Z56" si="31">IF(T54=0,0,X54/T54)</f>
        <v>-1.2908344220368587E-2</v>
      </c>
    </row>
    <row r="55" spans="1:26" s="24" customFormat="1" hidden="1" outlineLevel="2" x14ac:dyDescent="0.25">
      <c r="A55" s="25"/>
      <c r="B55" s="11" t="str">
        <f>CONCATENATE("          ", "6371", " - ", "COMPUTER SOFTWARE MAINTENANCE")</f>
        <v xml:space="preserve">          6371 - COMPUTER SOFTWARE MAINTENANCE</v>
      </c>
      <c r="C55" s="11"/>
      <c r="D55" s="6">
        <v>13167.4</v>
      </c>
      <c r="E55" s="2"/>
      <c r="F55" s="7">
        <f t="shared" si="24"/>
        <v>0</v>
      </c>
      <c r="G55" s="2"/>
      <c r="H55" s="6">
        <v>12081.33</v>
      </c>
      <c r="I55" s="2"/>
      <c r="J55" s="7">
        <f t="shared" si="25"/>
        <v>0</v>
      </c>
      <c r="K55" s="2"/>
      <c r="L55" s="6">
        <f t="shared" si="26"/>
        <v>1086.0699999999997</v>
      </c>
      <c r="M55" s="2"/>
      <c r="N55" s="7">
        <f t="shared" si="27"/>
        <v>8.9896559401986348E-2</v>
      </c>
      <c r="O55" s="11"/>
      <c r="P55" s="6">
        <v>85654.01</v>
      </c>
      <c r="Q55" s="2"/>
      <c r="R55" s="7">
        <f t="shared" si="28"/>
        <v>0</v>
      </c>
      <c r="S55" s="2"/>
      <c r="T55" s="6">
        <v>84551.92</v>
      </c>
      <c r="U55" s="2"/>
      <c r="V55" s="7">
        <f t="shared" si="29"/>
        <v>0</v>
      </c>
      <c r="W55" s="2"/>
      <c r="X55" s="6">
        <f t="shared" si="30"/>
        <v>1102.0899999999965</v>
      </c>
      <c r="Y55" s="2"/>
      <c r="Z55" s="7">
        <f t="shared" si="31"/>
        <v>1.3034476331229339E-2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4"/>
        <v>0</v>
      </c>
      <c r="G56" s="2"/>
      <c r="H56" s="6">
        <v>2179.56</v>
      </c>
      <c r="I56" s="2"/>
      <c r="J56" s="7">
        <f t="shared" si="25"/>
        <v>0</v>
      </c>
      <c r="K56" s="2"/>
      <c r="L56" s="6">
        <f t="shared" si="26"/>
        <v>-2179.56</v>
      </c>
      <c r="M56" s="2"/>
      <c r="N56" s="7">
        <f t="shared" si="27"/>
        <v>-1</v>
      </c>
      <c r="O56" s="11"/>
      <c r="P56" s="6">
        <v>282.92</v>
      </c>
      <c r="Q56" s="2"/>
      <c r="R56" s="7">
        <f t="shared" si="28"/>
        <v>0</v>
      </c>
      <c r="S56" s="2"/>
      <c r="T56" s="6">
        <v>2508.8200000000002</v>
      </c>
      <c r="U56" s="2"/>
      <c r="V56" s="7">
        <f t="shared" si="29"/>
        <v>0</v>
      </c>
      <c r="W56" s="2"/>
      <c r="X56" s="6">
        <f t="shared" si="30"/>
        <v>-2225.9</v>
      </c>
      <c r="Y56" s="2"/>
      <c r="Z56" s="7">
        <f t="shared" si="31"/>
        <v>-0.88722985307833957</v>
      </c>
    </row>
    <row r="57" spans="1:26" s="26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1886.01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-1886.01</v>
      </c>
      <c r="M57" s="1"/>
      <c r="N57" s="5">
        <f t="shared" ref="N57:N59" si="35">IF(H57=0,0,L57/H57)</f>
        <v>-1</v>
      </c>
      <c r="O57" s="13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25">
      <c r="A58" s="25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587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0</v>
      </c>
      <c r="Y58" s="2"/>
      <c r="Z58" s="7">
        <f t="shared" si="39"/>
        <v>0</v>
      </c>
    </row>
    <row r="59" spans="1:26" s="24" customFormat="1" hidden="1" outlineLevel="2" x14ac:dyDescent="0.25">
      <c r="A59" s="25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2"/>
        <v>0</v>
      </c>
      <c r="G59" s="2"/>
      <c r="H59" s="6">
        <v>1886.01</v>
      </c>
      <c r="I59" s="2"/>
      <c r="J59" s="7">
        <f t="shared" si="33"/>
        <v>0</v>
      </c>
      <c r="K59" s="2"/>
      <c r="L59" s="6">
        <f t="shared" si="34"/>
        <v>-1886.01</v>
      </c>
      <c r="M59" s="2"/>
      <c r="N59" s="7">
        <f t="shared" si="35"/>
        <v>-1</v>
      </c>
      <c r="O59" s="11"/>
      <c r="P59" s="6"/>
      <c r="Q59" s="2"/>
      <c r="R59" s="7">
        <f t="shared" si="36"/>
        <v>0</v>
      </c>
      <c r="S59" s="2"/>
      <c r="T59" s="6">
        <v>1886.01</v>
      </c>
      <c r="U59" s="2"/>
      <c r="V59" s="7">
        <f t="shared" si="37"/>
        <v>0</v>
      </c>
      <c r="W59" s="2"/>
      <c r="X59" s="6">
        <f t="shared" si="38"/>
        <v>-1886.01</v>
      </c>
      <c r="Y59" s="2"/>
      <c r="Z59" s="7">
        <f t="shared" si="39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2563.0300000000002</v>
      </c>
      <c r="E60" s="1"/>
      <c r="F60" s="5">
        <f t="shared" ref="F60:F63" si="40">IF(D$12=0,0,D60/D$12)</f>
        <v>0</v>
      </c>
      <c r="G60" s="1"/>
      <c r="H60" s="1">
        <f>SUM(OSRRefH22_12x_0)</f>
        <v>1081.95</v>
      </c>
      <c r="I60" s="1"/>
      <c r="J60" s="5">
        <f t="shared" ref="J60:J63" si="41">IF(H$12=0,0,H60/H$12)</f>
        <v>0</v>
      </c>
      <c r="K60" s="1"/>
      <c r="L60" s="1">
        <f t="shared" ref="L60:L63" si="42">+D60-H60</f>
        <v>1481.0800000000002</v>
      </c>
      <c r="M60" s="1"/>
      <c r="N60" s="5">
        <f t="shared" ref="N60:N63" si="43">IF(H60=0,0,L60/H60)</f>
        <v>1.3688987476315913</v>
      </c>
      <c r="O60" s="13"/>
      <c r="P60" s="1">
        <f>SUM(OSRRefP22_12x_0)</f>
        <v>14953.490000000002</v>
      </c>
      <c r="Q60" s="1"/>
      <c r="R60" s="5">
        <f t="shared" ref="R60:R63" si="44">IF(P$12=0,0,P60/P$12)</f>
        <v>0</v>
      </c>
      <c r="S60" s="1"/>
      <c r="T60" s="1">
        <f>SUM(OSRRefT22_12x_0)</f>
        <v>11291.810000000001</v>
      </c>
      <c r="U60" s="1"/>
      <c r="V60" s="5">
        <f t="shared" ref="V60:V63" si="45">IF(T$12=0,0,T60/T$12)</f>
        <v>0</v>
      </c>
      <c r="W60" s="1"/>
      <c r="X60" s="1">
        <f t="shared" ref="X60:X63" si="46">+P60-T60</f>
        <v>3661.6800000000003</v>
      </c>
      <c r="Y60" s="1"/>
      <c r="Z60" s="5">
        <f t="shared" ref="Z60:Z63" si="47">IF(T60=0,0,X60/T60)</f>
        <v>0.32427750732610627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6">
        <v>2114.3200000000002</v>
      </c>
      <c r="E61" s="2"/>
      <c r="F61" s="7">
        <f t="shared" si="40"/>
        <v>0</v>
      </c>
      <c r="G61" s="2"/>
      <c r="H61" s="6">
        <v>283.75</v>
      </c>
      <c r="I61" s="2"/>
      <c r="J61" s="7">
        <f t="shared" si="41"/>
        <v>0</v>
      </c>
      <c r="K61" s="2"/>
      <c r="L61" s="6">
        <f t="shared" si="42"/>
        <v>1830.5700000000002</v>
      </c>
      <c r="M61" s="2"/>
      <c r="N61" s="7">
        <f t="shared" si="43"/>
        <v>6.4513480176211457</v>
      </c>
      <c r="O61" s="11"/>
      <c r="P61" s="6">
        <v>10949.36</v>
      </c>
      <c r="Q61" s="2"/>
      <c r="R61" s="7">
        <f t="shared" si="44"/>
        <v>0</v>
      </c>
      <c r="S61" s="2"/>
      <c r="T61" s="6">
        <v>7464.47</v>
      </c>
      <c r="U61" s="2"/>
      <c r="V61" s="7">
        <f t="shared" si="45"/>
        <v>0</v>
      </c>
      <c r="W61" s="2"/>
      <c r="X61" s="6">
        <f t="shared" si="46"/>
        <v>3484.8900000000003</v>
      </c>
      <c r="Y61" s="2"/>
      <c r="Z61" s="7">
        <f t="shared" si="47"/>
        <v>0.46686368891562297</v>
      </c>
    </row>
    <row r="62" spans="1:26" s="24" customFormat="1" hidden="1" outlineLevel="2" x14ac:dyDescent="0.25">
      <c r="A62" s="25"/>
      <c r="B62" s="11" t="str">
        <f>CONCATENATE("          ", "6244", " - ", "SAFETY SUPPLY EXPENSE")</f>
        <v xml:space="preserve">          6244 - SAFETY SUPPLY EXPENSE</v>
      </c>
      <c r="C62" s="11"/>
      <c r="D62" s="6">
        <v>275</v>
      </c>
      <c r="E62" s="2"/>
      <c r="F62" s="7">
        <f t="shared" si="40"/>
        <v>0</v>
      </c>
      <c r="G62" s="2"/>
      <c r="H62" s="6">
        <v>525</v>
      </c>
      <c r="I62" s="2"/>
      <c r="J62" s="7">
        <f t="shared" si="41"/>
        <v>0</v>
      </c>
      <c r="K62" s="2"/>
      <c r="L62" s="6">
        <f t="shared" si="42"/>
        <v>-250</v>
      </c>
      <c r="M62" s="2"/>
      <c r="N62" s="7">
        <f t="shared" si="43"/>
        <v>-0.47619047619047616</v>
      </c>
      <c r="O62" s="11"/>
      <c r="P62" s="6">
        <v>1832.33</v>
      </c>
      <c r="Q62" s="2"/>
      <c r="R62" s="7">
        <f t="shared" si="44"/>
        <v>0</v>
      </c>
      <c r="S62" s="2"/>
      <c r="T62" s="6">
        <v>2778.21</v>
      </c>
      <c r="U62" s="2"/>
      <c r="V62" s="7">
        <f t="shared" si="45"/>
        <v>0</v>
      </c>
      <c r="W62" s="2"/>
      <c r="X62" s="6">
        <f t="shared" si="46"/>
        <v>-945.88000000000011</v>
      </c>
      <c r="Y62" s="2"/>
      <c r="Z62" s="7">
        <f t="shared" si="47"/>
        <v>-0.34046382382901225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6">
        <v>173.71</v>
      </c>
      <c r="E63" s="2"/>
      <c r="F63" s="7">
        <f t="shared" si="40"/>
        <v>0</v>
      </c>
      <c r="G63" s="2"/>
      <c r="H63" s="6">
        <v>273.2</v>
      </c>
      <c r="I63" s="2"/>
      <c r="J63" s="7">
        <f t="shared" si="41"/>
        <v>0</v>
      </c>
      <c r="K63" s="2"/>
      <c r="L63" s="6">
        <f t="shared" si="42"/>
        <v>-99.489999999999981</v>
      </c>
      <c r="M63" s="2"/>
      <c r="N63" s="7">
        <f t="shared" si="43"/>
        <v>-0.36416544655929717</v>
      </c>
      <c r="O63" s="11"/>
      <c r="P63" s="6">
        <v>2171.8000000000002</v>
      </c>
      <c r="Q63" s="2"/>
      <c r="R63" s="7">
        <f t="shared" si="44"/>
        <v>0</v>
      </c>
      <c r="S63" s="2"/>
      <c r="T63" s="6">
        <v>1049.1300000000001</v>
      </c>
      <c r="U63" s="2"/>
      <c r="V63" s="7">
        <f t="shared" si="45"/>
        <v>0</v>
      </c>
      <c r="W63" s="2"/>
      <c r="X63" s="6">
        <f t="shared" si="46"/>
        <v>1122.67</v>
      </c>
      <c r="Y63" s="2"/>
      <c r="Z63" s="7">
        <f t="shared" si="47"/>
        <v>1.070096174925891</v>
      </c>
    </row>
    <row r="64" spans="1:26" s="26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314.55</v>
      </c>
      <c r="E64" s="1"/>
      <c r="F64" s="5">
        <f t="shared" ref="F64:F69" si="48">IF(D$12=0,0,D64/D$12)</f>
        <v>0</v>
      </c>
      <c r="G64" s="1"/>
      <c r="H64" s="1">
        <f>SUM(OSRRefH22_13x_0)</f>
        <v>-33.299999999999997</v>
      </c>
      <c r="I64" s="1"/>
      <c r="J64" s="5">
        <f t="shared" ref="J64:J69" si="49">IF(H$12=0,0,H64/H$12)</f>
        <v>0</v>
      </c>
      <c r="K64" s="1"/>
      <c r="L64" s="1">
        <f t="shared" ref="L64:L69" si="50">+D64-H64</f>
        <v>347.85</v>
      </c>
      <c r="M64" s="1"/>
      <c r="N64" s="5">
        <f t="shared" ref="N64:N69" si="51">IF(H64=0,0,L64/H64)</f>
        <v>-10.445945945945947</v>
      </c>
      <c r="O64" s="13"/>
      <c r="P64" s="1">
        <f>SUM(OSRRefP22_13x_0)</f>
        <v>2278.15</v>
      </c>
      <c r="Q64" s="1"/>
      <c r="R64" s="5">
        <f t="shared" ref="R64:R69" si="52">IF(P$12=0,0,P64/P$12)</f>
        <v>0</v>
      </c>
      <c r="S64" s="1"/>
      <c r="T64" s="1">
        <f>SUM(OSRRefT22_13x_0)</f>
        <v>2052.1</v>
      </c>
      <c r="U64" s="1"/>
      <c r="V64" s="5">
        <f t="shared" ref="V64:V69" si="53">IF(T$12=0,0,T64/T$12)</f>
        <v>0</v>
      </c>
      <c r="W64" s="1"/>
      <c r="X64" s="1">
        <f t="shared" ref="X64:X69" si="54">+P64-T64</f>
        <v>226.05000000000018</v>
      </c>
      <c r="Y64" s="1"/>
      <c r="Z64" s="5">
        <f t="shared" ref="Z64:Z69" si="55">IF(T64=0,0,X64/T64)</f>
        <v>0.11015545051410759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314.55</v>
      </c>
      <c r="E65" s="2"/>
      <c r="F65" s="7">
        <f t="shared" si="48"/>
        <v>0</v>
      </c>
      <c r="G65" s="2"/>
      <c r="H65" s="6">
        <v>-33.299999999999997</v>
      </c>
      <c r="I65" s="2"/>
      <c r="J65" s="7">
        <f t="shared" si="49"/>
        <v>0</v>
      </c>
      <c r="K65" s="2"/>
      <c r="L65" s="6">
        <f t="shared" si="50"/>
        <v>347.85</v>
      </c>
      <c r="M65" s="2"/>
      <c r="N65" s="7">
        <f t="shared" si="51"/>
        <v>-10.445945945945947</v>
      </c>
      <c r="O65" s="11"/>
      <c r="P65" s="6">
        <v>2278.15</v>
      </c>
      <c r="Q65" s="2"/>
      <c r="R65" s="7">
        <f t="shared" si="52"/>
        <v>0</v>
      </c>
      <c r="S65" s="2"/>
      <c r="T65" s="6">
        <v>2052.1</v>
      </c>
      <c r="U65" s="2"/>
      <c r="V65" s="7">
        <f t="shared" si="53"/>
        <v>0</v>
      </c>
      <c r="W65" s="2"/>
      <c r="X65" s="6">
        <f t="shared" si="54"/>
        <v>226.05000000000018</v>
      </c>
      <c r="Y65" s="2"/>
      <c r="Z65" s="7">
        <f t="shared" si="55"/>
        <v>0.11015545051410759</v>
      </c>
    </row>
    <row r="66" spans="1:26" s="26" customFormat="1" outlineLevel="1" collapsed="1" x14ac:dyDescent="0.25">
      <c r="A66" s="27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3305.59</v>
      </c>
      <c r="E66" s="1"/>
      <c r="F66" s="5">
        <f t="shared" si="48"/>
        <v>0</v>
      </c>
      <c r="G66" s="1"/>
      <c r="H66" s="1">
        <f>SUM(OSRRefH22_14x_0)</f>
        <v>3398.47</v>
      </c>
      <c r="I66" s="1"/>
      <c r="J66" s="5">
        <f t="shared" si="49"/>
        <v>0</v>
      </c>
      <c r="K66" s="1"/>
      <c r="L66" s="1">
        <f t="shared" si="50"/>
        <v>-92.879999999999654</v>
      </c>
      <c r="M66" s="1"/>
      <c r="N66" s="5">
        <f t="shared" si="51"/>
        <v>-2.7329945534313872E-2</v>
      </c>
      <c r="O66" s="13"/>
      <c r="P66" s="1">
        <f>SUM(OSRRefP22_14x_0)</f>
        <v>8784.7900000000009</v>
      </c>
      <c r="Q66" s="1"/>
      <c r="R66" s="5">
        <f t="shared" si="52"/>
        <v>0</v>
      </c>
      <c r="S66" s="1"/>
      <c r="T66" s="1">
        <f>SUM(OSRRefT22_14x_0)</f>
        <v>11602.4</v>
      </c>
      <c r="U66" s="1"/>
      <c r="V66" s="5">
        <f t="shared" si="53"/>
        <v>0</v>
      </c>
      <c r="W66" s="1"/>
      <c r="X66" s="1">
        <f t="shared" si="54"/>
        <v>-2817.6099999999988</v>
      </c>
      <c r="Y66" s="1"/>
      <c r="Z66" s="5">
        <f t="shared" si="55"/>
        <v>-0.24284716955112726</v>
      </c>
    </row>
    <row r="67" spans="1:26" s="24" customFormat="1" hidden="1" outlineLevel="2" x14ac:dyDescent="0.25">
      <c r="A67" s="25"/>
      <c r="B67" s="11" t="str">
        <f>CONCATENATE("          ", "6376", " - ", "TRAINING")</f>
        <v xml:space="preserve">          6376 - TRAINING</v>
      </c>
      <c r="C67" s="11"/>
      <c r="D67" s="6">
        <v>3305.59</v>
      </c>
      <c r="E67" s="2"/>
      <c r="F67" s="7">
        <f t="shared" si="48"/>
        <v>0</v>
      </c>
      <c r="G67" s="2"/>
      <c r="H67" s="6">
        <v>3398.47</v>
      </c>
      <c r="I67" s="2"/>
      <c r="J67" s="7">
        <f t="shared" si="49"/>
        <v>0</v>
      </c>
      <c r="K67" s="2"/>
      <c r="L67" s="6">
        <f t="shared" si="50"/>
        <v>-92.879999999999654</v>
      </c>
      <c r="M67" s="2"/>
      <c r="N67" s="7">
        <f t="shared" si="51"/>
        <v>-2.7329945534313872E-2</v>
      </c>
      <c r="O67" s="11"/>
      <c r="P67" s="6">
        <v>8784.7900000000009</v>
      </c>
      <c r="Q67" s="2"/>
      <c r="R67" s="7">
        <f t="shared" si="52"/>
        <v>0</v>
      </c>
      <c r="S67" s="2"/>
      <c r="T67" s="6">
        <v>11602.4</v>
      </c>
      <c r="U67" s="2"/>
      <c r="V67" s="7">
        <f t="shared" si="53"/>
        <v>0</v>
      </c>
      <c r="W67" s="2"/>
      <c r="X67" s="6">
        <f t="shared" si="54"/>
        <v>-2817.6099999999988</v>
      </c>
      <c r="Y67" s="2"/>
      <c r="Z67" s="7">
        <f t="shared" si="55"/>
        <v>-0.24284716955112726</v>
      </c>
    </row>
    <row r="68" spans="1:26" s="26" customFormat="1" outlineLevel="1" collapsed="1" x14ac:dyDescent="0.25">
      <c r="A68" s="27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SUM(OSRRefD22_15x_0)</f>
        <v>0</v>
      </c>
      <c r="E68" s="1"/>
      <c r="F68" s="5">
        <f t="shared" si="48"/>
        <v>0</v>
      </c>
      <c r="G68" s="1"/>
      <c r="H68" s="1">
        <f>SUM(OSRRefH22_15x_0)</f>
        <v>0</v>
      </c>
      <c r="I68" s="1"/>
      <c r="J68" s="5">
        <f t="shared" si="49"/>
        <v>0</v>
      </c>
      <c r="K68" s="1"/>
      <c r="L68" s="1">
        <f t="shared" si="50"/>
        <v>0</v>
      </c>
      <c r="M68" s="1"/>
      <c r="N68" s="5">
        <f t="shared" si="51"/>
        <v>0</v>
      </c>
      <c r="O68" s="13"/>
      <c r="P68" s="1">
        <f>SUM(OSRRefP22_15x_0)</f>
        <v>3487.01</v>
      </c>
      <c r="Q68" s="1"/>
      <c r="R68" s="5">
        <f t="shared" si="52"/>
        <v>0</v>
      </c>
      <c r="S68" s="1"/>
      <c r="T68" s="1">
        <f>SUM(OSRRefT22_15x_0)</f>
        <v>4678.8999999999996</v>
      </c>
      <c r="U68" s="1"/>
      <c r="V68" s="5">
        <f t="shared" si="53"/>
        <v>0</v>
      </c>
      <c r="W68" s="1"/>
      <c r="X68" s="1">
        <f t="shared" si="54"/>
        <v>-1191.8899999999994</v>
      </c>
      <c r="Y68" s="1"/>
      <c r="Z68" s="5">
        <f t="shared" si="55"/>
        <v>-0.25473722456132841</v>
      </c>
    </row>
    <row r="69" spans="1:26" s="24" customFormat="1" hidden="1" outlineLevel="2" x14ac:dyDescent="0.25">
      <c r="A69" s="25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48"/>
        <v>0</v>
      </c>
      <c r="G69" s="2"/>
      <c r="H69" s="6"/>
      <c r="I69" s="2"/>
      <c r="J69" s="7">
        <f t="shared" si="49"/>
        <v>0</v>
      </c>
      <c r="K69" s="2"/>
      <c r="L69" s="6">
        <f t="shared" si="50"/>
        <v>0</v>
      </c>
      <c r="M69" s="2"/>
      <c r="N69" s="7">
        <f t="shared" si="51"/>
        <v>0</v>
      </c>
      <c r="O69" s="11"/>
      <c r="P69" s="6">
        <v>3487.01</v>
      </c>
      <c r="Q69" s="2"/>
      <c r="R69" s="7">
        <f t="shared" si="52"/>
        <v>0</v>
      </c>
      <c r="S69" s="2"/>
      <c r="T69" s="6">
        <v>4678.8999999999996</v>
      </c>
      <c r="U69" s="2"/>
      <c r="V69" s="7">
        <f t="shared" si="53"/>
        <v>0</v>
      </c>
      <c r="W69" s="2"/>
      <c r="X69" s="6">
        <f t="shared" si="54"/>
        <v>-1191.8899999999994</v>
      </c>
      <c r="Y69" s="2"/>
      <c r="Z69" s="7">
        <f t="shared" si="55"/>
        <v>-0.25473722456132841</v>
      </c>
    </row>
    <row r="70" spans="1:26" s="59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+D16-D18+D71</f>
        <v>-71552.580000000016</v>
      </c>
      <c r="E73" s="14"/>
      <c r="F73" s="22">
        <f>IF(D$12=0,0,D73/D$12)</f>
        <v>0</v>
      </c>
      <c r="G73" s="14"/>
      <c r="H73" s="21">
        <f>+H16-H18+H71</f>
        <v>-60052.4</v>
      </c>
      <c r="I73" s="14"/>
      <c r="J73" s="22">
        <f>IF(H$12=0,0,H73/H$12)</f>
        <v>0</v>
      </c>
      <c r="K73" s="16"/>
      <c r="L73" s="21">
        <f>+D73-H73</f>
        <v>-11500.180000000015</v>
      </c>
      <c r="M73" s="16"/>
      <c r="N73" s="22">
        <f>IF(H73=0,0,L73/H73)</f>
        <v>0.19150242121880248</v>
      </c>
      <c r="O73" s="29"/>
      <c r="P73" s="21">
        <f>+P16-P18+P71</f>
        <v>-474151.29</v>
      </c>
      <c r="Q73" s="14"/>
      <c r="R73" s="22">
        <f>IF(P$12=0,0,P73/P$12)</f>
        <v>0</v>
      </c>
      <c r="S73" s="14"/>
      <c r="T73" s="21">
        <f>+T16-T18+T71</f>
        <v>-404257.57</v>
      </c>
      <c r="U73" s="14"/>
      <c r="V73" s="22">
        <f>IF(T$12=0,0,T73/T$12)</f>
        <v>0</v>
      </c>
      <c r="W73" s="16"/>
      <c r="X73" s="21">
        <f>+P73-T73</f>
        <v>-69893.719999999972</v>
      </c>
      <c r="Y73" s="16"/>
      <c r="Z73" s="22">
        <f>IF(T73=0,0,X73/T73)</f>
        <v>0.17289402892319361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4">
        <f>+D73-D75</f>
        <v>-71552.580000000016</v>
      </c>
      <c r="E77" s="14"/>
      <c r="F77" s="31">
        <f>IF(D$12=0,0,D77/D$12)</f>
        <v>0</v>
      </c>
      <c r="G77" s="14"/>
      <c r="H77" s="34">
        <f>+H73-H75</f>
        <v>-60052.4</v>
      </c>
      <c r="I77" s="14"/>
      <c r="J77" s="31">
        <f>IF(H$12=0,0,H77/H$12)</f>
        <v>0</v>
      </c>
      <c r="K77" s="16"/>
      <c r="L77" s="34">
        <f>D77-H77</f>
        <v>-11500.180000000015</v>
      </c>
      <c r="M77" s="16"/>
      <c r="N77" s="31">
        <f>IF(H77=0,0,L77/H77)</f>
        <v>0.19150242121880248</v>
      </c>
      <c r="O77" s="29"/>
      <c r="P77" s="34">
        <f>+P73-P75</f>
        <v>-474151.29</v>
      </c>
      <c r="Q77" s="14"/>
      <c r="R77" s="31">
        <f>IF(P$12=0,0,P77/P$12)</f>
        <v>0</v>
      </c>
      <c r="S77" s="14"/>
      <c r="T77" s="34">
        <f>+T73-T75</f>
        <v>-404257.57</v>
      </c>
      <c r="U77" s="14"/>
      <c r="V77" s="31">
        <f>IF(T$12=0,0,T77/T$12)</f>
        <v>0</v>
      </c>
      <c r="W77" s="16"/>
      <c r="X77" s="34">
        <f>P77-T77</f>
        <v>-69893.719999999972</v>
      </c>
      <c r="Y77" s="16"/>
      <c r="Z77" s="31">
        <f>IF(T77=0,0,X77/T77)</f>
        <v>0.17289402892319361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0">
        <f>SUM(D77:D79)</f>
        <v>-71552.580000000016</v>
      </c>
      <c r="E80" s="14"/>
      <c r="F80" s="33">
        <f>IF(D$12=0,0,D80/D$12)</f>
        <v>0</v>
      </c>
      <c r="G80" s="14"/>
      <c r="H80" s="30">
        <f>SUM(H77:H79)</f>
        <v>-60052.4</v>
      </c>
      <c r="I80" s="14"/>
      <c r="J80" s="33">
        <f>IF(H$12=0,0,H80/H$12)</f>
        <v>0</v>
      </c>
      <c r="K80" s="16"/>
      <c r="L80" s="30">
        <f>+D80-H80</f>
        <v>-11500.180000000015</v>
      </c>
      <c r="M80" s="16"/>
      <c r="N80" s="33">
        <f>IF(H80=0,0,L80/H80)</f>
        <v>0.19150242121880248</v>
      </c>
      <c r="O80" s="29"/>
      <c r="P80" s="30">
        <f>SUM(P77:P79)</f>
        <v>-474151.29</v>
      </c>
      <c r="Q80" s="14"/>
      <c r="R80" s="33">
        <f>IF(P$12=0,0,P80/P$12)</f>
        <v>0</v>
      </c>
      <c r="S80" s="14"/>
      <c r="T80" s="30">
        <f>SUM(T77:T79)</f>
        <v>-404257.57</v>
      </c>
      <c r="U80" s="14"/>
      <c r="V80" s="33">
        <f>IF(T$12=0,0,T80/T$12)</f>
        <v>0</v>
      </c>
      <c r="W80" s="16"/>
      <c r="X80" s="30">
        <f>+P80-T80</f>
        <v>-69893.719999999972</v>
      </c>
      <c r="Y80" s="16"/>
      <c r="Z80" s="33">
        <f>IF(T80=0,0,X80/T80)</f>
        <v>0.17289402892319361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43879.553615011573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8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","204", " - ", "Information Technology")</f>
        <v>Department 204 - Information Technology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64226.119999999995</v>
      </c>
      <c r="E18" s="20"/>
      <c r="F18" s="32">
        <f t="shared" ref="F18:F29" si="0">IF(D$12=0,0,D18/D$12)</f>
        <v>0</v>
      </c>
      <c r="G18" s="20"/>
      <c r="H18" s="20">
        <f>SUM(OSRRefH22x_0)</f>
        <v>62352.400000000009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1873.7199999999866</v>
      </c>
      <c r="M18" s="4"/>
      <c r="N18" s="32">
        <f t="shared" ref="N18:N29" si="3">IF(H18=0,0,L18/H18)</f>
        <v>3.0050487230643668E-2</v>
      </c>
      <c r="O18" s="10"/>
      <c r="P18" s="20">
        <f>SUM(OSRRefP22x_0)</f>
        <v>424825.43</v>
      </c>
      <c r="Q18" s="20"/>
      <c r="R18" s="32">
        <f t="shared" ref="R18:R29" si="4">IF(P$12=0,0,P18/P$12)</f>
        <v>0</v>
      </c>
      <c r="S18" s="20"/>
      <c r="T18" s="20">
        <f>SUM(OSRRefT22x_0)</f>
        <v>448930.68000000011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-24105.250000000116</v>
      </c>
      <c r="Y18" s="4"/>
      <c r="Z18" s="32">
        <f t="shared" ref="Z18:Z29" si="7">IF(T18=0,0,X18/T18)</f>
        <v>-5.3694815422283257E-2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13523.080000000002</v>
      </c>
      <c r="E19" s="1"/>
      <c r="F19" s="5">
        <f t="shared" si="0"/>
        <v>0</v>
      </c>
      <c r="G19" s="1"/>
      <c r="H19" s="1">
        <f>SUM(OSRRefH22_0x_0)</f>
        <v>15329.990000000002</v>
      </c>
      <c r="I19" s="1"/>
      <c r="J19" s="5">
        <f t="shared" si="1"/>
        <v>0</v>
      </c>
      <c r="K19" s="1"/>
      <c r="L19" s="1">
        <f t="shared" si="2"/>
        <v>-1806.9099999999999</v>
      </c>
      <c r="M19" s="1"/>
      <c r="N19" s="5">
        <f t="shared" si="3"/>
        <v>-0.11786765679560128</v>
      </c>
      <c r="O19" s="13"/>
      <c r="P19" s="1">
        <f>SUM(OSRRefP22_0x_0)</f>
        <v>91580.74</v>
      </c>
      <c r="Q19" s="1"/>
      <c r="R19" s="5">
        <f t="shared" si="4"/>
        <v>0</v>
      </c>
      <c r="S19" s="1"/>
      <c r="T19" s="1">
        <f>SUM(OSRRefT22_0x_0)</f>
        <v>103769.43</v>
      </c>
      <c r="U19" s="1"/>
      <c r="V19" s="5">
        <f t="shared" si="5"/>
        <v>0</v>
      </c>
      <c r="W19" s="1"/>
      <c r="X19" s="1">
        <f t="shared" si="6"/>
        <v>-12188.689999999988</v>
      </c>
      <c r="Y19" s="1"/>
      <c r="Z19" s="5">
        <f t="shared" si="7"/>
        <v>-0.11745935194979859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1921.5</v>
      </c>
      <c r="E20" s="2"/>
      <c r="F20" s="7">
        <f t="shared" si="0"/>
        <v>0</v>
      </c>
      <c r="G20" s="2"/>
      <c r="H20" s="6">
        <v>2336.8000000000002</v>
      </c>
      <c r="I20" s="2"/>
      <c r="J20" s="7">
        <f t="shared" si="1"/>
        <v>0</v>
      </c>
      <c r="K20" s="2"/>
      <c r="L20" s="6">
        <f t="shared" si="2"/>
        <v>-415.30000000000018</v>
      </c>
      <c r="M20" s="2"/>
      <c r="N20" s="7">
        <f t="shared" si="3"/>
        <v>-0.17772167066073269</v>
      </c>
      <c r="O20" s="11"/>
      <c r="P20" s="6">
        <v>15028.46</v>
      </c>
      <c r="Q20" s="2"/>
      <c r="R20" s="7">
        <f t="shared" si="4"/>
        <v>0</v>
      </c>
      <c r="S20" s="2"/>
      <c r="T20" s="6">
        <v>15768.390000000001</v>
      </c>
      <c r="U20" s="2"/>
      <c r="V20" s="7">
        <f t="shared" si="5"/>
        <v>0</v>
      </c>
      <c r="W20" s="2"/>
      <c r="X20" s="6">
        <f t="shared" si="6"/>
        <v>-739.93000000000211</v>
      </c>
      <c r="Y20" s="2"/>
      <c r="Z20" s="7">
        <f t="shared" si="7"/>
        <v>-4.692489214181042E-2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92.19</v>
      </c>
      <c r="E21" s="2"/>
      <c r="F21" s="7">
        <f t="shared" si="0"/>
        <v>0</v>
      </c>
      <c r="G21" s="2"/>
      <c r="H21" s="6">
        <v>95.58</v>
      </c>
      <c r="I21" s="2"/>
      <c r="J21" s="7">
        <f t="shared" si="1"/>
        <v>0</v>
      </c>
      <c r="K21" s="2"/>
      <c r="L21" s="6">
        <f t="shared" si="2"/>
        <v>-3.3900000000000006</v>
      </c>
      <c r="M21" s="2"/>
      <c r="N21" s="7">
        <f t="shared" si="3"/>
        <v>-3.5467671060891409E-2</v>
      </c>
      <c r="O21" s="11"/>
      <c r="P21" s="6">
        <v>550.69000000000005</v>
      </c>
      <c r="Q21" s="2"/>
      <c r="R21" s="7">
        <f t="shared" si="4"/>
        <v>0</v>
      </c>
      <c r="S21" s="2"/>
      <c r="T21" s="6">
        <v>684.09</v>
      </c>
      <c r="U21" s="2"/>
      <c r="V21" s="7">
        <f t="shared" si="5"/>
        <v>0</v>
      </c>
      <c r="W21" s="2"/>
      <c r="X21" s="6">
        <f t="shared" si="6"/>
        <v>-133.39999999999998</v>
      </c>
      <c r="Y21" s="2"/>
      <c r="Z21" s="7">
        <f t="shared" si="7"/>
        <v>-0.19500358140010812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7191</v>
      </c>
      <c r="I22" s="2"/>
      <c r="J22" s="7">
        <f t="shared" si="1"/>
        <v>0</v>
      </c>
      <c r="K22" s="2"/>
      <c r="L22" s="6">
        <f t="shared" si="2"/>
        <v>-1623.13</v>
      </c>
      <c r="M22" s="2"/>
      <c r="N22" s="7">
        <f t="shared" si="3"/>
        <v>-0.22571686830760673</v>
      </c>
      <c r="O22" s="11"/>
      <c r="P22" s="6">
        <v>36543.65</v>
      </c>
      <c r="Q22" s="2"/>
      <c r="R22" s="7">
        <f t="shared" si="4"/>
        <v>0</v>
      </c>
      <c r="S22" s="2"/>
      <c r="T22" s="6">
        <v>44751.619999999995</v>
      </c>
      <c r="U22" s="2"/>
      <c r="V22" s="7">
        <f t="shared" si="5"/>
        <v>0</v>
      </c>
      <c r="W22" s="2"/>
      <c r="X22" s="6">
        <f t="shared" si="6"/>
        <v>-8207.9699999999939</v>
      </c>
      <c r="Y22" s="2"/>
      <c r="Z22" s="7">
        <f t="shared" si="7"/>
        <v>-0.18341168431444482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70.5</v>
      </c>
      <c r="E23" s="2"/>
      <c r="F23" s="7">
        <f t="shared" si="0"/>
        <v>0</v>
      </c>
      <c r="G23" s="2"/>
      <c r="H23" s="6">
        <v>80.16</v>
      </c>
      <c r="I23" s="2"/>
      <c r="J23" s="7">
        <f t="shared" si="1"/>
        <v>0</v>
      </c>
      <c r="K23" s="2"/>
      <c r="L23" s="6">
        <f t="shared" si="2"/>
        <v>-9.6599999999999966</v>
      </c>
      <c r="M23" s="2"/>
      <c r="N23" s="7">
        <f t="shared" si="3"/>
        <v>-0.12050898203592811</v>
      </c>
      <c r="O23" s="11"/>
      <c r="P23" s="6">
        <v>547</v>
      </c>
      <c r="Q23" s="2"/>
      <c r="R23" s="7">
        <f t="shared" si="4"/>
        <v>0</v>
      </c>
      <c r="S23" s="2"/>
      <c r="T23" s="6">
        <v>573.74</v>
      </c>
      <c r="U23" s="2"/>
      <c r="V23" s="7">
        <f t="shared" si="5"/>
        <v>0</v>
      </c>
      <c r="W23" s="2"/>
      <c r="X23" s="6">
        <f t="shared" si="6"/>
        <v>-26.740000000000009</v>
      </c>
      <c r="Y23" s="2"/>
      <c r="Z23" s="7">
        <f t="shared" si="7"/>
        <v>-4.66064768013386E-2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2030.52</v>
      </c>
      <c r="E24" s="2"/>
      <c r="F24" s="7">
        <f t="shared" si="0"/>
        <v>0</v>
      </c>
      <c r="G24" s="2"/>
      <c r="H24" s="6">
        <v>2347.77</v>
      </c>
      <c r="I24" s="2"/>
      <c r="J24" s="7">
        <f t="shared" si="1"/>
        <v>0</v>
      </c>
      <c r="K24" s="2"/>
      <c r="L24" s="6">
        <f t="shared" si="2"/>
        <v>-317.25</v>
      </c>
      <c r="M24" s="2"/>
      <c r="N24" s="7">
        <f t="shared" si="3"/>
        <v>-0.13512822806322597</v>
      </c>
      <c r="O24" s="11"/>
      <c r="P24" s="6">
        <v>11805.58</v>
      </c>
      <c r="Q24" s="2"/>
      <c r="R24" s="7">
        <f t="shared" si="4"/>
        <v>0</v>
      </c>
      <c r="S24" s="2"/>
      <c r="T24" s="6">
        <v>13485.8</v>
      </c>
      <c r="U24" s="2"/>
      <c r="V24" s="7">
        <f t="shared" si="5"/>
        <v>0</v>
      </c>
      <c r="W24" s="2"/>
      <c r="X24" s="6">
        <f t="shared" si="6"/>
        <v>-1680.2199999999993</v>
      </c>
      <c r="Y24" s="2"/>
      <c r="Z24" s="7">
        <f t="shared" si="7"/>
        <v>-0.12459179284877422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134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738.59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738.59</v>
      </c>
      <c r="M26" s="2"/>
      <c r="N26" s="7">
        <f t="shared" si="3"/>
        <v>0</v>
      </c>
      <c r="O26" s="11"/>
      <c r="P26" s="6">
        <v>3130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3130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1438.28</v>
      </c>
      <c r="E27" s="2"/>
      <c r="F27" s="7">
        <f t="shared" si="0"/>
        <v>0</v>
      </c>
      <c r="G27" s="2"/>
      <c r="H27" s="6">
        <v>1603.3</v>
      </c>
      <c r="I27" s="2"/>
      <c r="J27" s="7">
        <f t="shared" si="1"/>
        <v>0</v>
      </c>
      <c r="K27" s="2"/>
      <c r="L27" s="6">
        <f t="shared" si="2"/>
        <v>-165.01999999999998</v>
      </c>
      <c r="M27" s="2"/>
      <c r="N27" s="7">
        <f t="shared" si="3"/>
        <v>-0.10292521674047277</v>
      </c>
      <c r="O27" s="11"/>
      <c r="P27" s="6">
        <v>11609.08</v>
      </c>
      <c r="Q27" s="2"/>
      <c r="R27" s="7">
        <f t="shared" si="4"/>
        <v>0</v>
      </c>
      <c r="S27" s="2"/>
      <c r="T27" s="6">
        <v>15555.02</v>
      </c>
      <c r="U27" s="2"/>
      <c r="V27" s="7">
        <f t="shared" si="5"/>
        <v>0</v>
      </c>
      <c r="W27" s="2"/>
      <c r="X27" s="6">
        <f t="shared" si="6"/>
        <v>-3945.9400000000005</v>
      </c>
      <c r="Y27" s="2"/>
      <c r="Z27" s="7">
        <f t="shared" si="7"/>
        <v>-0.25367630514136275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966.36</v>
      </c>
      <c r="E28" s="2"/>
      <c r="F28" s="7">
        <f t="shared" si="0"/>
        <v>0</v>
      </c>
      <c r="G28" s="2"/>
      <c r="H28" s="6">
        <v>927.44</v>
      </c>
      <c r="I28" s="2"/>
      <c r="J28" s="7">
        <f t="shared" si="1"/>
        <v>0</v>
      </c>
      <c r="K28" s="2"/>
      <c r="L28" s="6">
        <f t="shared" si="2"/>
        <v>38.919999999999959</v>
      </c>
      <c r="M28" s="2"/>
      <c r="N28" s="7">
        <f t="shared" si="3"/>
        <v>4.1964978866557361E-2</v>
      </c>
      <c r="O28" s="11"/>
      <c r="P28" s="6">
        <v>7773.02</v>
      </c>
      <c r="Q28" s="2"/>
      <c r="R28" s="7">
        <f t="shared" si="4"/>
        <v>0</v>
      </c>
      <c r="S28" s="2"/>
      <c r="T28" s="6">
        <v>8570.18</v>
      </c>
      <c r="U28" s="2"/>
      <c r="V28" s="7">
        <f t="shared" si="5"/>
        <v>0</v>
      </c>
      <c r="W28" s="2"/>
      <c r="X28" s="6">
        <f t="shared" si="6"/>
        <v>-797.15999999999985</v>
      </c>
      <c r="Y28" s="2"/>
      <c r="Z28" s="7">
        <f t="shared" si="7"/>
        <v>-9.3015549265009587E-2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697.27</v>
      </c>
      <c r="E29" s="2"/>
      <c r="F29" s="7">
        <f t="shared" si="0"/>
        <v>0</v>
      </c>
      <c r="G29" s="2"/>
      <c r="H29" s="6">
        <v>747.94</v>
      </c>
      <c r="I29" s="2"/>
      <c r="J29" s="7">
        <f t="shared" si="1"/>
        <v>0</v>
      </c>
      <c r="K29" s="2"/>
      <c r="L29" s="6">
        <f t="shared" si="2"/>
        <v>-50.670000000000073</v>
      </c>
      <c r="M29" s="2"/>
      <c r="N29" s="7">
        <f t="shared" si="3"/>
        <v>-6.7746075888440338E-2</v>
      </c>
      <c r="O29" s="11"/>
      <c r="P29" s="6">
        <v>4459.26</v>
      </c>
      <c r="Q29" s="2"/>
      <c r="R29" s="7">
        <f t="shared" si="4"/>
        <v>0</v>
      </c>
      <c r="S29" s="2"/>
      <c r="T29" s="6">
        <v>4380.59</v>
      </c>
      <c r="U29" s="2"/>
      <c r="V29" s="7">
        <f t="shared" si="5"/>
        <v>0</v>
      </c>
      <c r="W29" s="2"/>
      <c r="X29" s="6">
        <f t="shared" si="6"/>
        <v>78.670000000000073</v>
      </c>
      <c r="Y29" s="2"/>
      <c r="Z29" s="7">
        <f t="shared" si="7"/>
        <v>1.7958768111144861E-2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31723.230000000003</v>
      </c>
      <c r="E30" s="1"/>
      <c r="F30" s="5">
        <f t="shared" ref="F30:F36" si="8">IF(D$12=0,0,D30/D$12)</f>
        <v>0</v>
      </c>
      <c r="G30" s="1"/>
      <c r="H30" s="1">
        <f>SUM(OSRRefH22_1x_0)</f>
        <v>34504.14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-2780.9099999999962</v>
      </c>
      <c r="M30" s="1"/>
      <c r="N30" s="5">
        <f t="shared" ref="N30:N36" si="11">IF(H30=0,0,L30/H30)</f>
        <v>-8.0596415386675224E-2</v>
      </c>
      <c r="O30" s="13"/>
      <c r="P30" s="1">
        <f>SUM(OSRRefP22_1x_0)</f>
        <v>187876.75</v>
      </c>
      <c r="Q30" s="1"/>
      <c r="R30" s="5">
        <f t="shared" ref="R30:R36" si="12">IF(P$12=0,0,P30/P$12)</f>
        <v>0</v>
      </c>
      <c r="S30" s="1"/>
      <c r="T30" s="1">
        <f>SUM(OSRRefT22_1x_0)</f>
        <v>186675.03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1201.7200000000012</v>
      </c>
      <c r="Y30" s="1"/>
      <c r="Z30" s="5">
        <f t="shared" ref="Z30:Z36" si="15">IF(T30=0,0,X30/T30)</f>
        <v>6.4374972914160037E-3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14024.68</v>
      </c>
      <c r="E31" s="2"/>
      <c r="F31" s="7">
        <f t="shared" si="8"/>
        <v>0</v>
      </c>
      <c r="G31" s="2"/>
      <c r="H31" s="6">
        <v>19383.04</v>
      </c>
      <c r="I31" s="2"/>
      <c r="J31" s="7">
        <f t="shared" si="9"/>
        <v>0</v>
      </c>
      <c r="K31" s="2"/>
      <c r="L31" s="6">
        <f t="shared" si="10"/>
        <v>-5358.3600000000006</v>
      </c>
      <c r="M31" s="2"/>
      <c r="N31" s="7">
        <f t="shared" si="11"/>
        <v>-0.27644580003962227</v>
      </c>
      <c r="O31" s="11"/>
      <c r="P31" s="6">
        <v>88787.28</v>
      </c>
      <c r="Q31" s="2"/>
      <c r="R31" s="7">
        <f t="shared" si="12"/>
        <v>0</v>
      </c>
      <c r="S31" s="2"/>
      <c r="T31" s="6">
        <v>101576.95</v>
      </c>
      <c r="U31" s="2"/>
      <c r="V31" s="7">
        <f t="shared" si="13"/>
        <v>0</v>
      </c>
      <c r="W31" s="2"/>
      <c r="X31" s="6">
        <f t="shared" si="14"/>
        <v>-12789.669999999998</v>
      </c>
      <c r="Y31" s="2"/>
      <c r="Z31" s="7">
        <f t="shared" si="15"/>
        <v>-0.12591114421135896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>
        <v>9687.8700000000008</v>
      </c>
      <c r="E32" s="2"/>
      <c r="F32" s="7">
        <f t="shared" si="8"/>
        <v>0</v>
      </c>
      <c r="G32" s="2"/>
      <c r="H32" s="6">
        <v>7472.44</v>
      </c>
      <c r="I32" s="2"/>
      <c r="J32" s="7">
        <f t="shared" si="9"/>
        <v>0</v>
      </c>
      <c r="K32" s="2"/>
      <c r="L32" s="6">
        <f t="shared" si="10"/>
        <v>2215.4300000000012</v>
      </c>
      <c r="M32" s="2"/>
      <c r="N32" s="7">
        <f t="shared" si="11"/>
        <v>0.29648013232625503</v>
      </c>
      <c r="O32" s="11"/>
      <c r="P32" s="6">
        <v>56841.53</v>
      </c>
      <c r="Q32" s="2"/>
      <c r="R32" s="7">
        <f t="shared" si="12"/>
        <v>0</v>
      </c>
      <c r="S32" s="2"/>
      <c r="T32" s="6">
        <v>49730.51</v>
      </c>
      <c r="U32" s="2"/>
      <c r="V32" s="7">
        <f t="shared" si="13"/>
        <v>0</v>
      </c>
      <c r="W32" s="2"/>
      <c r="X32" s="6">
        <f t="shared" si="14"/>
        <v>7111.0199999999968</v>
      </c>
      <c r="Y32" s="2"/>
      <c r="Z32" s="7">
        <f t="shared" si="15"/>
        <v>0.14299109339518129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2145</v>
      </c>
      <c r="E33" s="2"/>
      <c r="F33" s="7">
        <f t="shared" si="8"/>
        <v>0</v>
      </c>
      <c r="G33" s="2"/>
      <c r="H33" s="6">
        <v>2940.75</v>
      </c>
      <c r="I33" s="2"/>
      <c r="J33" s="7">
        <f t="shared" si="9"/>
        <v>0</v>
      </c>
      <c r="K33" s="2"/>
      <c r="L33" s="6">
        <f t="shared" si="10"/>
        <v>-795.75</v>
      </c>
      <c r="M33" s="2"/>
      <c r="N33" s="7">
        <f t="shared" si="11"/>
        <v>-0.27059423616424383</v>
      </c>
      <c r="O33" s="11"/>
      <c r="P33" s="6">
        <v>17270.25</v>
      </c>
      <c r="Q33" s="2"/>
      <c r="R33" s="7">
        <f t="shared" si="12"/>
        <v>0</v>
      </c>
      <c r="S33" s="2"/>
      <c r="T33" s="6">
        <v>16800.009999999998</v>
      </c>
      <c r="U33" s="2"/>
      <c r="V33" s="7">
        <f t="shared" si="13"/>
        <v>0</v>
      </c>
      <c r="W33" s="2"/>
      <c r="X33" s="6">
        <f t="shared" si="14"/>
        <v>470.2400000000016</v>
      </c>
      <c r="Y33" s="2"/>
      <c r="Z33" s="7">
        <f t="shared" si="15"/>
        <v>2.7990459529488473E-2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1026.07</v>
      </c>
      <c r="I34" s="2"/>
      <c r="J34" s="7">
        <f t="shared" si="9"/>
        <v>0</v>
      </c>
      <c r="K34" s="2"/>
      <c r="L34" s="6">
        <f t="shared" si="10"/>
        <v>-1026.07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1026.07</v>
      </c>
      <c r="U34" s="2"/>
      <c r="V34" s="7">
        <f t="shared" si="13"/>
        <v>0</v>
      </c>
      <c r="W34" s="2"/>
      <c r="X34" s="6">
        <f t="shared" si="14"/>
        <v>-1026.07</v>
      </c>
      <c r="Y34" s="2"/>
      <c r="Z34" s="7">
        <f t="shared" si="15"/>
        <v>-1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5865.68</v>
      </c>
      <c r="E35" s="2"/>
      <c r="F35" s="7">
        <f t="shared" si="8"/>
        <v>0</v>
      </c>
      <c r="G35" s="2"/>
      <c r="H35" s="6">
        <v>3681.84</v>
      </c>
      <c r="I35" s="2"/>
      <c r="J35" s="7">
        <f t="shared" si="9"/>
        <v>0</v>
      </c>
      <c r="K35" s="2"/>
      <c r="L35" s="6">
        <f t="shared" si="10"/>
        <v>2183.84</v>
      </c>
      <c r="M35" s="2"/>
      <c r="N35" s="7">
        <f t="shared" si="11"/>
        <v>0.59313821350194473</v>
      </c>
      <c r="O35" s="11"/>
      <c r="P35" s="6">
        <v>22457.69</v>
      </c>
      <c r="Q35" s="2"/>
      <c r="R35" s="7">
        <f t="shared" si="12"/>
        <v>0</v>
      </c>
      <c r="S35" s="2"/>
      <c r="T35" s="6">
        <v>17541.489999999998</v>
      </c>
      <c r="U35" s="2"/>
      <c r="V35" s="7">
        <f t="shared" si="13"/>
        <v>0</v>
      </c>
      <c r="W35" s="2"/>
      <c r="X35" s="6">
        <f t="shared" si="14"/>
        <v>4916.2000000000007</v>
      </c>
      <c r="Y35" s="2"/>
      <c r="Z35" s="7">
        <f t="shared" si="15"/>
        <v>0.28026125488769776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2520</v>
      </c>
      <c r="Q36" s="2"/>
      <c r="R36" s="7">
        <f t="shared" si="12"/>
        <v>0</v>
      </c>
      <c r="S36" s="2"/>
      <c r="T36" s="6"/>
      <c r="U36" s="2"/>
      <c r="V36" s="7">
        <f t="shared" si="13"/>
        <v>0</v>
      </c>
      <c r="W36" s="2"/>
      <c r="X36" s="6">
        <f t="shared" si="14"/>
        <v>2520</v>
      </c>
      <c r="Y36" s="2"/>
      <c r="Z36" s="7">
        <f t="shared" si="15"/>
        <v>0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586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-586</v>
      </c>
      <c r="M37" s="1"/>
      <c r="N37" s="5">
        <f t="shared" ref="N37:N41" si="19">IF(H37=0,0,L37/H37)</f>
        <v>-1</v>
      </c>
      <c r="O37" s="13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598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-588.01</v>
      </c>
      <c r="Y37" s="1"/>
      <c r="Z37" s="5">
        <f t="shared" ref="Z37:Z41" si="23">IF(T37=0,0,X37/T37)</f>
        <v>-0.98329431438127091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16"/>
        <v>0</v>
      </c>
      <c r="G38" s="2"/>
      <c r="H38" s="6">
        <v>586</v>
      </c>
      <c r="I38" s="2"/>
      <c r="J38" s="7">
        <f t="shared" si="17"/>
        <v>0</v>
      </c>
      <c r="K38" s="2"/>
      <c r="L38" s="6">
        <f t="shared" si="18"/>
        <v>-586</v>
      </c>
      <c r="M38" s="2"/>
      <c r="N38" s="7">
        <f t="shared" si="19"/>
        <v>-1</v>
      </c>
      <c r="O38" s="11"/>
      <c r="P38" s="6">
        <v>9.99</v>
      </c>
      <c r="Q38" s="2"/>
      <c r="R38" s="7">
        <f t="shared" si="20"/>
        <v>0</v>
      </c>
      <c r="S38" s="2"/>
      <c r="T38" s="6">
        <v>598</v>
      </c>
      <c r="U38" s="2"/>
      <c r="V38" s="7">
        <f t="shared" si="21"/>
        <v>0</v>
      </c>
      <c r="W38" s="2"/>
      <c r="X38" s="6">
        <f t="shared" si="22"/>
        <v>-588.01</v>
      </c>
      <c r="Y38" s="2"/>
      <c r="Z38" s="7">
        <f t="shared" si="23"/>
        <v>-0.98329431438127091</v>
      </c>
    </row>
    <row r="39" spans="1:26" s="26" customFormat="1" outlineLevel="1" collapsed="1" x14ac:dyDescent="0.25">
      <c r="A39" s="27"/>
      <c r="B39" s="13" t="str">
        <f>CONCATENATE("     ","Depreciation                                      ")</f>
        <v xml:space="preserve">     Depreciation                                      </v>
      </c>
      <c r="C39" s="13"/>
      <c r="D39" s="1">
        <f>SUM(OSRRefD22_3x_0)</f>
        <v>6175.97</v>
      </c>
      <c r="E39" s="1"/>
      <c r="F39" s="5">
        <f t="shared" si="16"/>
        <v>0</v>
      </c>
      <c r="G39" s="1"/>
      <c r="H39" s="1">
        <f>SUM(OSRRefH22_3x_0)</f>
        <v>7869.89</v>
      </c>
      <c r="I39" s="1"/>
      <c r="J39" s="5">
        <f t="shared" si="17"/>
        <v>0</v>
      </c>
      <c r="K39" s="1"/>
      <c r="L39" s="1">
        <f t="shared" si="18"/>
        <v>-1693.92</v>
      </c>
      <c r="M39" s="1"/>
      <c r="N39" s="5">
        <f t="shared" si="19"/>
        <v>-0.21524061962746621</v>
      </c>
      <c r="O39" s="13"/>
      <c r="P39" s="1">
        <f>SUM(OSRRefP22_3x_0)</f>
        <v>43231.79</v>
      </c>
      <c r="Q39" s="1"/>
      <c r="R39" s="5">
        <f t="shared" si="20"/>
        <v>0</v>
      </c>
      <c r="S39" s="1"/>
      <c r="T39" s="1">
        <f>SUM(OSRRefT22_3x_0)</f>
        <v>55089.23</v>
      </c>
      <c r="U39" s="1"/>
      <c r="V39" s="5">
        <f t="shared" si="21"/>
        <v>0</v>
      </c>
      <c r="W39" s="1"/>
      <c r="X39" s="1">
        <f t="shared" si="22"/>
        <v>-11857.440000000002</v>
      </c>
      <c r="Y39" s="1"/>
      <c r="Z39" s="5">
        <f t="shared" si="23"/>
        <v>-0.21524061962746624</v>
      </c>
    </row>
    <row r="40" spans="1:26" s="24" customFormat="1" hidden="1" outlineLevel="2" x14ac:dyDescent="0.25">
      <c r="A40" s="25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6175.97</v>
      </c>
      <c r="E40" s="2"/>
      <c r="F40" s="7">
        <f t="shared" si="16"/>
        <v>0</v>
      </c>
      <c r="G40" s="2"/>
      <c r="H40" s="6">
        <v>7547.85</v>
      </c>
      <c r="I40" s="2"/>
      <c r="J40" s="7">
        <f t="shared" si="17"/>
        <v>0</v>
      </c>
      <c r="K40" s="2"/>
      <c r="L40" s="6">
        <f t="shared" si="18"/>
        <v>-1371.88</v>
      </c>
      <c r="M40" s="2"/>
      <c r="N40" s="7">
        <f t="shared" si="19"/>
        <v>-0.18175771908556743</v>
      </c>
      <c r="O40" s="11"/>
      <c r="P40" s="6">
        <v>43231.79</v>
      </c>
      <c r="Q40" s="2"/>
      <c r="R40" s="7">
        <f t="shared" si="20"/>
        <v>0</v>
      </c>
      <c r="S40" s="2"/>
      <c r="T40" s="6">
        <v>52834.950000000004</v>
      </c>
      <c r="U40" s="2"/>
      <c r="V40" s="7">
        <f t="shared" si="21"/>
        <v>0</v>
      </c>
      <c r="W40" s="2"/>
      <c r="X40" s="6">
        <f t="shared" si="22"/>
        <v>-9603.1600000000035</v>
      </c>
      <c r="Y40" s="2"/>
      <c r="Z40" s="7">
        <f t="shared" si="23"/>
        <v>-0.18175771908556745</v>
      </c>
    </row>
    <row r="41" spans="1:26" s="24" customFormat="1" hidden="1" outlineLevel="2" x14ac:dyDescent="0.25">
      <c r="A41" s="25"/>
      <c r="B41" s="11" t="str">
        <f>CONCATENATE("          ", "6324", " - ", "FURNITURE + FIXT DEPRECIATION")</f>
        <v xml:space="preserve">          6324 - FURNITURE + FIXT DEPRECIATION</v>
      </c>
      <c r="C41" s="11"/>
      <c r="D41" s="6"/>
      <c r="E41" s="2"/>
      <c r="F41" s="7">
        <f t="shared" si="16"/>
        <v>0</v>
      </c>
      <c r="G41" s="2"/>
      <c r="H41" s="6">
        <v>322.04000000000002</v>
      </c>
      <c r="I41" s="2"/>
      <c r="J41" s="7">
        <f t="shared" si="17"/>
        <v>0</v>
      </c>
      <c r="K41" s="2"/>
      <c r="L41" s="6">
        <f t="shared" si="18"/>
        <v>-322.04000000000002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2254.2800000000002</v>
      </c>
      <c r="U41" s="2"/>
      <c r="V41" s="7">
        <f t="shared" si="21"/>
        <v>0</v>
      </c>
      <c r="W41" s="2"/>
      <c r="X41" s="6">
        <f t="shared" si="22"/>
        <v>-2254.2800000000002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3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486.19</v>
      </c>
      <c r="U43" s="2"/>
      <c r="V43" s="7">
        <f t="shared" si="29"/>
        <v>0</v>
      </c>
      <c r="W43" s="2"/>
      <c r="X43" s="6">
        <f t="shared" si="30"/>
        <v>-486.19</v>
      </c>
      <c r="Y43" s="2"/>
      <c r="Z43" s="7">
        <f t="shared" si="31"/>
        <v>-1</v>
      </c>
    </row>
    <row r="44" spans="1:26" s="26" customFormat="1" outlineLevel="1" collapsed="1" x14ac:dyDescent="0.25">
      <c r="A44" s="27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53.08</v>
      </c>
      <c r="I44" s="1"/>
      <c r="J44" s="5">
        <f t="shared" si="25"/>
        <v>0</v>
      </c>
      <c r="K44" s="1"/>
      <c r="L44" s="1">
        <f t="shared" si="26"/>
        <v>3.2600000000000051</v>
      </c>
      <c r="M44" s="1"/>
      <c r="N44" s="5">
        <f t="shared" si="27"/>
        <v>6.1416729464958651E-2</v>
      </c>
      <c r="O44" s="13"/>
      <c r="P44" s="1">
        <f>SUM(OSRRefP22_5x_0)</f>
        <v>394.38</v>
      </c>
      <c r="Q44" s="1"/>
      <c r="R44" s="5">
        <f t="shared" si="28"/>
        <v>0</v>
      </c>
      <c r="S44" s="1"/>
      <c r="T44" s="1">
        <f>SUM(OSRRefT22_5x_0)</f>
        <v>371.56</v>
      </c>
      <c r="U44" s="1"/>
      <c r="V44" s="5">
        <f t="shared" si="29"/>
        <v>0</v>
      </c>
      <c r="W44" s="1"/>
      <c r="X44" s="1">
        <f t="shared" si="30"/>
        <v>22.819999999999993</v>
      </c>
      <c r="Y44" s="1"/>
      <c r="Z44" s="5">
        <f t="shared" si="31"/>
        <v>6.1416729464958533E-2</v>
      </c>
    </row>
    <row r="45" spans="1:26" s="24" customFormat="1" hidden="1" outlineLevel="2" x14ac:dyDescent="0.25">
      <c r="A45" s="25"/>
      <c r="B45" s="11" t="str">
        <f>CONCATENATE("          ", "6314", " - ", "LIABILITY INSURANCE")</f>
        <v xml:space="preserve">          6314 - LIABILITY INSURANCE</v>
      </c>
      <c r="C45" s="11"/>
      <c r="D45" s="6">
        <v>56.34</v>
      </c>
      <c r="E45" s="2"/>
      <c r="F45" s="7">
        <f t="shared" si="24"/>
        <v>0</v>
      </c>
      <c r="G45" s="2"/>
      <c r="H45" s="6">
        <v>53.08</v>
      </c>
      <c r="I45" s="2"/>
      <c r="J45" s="7">
        <f t="shared" si="25"/>
        <v>0</v>
      </c>
      <c r="K45" s="2"/>
      <c r="L45" s="6">
        <f t="shared" si="26"/>
        <v>3.2600000000000051</v>
      </c>
      <c r="M45" s="2"/>
      <c r="N45" s="7">
        <f t="shared" si="27"/>
        <v>6.1416729464958651E-2</v>
      </c>
      <c r="O45" s="11"/>
      <c r="P45" s="6">
        <v>394.38</v>
      </c>
      <c r="Q45" s="2"/>
      <c r="R45" s="7">
        <f t="shared" si="28"/>
        <v>0</v>
      </c>
      <c r="S45" s="2"/>
      <c r="T45" s="6">
        <v>371.56</v>
      </c>
      <c r="U45" s="2"/>
      <c r="V45" s="7">
        <f t="shared" si="29"/>
        <v>0</v>
      </c>
      <c r="W45" s="2"/>
      <c r="X45" s="6">
        <f t="shared" si="30"/>
        <v>22.819999999999993</v>
      </c>
      <c r="Y45" s="2"/>
      <c r="Z45" s="7">
        <f t="shared" si="31"/>
        <v>6.1416729464958533E-2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9698.69</v>
      </c>
      <c r="E46" s="1"/>
      <c r="F46" s="5">
        <f t="shared" si="24"/>
        <v>0</v>
      </c>
      <c r="G46" s="1"/>
      <c r="H46" s="1">
        <f>SUM(OSRRefH22_6x_0)</f>
        <v>8709.9</v>
      </c>
      <c r="I46" s="1"/>
      <c r="J46" s="5">
        <f t="shared" si="25"/>
        <v>0</v>
      </c>
      <c r="K46" s="1"/>
      <c r="L46" s="1">
        <f t="shared" si="26"/>
        <v>988.79000000000087</v>
      </c>
      <c r="M46" s="1"/>
      <c r="N46" s="5">
        <f t="shared" si="27"/>
        <v>0.11352483955039679</v>
      </c>
      <c r="O46" s="13"/>
      <c r="P46" s="1">
        <f>SUM(OSRRefP22_6x_0)</f>
        <v>67052.94</v>
      </c>
      <c r="Q46" s="1"/>
      <c r="R46" s="5">
        <f t="shared" si="28"/>
        <v>0</v>
      </c>
      <c r="S46" s="1"/>
      <c r="T46" s="1">
        <f>SUM(OSRRefT22_6x_0)</f>
        <v>62654.310000000005</v>
      </c>
      <c r="U46" s="1"/>
      <c r="V46" s="5">
        <f t="shared" si="29"/>
        <v>0</v>
      </c>
      <c r="W46" s="1"/>
      <c r="X46" s="1">
        <f t="shared" si="30"/>
        <v>4398.6299999999974</v>
      </c>
      <c r="Y46" s="1"/>
      <c r="Z46" s="5">
        <f t="shared" si="31"/>
        <v>7.0204747287137895E-2</v>
      </c>
    </row>
    <row r="47" spans="1:26" s="24" customFormat="1" hidden="1" outlineLevel="2" x14ac:dyDescent="0.25">
      <c r="A47" s="25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209.75</v>
      </c>
      <c r="E47" s="2"/>
      <c r="F47" s="7">
        <f t="shared" si="24"/>
        <v>0</v>
      </c>
      <c r="G47" s="2"/>
      <c r="H47" s="6">
        <v>150.9</v>
      </c>
      <c r="I47" s="2"/>
      <c r="J47" s="7">
        <f t="shared" si="25"/>
        <v>0</v>
      </c>
      <c r="K47" s="2"/>
      <c r="L47" s="6">
        <f t="shared" si="26"/>
        <v>58.849999999999994</v>
      </c>
      <c r="M47" s="2"/>
      <c r="N47" s="7">
        <f t="shared" si="27"/>
        <v>0.38999337309476467</v>
      </c>
      <c r="O47" s="11"/>
      <c r="P47" s="6">
        <v>755.45</v>
      </c>
      <c r="Q47" s="2"/>
      <c r="R47" s="7">
        <f t="shared" si="28"/>
        <v>0</v>
      </c>
      <c r="S47" s="2"/>
      <c r="T47" s="6">
        <v>1511.87</v>
      </c>
      <c r="U47" s="2"/>
      <c r="V47" s="7">
        <f t="shared" si="29"/>
        <v>0</v>
      </c>
      <c r="W47" s="2"/>
      <c r="X47" s="6">
        <f t="shared" si="30"/>
        <v>-756.41999999999985</v>
      </c>
      <c r="Y47" s="2"/>
      <c r="Z47" s="7">
        <f t="shared" si="31"/>
        <v>-0.50032079477732871</v>
      </c>
    </row>
    <row r="48" spans="1:26" s="24" customFormat="1" hidden="1" outlineLevel="2" x14ac:dyDescent="0.25">
      <c r="A48" s="25"/>
      <c r="B48" s="11" t="str">
        <f>CONCATENATE("          ", "6372", " - ", "COMPUTER HARDWARE MAINTENANCE")</f>
        <v xml:space="preserve">          6372 - COMPUTER HARDWARE MAINTENANCE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321.92</v>
      </c>
      <c r="U48" s="2"/>
      <c r="V48" s="7">
        <f t="shared" si="29"/>
        <v>0</v>
      </c>
      <c r="W48" s="2"/>
      <c r="X48" s="6">
        <f t="shared" si="30"/>
        <v>-321.92</v>
      </c>
      <c r="Y48" s="2"/>
      <c r="Z48" s="7">
        <f t="shared" si="31"/>
        <v>-1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6">
        <v>9488.94</v>
      </c>
      <c r="E49" s="2"/>
      <c r="F49" s="7">
        <f t="shared" si="24"/>
        <v>0</v>
      </c>
      <c r="G49" s="2"/>
      <c r="H49" s="6">
        <v>8559</v>
      </c>
      <c r="I49" s="2"/>
      <c r="J49" s="7">
        <f t="shared" si="25"/>
        <v>0</v>
      </c>
      <c r="K49" s="2"/>
      <c r="L49" s="6">
        <f t="shared" si="26"/>
        <v>929.94000000000051</v>
      </c>
      <c r="M49" s="2"/>
      <c r="N49" s="7">
        <f t="shared" si="27"/>
        <v>0.10865054328776733</v>
      </c>
      <c r="O49" s="11"/>
      <c r="P49" s="6">
        <v>66139.090000000011</v>
      </c>
      <c r="Q49" s="2"/>
      <c r="R49" s="7">
        <f t="shared" si="28"/>
        <v>0</v>
      </c>
      <c r="S49" s="2"/>
      <c r="T49" s="6">
        <v>60022.15</v>
      </c>
      <c r="U49" s="2"/>
      <c r="V49" s="7">
        <f t="shared" si="29"/>
        <v>0</v>
      </c>
      <c r="W49" s="2"/>
      <c r="X49" s="6">
        <f t="shared" si="30"/>
        <v>6116.9400000000096</v>
      </c>
      <c r="Y49" s="2"/>
      <c r="Z49" s="7">
        <f t="shared" si="31"/>
        <v>0.10191137771639319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158.4</v>
      </c>
      <c r="Q50" s="2"/>
      <c r="R50" s="7">
        <f t="shared" si="28"/>
        <v>0</v>
      </c>
      <c r="S50" s="2"/>
      <c r="T50" s="6">
        <v>798.37</v>
      </c>
      <c r="U50" s="2"/>
      <c r="V50" s="7">
        <f t="shared" si="29"/>
        <v>0</v>
      </c>
      <c r="W50" s="2"/>
      <c r="X50" s="6">
        <f t="shared" si="30"/>
        <v>-639.97</v>
      </c>
      <c r="Y50" s="2"/>
      <c r="Z50" s="7">
        <f t="shared" si="31"/>
        <v>-0.80159575134336214</v>
      </c>
    </row>
    <row r="51" spans="1:26" s="26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1258.5899999999999</v>
      </c>
      <c r="E51" s="1"/>
      <c r="F51" s="5">
        <f t="shared" ref="F51:F53" si="32">IF(D$12=0,0,D51/D$12)</f>
        <v>0</v>
      </c>
      <c r="G51" s="1"/>
      <c r="H51" s="1">
        <f>SUM(OSRRefH22_7x_0)</f>
        <v>-5178.99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6437.58</v>
      </c>
      <c r="M51" s="1"/>
      <c r="N51" s="5">
        <f t="shared" ref="N51:N53" si="35">IF(H51=0,0,L51/H51)</f>
        <v>-1.2430184263727098</v>
      </c>
      <c r="O51" s="13"/>
      <c r="P51" s="1">
        <f>SUM(OSRRefP22_7x_0)</f>
        <v>22290.230000000003</v>
      </c>
      <c r="Q51" s="1"/>
      <c r="R51" s="5">
        <f t="shared" ref="R51:R53" si="36">IF(P$12=0,0,P51/P$12)</f>
        <v>0</v>
      </c>
      <c r="S51" s="1"/>
      <c r="T51" s="1">
        <f>SUM(OSRRefT22_7x_0)</f>
        <v>26310.479999999996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-4020.2499999999927</v>
      </c>
      <c r="Y51" s="1"/>
      <c r="Z51" s="5">
        <f t="shared" ref="Z51:Z53" si="39">IF(T51=0,0,X51/T51)</f>
        <v>-0.15280032899437765</v>
      </c>
    </row>
    <row r="52" spans="1:26" s="24" customFormat="1" hidden="1" outlineLevel="2" x14ac:dyDescent="0.25">
      <c r="A52" s="25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/>
      <c r="Q52" s="2"/>
      <c r="R52" s="7">
        <f t="shared" si="36"/>
        <v>0</v>
      </c>
      <c r="S52" s="2"/>
      <c r="T52" s="6">
        <v>1245.83</v>
      </c>
      <c r="U52" s="2"/>
      <c r="V52" s="7">
        <f t="shared" si="37"/>
        <v>0</v>
      </c>
      <c r="W52" s="2"/>
      <c r="X52" s="6">
        <f t="shared" si="38"/>
        <v>-1245.83</v>
      </c>
      <c r="Y52" s="2"/>
      <c r="Z52" s="7">
        <f t="shared" si="39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>
        <v>1258.5899999999999</v>
      </c>
      <c r="E53" s="2"/>
      <c r="F53" s="7">
        <f t="shared" si="32"/>
        <v>0</v>
      </c>
      <c r="G53" s="2"/>
      <c r="H53" s="6">
        <v>-5178.99</v>
      </c>
      <c r="I53" s="2"/>
      <c r="J53" s="7">
        <f t="shared" si="33"/>
        <v>0</v>
      </c>
      <c r="K53" s="2"/>
      <c r="L53" s="6">
        <f t="shared" si="34"/>
        <v>6437.58</v>
      </c>
      <c r="M53" s="2"/>
      <c r="N53" s="7">
        <f t="shared" si="35"/>
        <v>-1.2430184263727098</v>
      </c>
      <c r="O53" s="11"/>
      <c r="P53" s="6">
        <v>22290.230000000003</v>
      </c>
      <c r="Q53" s="2"/>
      <c r="R53" s="7">
        <f t="shared" si="36"/>
        <v>0</v>
      </c>
      <c r="S53" s="2"/>
      <c r="T53" s="6">
        <v>25064.649999999998</v>
      </c>
      <c r="U53" s="2"/>
      <c r="V53" s="7">
        <f t="shared" si="37"/>
        <v>0</v>
      </c>
      <c r="W53" s="2"/>
      <c r="X53" s="6">
        <f t="shared" si="38"/>
        <v>-2774.4199999999946</v>
      </c>
      <c r="Y53" s="2"/>
      <c r="Z53" s="7">
        <f t="shared" si="39"/>
        <v>-0.11069055422676936</v>
      </c>
    </row>
    <row r="54" spans="1:26" s="26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869.23</v>
      </c>
      <c r="E54" s="1"/>
      <c r="F54" s="5">
        <f t="shared" ref="F54:F56" si="40">IF(D$12=0,0,D54/D$12)</f>
        <v>0</v>
      </c>
      <c r="G54" s="1"/>
      <c r="H54" s="1">
        <f>SUM(OSRRefH22_8x_0)</f>
        <v>537.39</v>
      </c>
      <c r="I54" s="1"/>
      <c r="J54" s="5">
        <f t="shared" ref="J54:J56" si="41">IF(H$12=0,0,H54/H$12)</f>
        <v>0</v>
      </c>
      <c r="K54" s="1"/>
      <c r="L54" s="1">
        <f t="shared" ref="L54:L56" si="42">+D54-H54</f>
        <v>331.84000000000003</v>
      </c>
      <c r="M54" s="1"/>
      <c r="N54" s="5">
        <f t="shared" ref="N54:N56" si="43">IF(H54=0,0,L54/H54)</f>
        <v>0.61750311691695048</v>
      </c>
      <c r="O54" s="13"/>
      <c r="P54" s="1">
        <f>SUM(OSRRefP22_8x_0)</f>
        <v>9601.35</v>
      </c>
      <c r="Q54" s="1"/>
      <c r="R54" s="5">
        <f t="shared" ref="R54:R56" si="44">IF(P$12=0,0,P54/P$12)</f>
        <v>0</v>
      </c>
      <c r="S54" s="1"/>
      <c r="T54" s="1">
        <f>SUM(OSRRefT22_8x_0)</f>
        <v>7254.89</v>
      </c>
      <c r="U54" s="1"/>
      <c r="V54" s="5">
        <f t="shared" ref="V54:V56" si="45">IF(T$12=0,0,T54/T$12)</f>
        <v>0</v>
      </c>
      <c r="W54" s="1"/>
      <c r="X54" s="1">
        <f t="shared" ref="X54:X56" si="46">+P54-T54</f>
        <v>2346.46</v>
      </c>
      <c r="Y54" s="1"/>
      <c r="Z54" s="5">
        <f t="shared" ref="Z54:Z56" si="47">IF(T54=0,0,X54/T54)</f>
        <v>0.32343150619788857</v>
      </c>
    </row>
    <row r="55" spans="1:26" s="24" customFormat="1" hidden="1" outlineLevel="2" x14ac:dyDescent="0.25">
      <c r="A55" s="25"/>
      <c r="B55" s="11" t="str">
        <f>CONCATENATE("          ", "6303", " - ", "DATA PHONE LINES")</f>
        <v xml:space="preserve">          6303 - DATA PHONE LINES</v>
      </c>
      <c r="C55" s="11"/>
      <c r="D55" s="6">
        <v>78.989999999999995</v>
      </c>
      <c r="E55" s="2"/>
      <c r="F55" s="7">
        <f t="shared" si="40"/>
        <v>0</v>
      </c>
      <c r="G55" s="2"/>
      <c r="H55" s="6">
        <v>180.98</v>
      </c>
      <c r="I55" s="2"/>
      <c r="J55" s="7">
        <f t="shared" si="41"/>
        <v>0</v>
      </c>
      <c r="K55" s="2"/>
      <c r="L55" s="6">
        <f t="shared" si="42"/>
        <v>-101.99</v>
      </c>
      <c r="M55" s="2"/>
      <c r="N55" s="7">
        <f t="shared" si="43"/>
        <v>-0.56354293292076474</v>
      </c>
      <c r="O55" s="11"/>
      <c r="P55" s="6">
        <v>1105.06</v>
      </c>
      <c r="Q55" s="2"/>
      <c r="R55" s="7">
        <f t="shared" si="44"/>
        <v>0</v>
      </c>
      <c r="S55" s="2"/>
      <c r="T55" s="6">
        <v>1129.67</v>
      </c>
      <c r="U55" s="2"/>
      <c r="V55" s="7">
        <f t="shared" si="45"/>
        <v>0</v>
      </c>
      <c r="W55" s="2"/>
      <c r="X55" s="6">
        <f t="shared" si="46"/>
        <v>-24.610000000000127</v>
      </c>
      <c r="Y55" s="2"/>
      <c r="Z55" s="7">
        <f t="shared" si="47"/>
        <v>-2.1785123089043814E-2</v>
      </c>
    </row>
    <row r="56" spans="1:26" s="24" customFormat="1" hidden="1" outlineLevel="2" x14ac:dyDescent="0.25">
      <c r="A56" s="25"/>
      <c r="B56" s="11" t="str">
        <f>CONCATENATE("          ", "6309", " - ", "TELEPHONE")</f>
        <v xml:space="preserve">          6309 - TELEPHONE</v>
      </c>
      <c r="C56" s="11"/>
      <c r="D56" s="6">
        <v>790.24</v>
      </c>
      <c r="E56" s="2"/>
      <c r="F56" s="7">
        <f t="shared" si="40"/>
        <v>0</v>
      </c>
      <c r="G56" s="2"/>
      <c r="H56" s="6">
        <v>356.41</v>
      </c>
      <c r="I56" s="2"/>
      <c r="J56" s="7">
        <f t="shared" si="41"/>
        <v>0</v>
      </c>
      <c r="K56" s="2"/>
      <c r="L56" s="6">
        <f t="shared" si="42"/>
        <v>433.83</v>
      </c>
      <c r="M56" s="2"/>
      <c r="N56" s="7">
        <f t="shared" si="43"/>
        <v>1.2172217390084452</v>
      </c>
      <c r="O56" s="11"/>
      <c r="P56" s="6">
        <v>8496.2900000000009</v>
      </c>
      <c r="Q56" s="2"/>
      <c r="R56" s="7">
        <f t="shared" si="44"/>
        <v>0</v>
      </c>
      <c r="S56" s="2"/>
      <c r="T56" s="6">
        <v>6125.22</v>
      </c>
      <c r="U56" s="2"/>
      <c r="V56" s="7">
        <f t="shared" si="45"/>
        <v>0</v>
      </c>
      <c r="W56" s="2"/>
      <c r="X56" s="6">
        <f t="shared" si="46"/>
        <v>2371.0700000000006</v>
      </c>
      <c r="Y56" s="2"/>
      <c r="Z56" s="7">
        <f t="shared" si="47"/>
        <v>0.38709956540336521</v>
      </c>
    </row>
    <row r="57" spans="1:26" s="26" customFormat="1" outlineLevel="1" collapsed="1" x14ac:dyDescent="0.25">
      <c r="A57" s="27"/>
      <c r="B57" s="13" t="str">
        <f>CONCATENATE("     ","Training                                          ")</f>
        <v xml:space="preserve">     Training                                          </v>
      </c>
      <c r="C57" s="13"/>
      <c r="D57" s="1">
        <f>SUM(OSRRefD22_9x_0)</f>
        <v>920.99</v>
      </c>
      <c r="E57" s="1"/>
      <c r="F57" s="5">
        <f t="shared" ref="F57:F61" si="48">IF(D$12=0,0,D57/D$12)</f>
        <v>0</v>
      </c>
      <c r="G57" s="1"/>
      <c r="H57" s="1">
        <f>SUM(OSRRefH22_9x_0)</f>
        <v>-59</v>
      </c>
      <c r="I57" s="1"/>
      <c r="J57" s="5">
        <f t="shared" ref="J57:J61" si="49">IF(H$12=0,0,H57/H$12)</f>
        <v>0</v>
      </c>
      <c r="K57" s="1"/>
      <c r="L57" s="1">
        <f t="shared" ref="L57:L61" si="50">+D57-H57</f>
        <v>979.99</v>
      </c>
      <c r="M57" s="1"/>
      <c r="N57" s="5">
        <f t="shared" ref="N57:N61" si="51">IF(H57=0,0,L57/H57)</f>
        <v>-16.61</v>
      </c>
      <c r="O57" s="13"/>
      <c r="P57" s="1">
        <f>SUM(OSRRefP22_9x_0)</f>
        <v>1404.05</v>
      </c>
      <c r="Q57" s="1"/>
      <c r="R57" s="5">
        <f t="shared" ref="R57:R61" si="52">IF(P$12=0,0,P57/P$12)</f>
        <v>0</v>
      </c>
      <c r="S57" s="1"/>
      <c r="T57" s="1">
        <f>SUM(OSRRefT22_9x_0)</f>
        <v>5566.78</v>
      </c>
      <c r="U57" s="1"/>
      <c r="V57" s="5">
        <f t="shared" ref="V57:V61" si="53">IF(T$12=0,0,T57/T$12)</f>
        <v>0</v>
      </c>
      <c r="W57" s="1"/>
      <c r="X57" s="1">
        <f t="shared" ref="X57:X61" si="54">+P57-T57</f>
        <v>-4162.7299999999996</v>
      </c>
      <c r="Y57" s="1"/>
      <c r="Z57" s="5">
        <f t="shared" ref="Z57:Z61" si="55">IF(T57=0,0,X57/T57)</f>
        <v>-0.74778058410786841</v>
      </c>
    </row>
    <row r="58" spans="1:26" s="24" customFormat="1" hidden="1" outlineLevel="2" x14ac:dyDescent="0.25">
      <c r="A58" s="25"/>
      <c r="B58" s="11" t="str">
        <f>CONCATENATE("          ", "6376", " - ", "TRAINING")</f>
        <v xml:space="preserve">          6376 - TRAINING</v>
      </c>
      <c r="C58" s="11"/>
      <c r="D58" s="6">
        <v>920.99</v>
      </c>
      <c r="E58" s="2"/>
      <c r="F58" s="7">
        <f t="shared" si="48"/>
        <v>0</v>
      </c>
      <c r="G58" s="2"/>
      <c r="H58" s="6">
        <v>-59</v>
      </c>
      <c r="I58" s="2"/>
      <c r="J58" s="7">
        <f t="shared" si="49"/>
        <v>0</v>
      </c>
      <c r="K58" s="2"/>
      <c r="L58" s="6">
        <f t="shared" si="50"/>
        <v>979.99</v>
      </c>
      <c r="M58" s="2"/>
      <c r="N58" s="7">
        <f t="shared" si="51"/>
        <v>-16.61</v>
      </c>
      <c r="O58" s="11"/>
      <c r="P58" s="6">
        <v>1404.05</v>
      </c>
      <c r="Q58" s="2"/>
      <c r="R58" s="7">
        <f t="shared" si="52"/>
        <v>0</v>
      </c>
      <c r="S58" s="2"/>
      <c r="T58" s="6">
        <v>5566.78</v>
      </c>
      <c r="U58" s="2"/>
      <c r="V58" s="7">
        <f t="shared" si="53"/>
        <v>0</v>
      </c>
      <c r="W58" s="2"/>
      <c r="X58" s="6">
        <f t="shared" si="54"/>
        <v>-4162.7299999999996</v>
      </c>
      <c r="Y58" s="2"/>
      <c r="Z58" s="7">
        <f t="shared" si="55"/>
        <v>-0.74778058410786841</v>
      </c>
    </row>
    <row r="59" spans="1:26" s="26" customFormat="1" outlineLevel="1" collapsed="1" x14ac:dyDescent="0.25">
      <c r="A59" s="27"/>
      <c r="B59" s="13" t="str">
        <f>CONCATENATE("     ","Travel                                            ")</f>
        <v xml:space="preserve">     Travel                                            </v>
      </c>
      <c r="C59" s="13"/>
      <c r="D59" s="1">
        <f>SUM(OSRRefD22_10x_0)</f>
        <v>0</v>
      </c>
      <c r="E59" s="1"/>
      <c r="F59" s="5">
        <f t="shared" si="48"/>
        <v>0</v>
      </c>
      <c r="G59" s="1"/>
      <c r="H59" s="1">
        <f>SUM(OSRRefH22_10x_0)</f>
        <v>0</v>
      </c>
      <c r="I59" s="1"/>
      <c r="J59" s="5">
        <f t="shared" si="49"/>
        <v>0</v>
      </c>
      <c r="K59" s="1"/>
      <c r="L59" s="1">
        <f t="shared" si="50"/>
        <v>0</v>
      </c>
      <c r="M59" s="1"/>
      <c r="N59" s="5">
        <f t="shared" si="51"/>
        <v>0</v>
      </c>
      <c r="O59" s="13"/>
      <c r="P59" s="1">
        <f>SUM(OSRRefP22_10x_0)</f>
        <v>1383.21</v>
      </c>
      <c r="Q59" s="1"/>
      <c r="R59" s="5">
        <f t="shared" si="52"/>
        <v>0</v>
      </c>
      <c r="S59" s="1"/>
      <c r="T59" s="1">
        <f>SUM(OSRRefT22_10x_0)</f>
        <v>154.78</v>
      </c>
      <c r="U59" s="1"/>
      <c r="V59" s="5">
        <f t="shared" si="53"/>
        <v>0</v>
      </c>
      <c r="W59" s="1"/>
      <c r="X59" s="1">
        <f t="shared" si="54"/>
        <v>1228.43</v>
      </c>
      <c r="Y59" s="1"/>
      <c r="Z59" s="5">
        <f t="shared" si="55"/>
        <v>7.9366197183098599</v>
      </c>
    </row>
    <row r="60" spans="1:26" s="24" customFormat="1" hidden="1" outlineLevel="2" x14ac:dyDescent="0.25">
      <c r="A60" s="25"/>
      <c r="B60" s="11" t="str">
        <f>CONCATENATE("          ", "6292", " - ", "TRAVEL/CONFERENCE")</f>
        <v xml:space="preserve">          6292 - TRAVEL/CONFERENCE</v>
      </c>
      <c r="C60" s="11"/>
      <c r="D60" s="6"/>
      <c r="E60" s="2"/>
      <c r="F60" s="7">
        <f t="shared" si="48"/>
        <v>0</v>
      </c>
      <c r="G60" s="2"/>
      <c r="H60" s="6"/>
      <c r="I60" s="2"/>
      <c r="J60" s="7">
        <f t="shared" si="49"/>
        <v>0</v>
      </c>
      <c r="K60" s="2"/>
      <c r="L60" s="6">
        <f t="shared" si="50"/>
        <v>0</v>
      </c>
      <c r="M60" s="2"/>
      <c r="N60" s="7">
        <f t="shared" si="51"/>
        <v>0</v>
      </c>
      <c r="O60" s="11"/>
      <c r="P60" s="6">
        <v>1359.31</v>
      </c>
      <c r="Q60" s="2"/>
      <c r="R60" s="7">
        <f t="shared" si="52"/>
        <v>0</v>
      </c>
      <c r="S60" s="2"/>
      <c r="T60" s="6">
        <v>154.78</v>
      </c>
      <c r="U60" s="2"/>
      <c r="V60" s="7">
        <f t="shared" si="53"/>
        <v>0</v>
      </c>
      <c r="W60" s="2"/>
      <c r="X60" s="6">
        <f t="shared" si="54"/>
        <v>1204.53</v>
      </c>
      <c r="Y60" s="2"/>
      <c r="Z60" s="7">
        <f t="shared" si="55"/>
        <v>7.7822070034888222</v>
      </c>
    </row>
    <row r="61" spans="1:26" s="24" customFormat="1" hidden="1" outlineLevel="2" x14ac:dyDescent="0.25">
      <c r="A61" s="25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23.9</v>
      </c>
      <c r="Q61" s="2"/>
      <c r="R61" s="7">
        <f t="shared" si="52"/>
        <v>0</v>
      </c>
      <c r="S61" s="2"/>
      <c r="T61" s="6"/>
      <c r="U61" s="2"/>
      <c r="V61" s="7">
        <f t="shared" si="53"/>
        <v>0</v>
      </c>
      <c r="W61" s="2"/>
      <c r="X61" s="6">
        <f t="shared" si="54"/>
        <v>23.9</v>
      </c>
      <c r="Y61" s="2"/>
      <c r="Z61" s="7">
        <f t="shared" si="55"/>
        <v>0</v>
      </c>
    </row>
    <row r="62" spans="1:26" s="59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1">
        <f>+D16-D18+D63</f>
        <v>-64226.119999999995</v>
      </c>
      <c r="E65" s="14"/>
      <c r="F65" s="22">
        <f>IF(D$12=0,0,D65/D$12)</f>
        <v>0</v>
      </c>
      <c r="G65" s="14"/>
      <c r="H65" s="21">
        <f>+H16-H18+H63</f>
        <v>-62352.400000000009</v>
      </c>
      <c r="I65" s="14"/>
      <c r="J65" s="22">
        <f>IF(H$12=0,0,H65/H$12)</f>
        <v>0</v>
      </c>
      <c r="K65" s="16"/>
      <c r="L65" s="21">
        <f>+D65-H65</f>
        <v>-1873.7199999999866</v>
      </c>
      <c r="M65" s="16"/>
      <c r="N65" s="22">
        <f>IF(H65=0,0,L65/H65)</f>
        <v>3.0050487230643668E-2</v>
      </c>
      <c r="O65" s="29"/>
      <c r="P65" s="21">
        <f>+P16-P18+P63</f>
        <v>-424825.43</v>
      </c>
      <c r="Q65" s="14"/>
      <c r="R65" s="22">
        <f>IF(P$12=0,0,P65/P$12)</f>
        <v>0</v>
      </c>
      <c r="S65" s="14"/>
      <c r="T65" s="21">
        <f>+T16-T18+T63</f>
        <v>-448930.68000000011</v>
      </c>
      <c r="U65" s="14"/>
      <c r="V65" s="22">
        <f>IF(T$12=0,0,T65/T$12)</f>
        <v>0</v>
      </c>
      <c r="W65" s="16"/>
      <c r="X65" s="21">
        <f>+P65-T65</f>
        <v>24105.250000000116</v>
      </c>
      <c r="Y65" s="16"/>
      <c r="Z65" s="22">
        <f>IF(T65=0,0,X65/T65)</f>
        <v>-5.3694815422283257E-2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4">
        <f>+D65-D67</f>
        <v>-64226.119999999995</v>
      </c>
      <c r="E69" s="14"/>
      <c r="F69" s="31">
        <f>IF(D$12=0,0,D69/D$12)</f>
        <v>0</v>
      </c>
      <c r="G69" s="14"/>
      <c r="H69" s="34">
        <f>+H65-H67</f>
        <v>-62352.400000000009</v>
      </c>
      <c r="I69" s="14"/>
      <c r="J69" s="31">
        <f>IF(H$12=0,0,H69/H$12)</f>
        <v>0</v>
      </c>
      <c r="K69" s="16"/>
      <c r="L69" s="34">
        <f>D69-H69</f>
        <v>-1873.7199999999866</v>
      </c>
      <c r="M69" s="16"/>
      <c r="N69" s="31">
        <f>IF(H69=0,0,L69/H69)</f>
        <v>3.0050487230643668E-2</v>
      </c>
      <c r="O69" s="29"/>
      <c r="P69" s="34">
        <f>+P65-P67</f>
        <v>-424825.43</v>
      </c>
      <c r="Q69" s="14"/>
      <c r="R69" s="31">
        <f>IF(P$12=0,0,P69/P$12)</f>
        <v>0</v>
      </c>
      <c r="S69" s="14"/>
      <c r="T69" s="34">
        <f>+T65-T67</f>
        <v>-448930.68000000011</v>
      </c>
      <c r="U69" s="14"/>
      <c r="V69" s="31">
        <f>IF(T$12=0,0,T69/T$12)</f>
        <v>0</v>
      </c>
      <c r="W69" s="16"/>
      <c r="X69" s="34">
        <f>P69-T69</f>
        <v>24105.250000000116</v>
      </c>
      <c r="Y69" s="16"/>
      <c r="Z69" s="31">
        <f>IF(T69=0,0,X69/T69)</f>
        <v>-5.3694815422283257E-2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0">
        <f>SUM(D69:D71)</f>
        <v>-64226.119999999995</v>
      </c>
      <c r="E72" s="14"/>
      <c r="F72" s="33">
        <f>IF(D$12=0,0,D72/D$12)</f>
        <v>0</v>
      </c>
      <c r="G72" s="14"/>
      <c r="H72" s="30">
        <f>SUM(H69:H71)</f>
        <v>-62352.400000000009</v>
      </c>
      <c r="I72" s="14"/>
      <c r="J72" s="33">
        <f>IF(H$12=0,0,H72/H$12)</f>
        <v>0</v>
      </c>
      <c r="K72" s="16"/>
      <c r="L72" s="30">
        <f>+D72-H72</f>
        <v>-1873.7199999999866</v>
      </c>
      <c r="M72" s="16"/>
      <c r="N72" s="33">
        <f>IF(H72=0,0,L72/H72)</f>
        <v>3.0050487230643668E-2</v>
      </c>
      <c r="O72" s="29"/>
      <c r="P72" s="30">
        <f>SUM(P69:P71)</f>
        <v>-424825.43</v>
      </c>
      <c r="Q72" s="14"/>
      <c r="R72" s="33">
        <f>IF(P$12=0,0,P72/P$12)</f>
        <v>0</v>
      </c>
      <c r="S72" s="14"/>
      <c r="T72" s="30">
        <f>SUM(T69:T71)</f>
        <v>-448930.68000000011</v>
      </c>
      <c r="U72" s="14"/>
      <c r="V72" s="33">
        <f>IF(T$12=0,0,T72/T$12)</f>
        <v>0</v>
      </c>
      <c r="W72" s="16"/>
      <c r="X72" s="30">
        <f>+P72-T72</f>
        <v>24105.250000000116</v>
      </c>
      <c r="Y72" s="16"/>
      <c r="Z72" s="33">
        <f>IF(T72=0,0,X72/T72)</f>
        <v>-5.3694815422283257E-2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61">
        <v>43879.553629201386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5" t="s">
        <v>313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8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","205", " - ", "Maintenance")</f>
        <v>Department 205 - Maintenance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9742.5400000000009</v>
      </c>
      <c r="E18" s="20"/>
      <c r="F18" s="32">
        <f t="shared" ref="F18:F27" si="0">IF(D$12=0,0,D18/D$12)</f>
        <v>0</v>
      </c>
      <c r="G18" s="20"/>
      <c r="H18" s="20">
        <f>SUM(OSRRefH22x_0)</f>
        <v>8074.55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1667.9900000000007</v>
      </c>
      <c r="M18" s="4"/>
      <c r="N18" s="32">
        <f t="shared" ref="N18:N27" si="3">IF(H18=0,0,L18/H18)</f>
        <v>0.20657374095150821</v>
      </c>
      <c r="O18" s="10"/>
      <c r="P18" s="20">
        <f>SUM(OSRRefP22x_0)</f>
        <v>59625.219999999994</v>
      </c>
      <c r="Q18" s="20"/>
      <c r="R18" s="32">
        <f t="shared" ref="R18:R27" si="4">IF(P$12=0,0,P18/P$12)</f>
        <v>0</v>
      </c>
      <c r="S18" s="20"/>
      <c r="T18" s="20">
        <f>SUM(OSRRefT22x_0)</f>
        <v>55246.090000000004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4379.1299999999901</v>
      </c>
      <c r="Y18" s="4"/>
      <c r="Z18" s="32">
        <f t="shared" ref="Z18:Z27" si="7">IF(T18=0,0,X18/T18)</f>
        <v>7.9265881078642672E-2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2737.1899999999996</v>
      </c>
      <c r="E19" s="1"/>
      <c r="F19" s="5">
        <f t="shared" si="0"/>
        <v>0</v>
      </c>
      <c r="G19" s="1"/>
      <c r="H19" s="1">
        <f>SUM(OSRRefH22_0x_0)</f>
        <v>2106.33</v>
      </c>
      <c r="I19" s="1"/>
      <c r="J19" s="5">
        <f t="shared" si="1"/>
        <v>0</v>
      </c>
      <c r="K19" s="1"/>
      <c r="L19" s="1">
        <f t="shared" si="2"/>
        <v>630.85999999999967</v>
      </c>
      <c r="M19" s="1"/>
      <c r="N19" s="5">
        <f t="shared" si="3"/>
        <v>0.29950672496712277</v>
      </c>
      <c r="O19" s="13"/>
      <c r="P19" s="1">
        <f>SUM(OSRRefP22_0x_0)</f>
        <v>18998.84</v>
      </c>
      <c r="Q19" s="1"/>
      <c r="R19" s="5">
        <f t="shared" si="4"/>
        <v>0</v>
      </c>
      <c r="S19" s="1"/>
      <c r="T19" s="1">
        <f>SUM(OSRRefT22_0x_0)</f>
        <v>17088.7</v>
      </c>
      <c r="U19" s="1"/>
      <c r="V19" s="5">
        <f t="shared" si="5"/>
        <v>0</v>
      </c>
      <c r="W19" s="1"/>
      <c r="X19" s="1">
        <f t="shared" si="6"/>
        <v>1910.1399999999994</v>
      </c>
      <c r="Y19" s="1"/>
      <c r="Z19" s="5">
        <f t="shared" si="7"/>
        <v>0.11177795853400196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336.64</v>
      </c>
      <c r="E20" s="2"/>
      <c r="F20" s="7">
        <f t="shared" si="0"/>
        <v>0</v>
      </c>
      <c r="G20" s="2"/>
      <c r="H20" s="6">
        <v>311.62</v>
      </c>
      <c r="I20" s="2"/>
      <c r="J20" s="7">
        <f t="shared" si="1"/>
        <v>0</v>
      </c>
      <c r="K20" s="2"/>
      <c r="L20" s="6">
        <f t="shared" si="2"/>
        <v>25.019999999999982</v>
      </c>
      <c r="M20" s="2"/>
      <c r="N20" s="7">
        <f t="shared" si="3"/>
        <v>8.0290096912906686E-2</v>
      </c>
      <c r="O20" s="11"/>
      <c r="P20" s="6">
        <v>2460.44</v>
      </c>
      <c r="Q20" s="2"/>
      <c r="R20" s="7">
        <f t="shared" si="4"/>
        <v>0</v>
      </c>
      <c r="S20" s="2"/>
      <c r="T20" s="6">
        <v>2307.1999999999998</v>
      </c>
      <c r="U20" s="2"/>
      <c r="V20" s="7">
        <f t="shared" si="5"/>
        <v>0</v>
      </c>
      <c r="W20" s="2"/>
      <c r="X20" s="6">
        <f t="shared" si="6"/>
        <v>153.24000000000024</v>
      </c>
      <c r="Y20" s="2"/>
      <c r="Z20" s="7">
        <f t="shared" si="7"/>
        <v>6.6418169209431457E-2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292.58999999999997</v>
      </c>
      <c r="E21" s="2"/>
      <c r="F21" s="7">
        <f t="shared" si="0"/>
        <v>0</v>
      </c>
      <c r="G21" s="2"/>
      <c r="H21" s="6">
        <v>175.79</v>
      </c>
      <c r="I21" s="2"/>
      <c r="J21" s="7">
        <f t="shared" si="1"/>
        <v>0</v>
      </c>
      <c r="K21" s="2"/>
      <c r="L21" s="6">
        <f t="shared" si="2"/>
        <v>116.79999999999998</v>
      </c>
      <c r="M21" s="2"/>
      <c r="N21" s="7">
        <f t="shared" si="3"/>
        <v>0.6644291484157232</v>
      </c>
      <c r="O21" s="11"/>
      <c r="P21" s="6">
        <v>1813.41</v>
      </c>
      <c r="Q21" s="2"/>
      <c r="R21" s="7">
        <f t="shared" si="4"/>
        <v>0</v>
      </c>
      <c r="S21" s="2"/>
      <c r="T21" s="6">
        <v>1397.19</v>
      </c>
      <c r="U21" s="2"/>
      <c r="V21" s="7">
        <f t="shared" si="5"/>
        <v>0</v>
      </c>
      <c r="W21" s="2"/>
      <c r="X21" s="6">
        <f t="shared" si="6"/>
        <v>416.22</v>
      </c>
      <c r="Y21" s="2"/>
      <c r="Z21" s="7">
        <f t="shared" si="7"/>
        <v>0.29789792368969148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1.0199999999999818</v>
      </c>
      <c r="M22" s="2"/>
      <c r="N22" s="7">
        <f t="shared" si="3"/>
        <v>1.4673303219495091E-3</v>
      </c>
      <c r="O22" s="11"/>
      <c r="P22" s="6">
        <v>4867</v>
      </c>
      <c r="Q22" s="2"/>
      <c r="R22" s="7">
        <f t="shared" si="4"/>
        <v>0</v>
      </c>
      <c r="S22" s="2"/>
      <c r="T22" s="6">
        <v>4439.55</v>
      </c>
      <c r="U22" s="2"/>
      <c r="V22" s="7">
        <f t="shared" si="5"/>
        <v>0</v>
      </c>
      <c r="W22" s="2"/>
      <c r="X22" s="6">
        <f t="shared" si="6"/>
        <v>427.44999999999982</v>
      </c>
      <c r="Y22" s="2"/>
      <c r="Z22" s="7">
        <f t="shared" si="7"/>
        <v>9.6282280861799005E-2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11.24</v>
      </c>
      <c r="E23" s="2"/>
      <c r="F23" s="7">
        <f t="shared" si="0"/>
        <v>0</v>
      </c>
      <c r="G23" s="2"/>
      <c r="H23" s="6">
        <v>10.46</v>
      </c>
      <c r="I23" s="2"/>
      <c r="J23" s="7">
        <f t="shared" si="1"/>
        <v>0</v>
      </c>
      <c r="K23" s="2"/>
      <c r="L23" s="6">
        <f t="shared" si="2"/>
        <v>0.77999999999999936</v>
      </c>
      <c r="M23" s="2"/>
      <c r="N23" s="7">
        <f t="shared" si="3"/>
        <v>7.4569789674952133E-2</v>
      </c>
      <c r="O23" s="11"/>
      <c r="P23" s="6">
        <v>82.68</v>
      </c>
      <c r="Q23" s="2"/>
      <c r="R23" s="7">
        <f t="shared" si="4"/>
        <v>0</v>
      </c>
      <c r="S23" s="2"/>
      <c r="T23" s="6">
        <v>83.14</v>
      </c>
      <c r="U23" s="2"/>
      <c r="V23" s="7">
        <f t="shared" si="5"/>
        <v>0</v>
      </c>
      <c r="W23" s="2"/>
      <c r="X23" s="6">
        <f t="shared" si="6"/>
        <v>-0.45999999999999375</v>
      </c>
      <c r="Y23" s="2"/>
      <c r="Z23" s="7">
        <f t="shared" si="7"/>
        <v>-5.5328361799373794E-3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643.88</v>
      </c>
      <c r="E24" s="2"/>
      <c r="F24" s="7">
        <f t="shared" si="0"/>
        <v>0</v>
      </c>
      <c r="G24" s="2"/>
      <c r="H24" s="6">
        <v>575.47</v>
      </c>
      <c r="I24" s="2"/>
      <c r="J24" s="7">
        <f t="shared" si="1"/>
        <v>0</v>
      </c>
      <c r="K24" s="2"/>
      <c r="L24" s="6">
        <f t="shared" si="2"/>
        <v>68.409999999999968</v>
      </c>
      <c r="M24" s="2"/>
      <c r="N24" s="7">
        <f t="shared" si="3"/>
        <v>0.11887674422645832</v>
      </c>
      <c r="O24" s="11"/>
      <c r="P24" s="6">
        <v>3219.44</v>
      </c>
      <c r="Q24" s="2"/>
      <c r="R24" s="7">
        <f t="shared" si="4"/>
        <v>0</v>
      </c>
      <c r="S24" s="2"/>
      <c r="T24" s="6">
        <v>3063.55</v>
      </c>
      <c r="U24" s="2"/>
      <c r="V24" s="7">
        <f t="shared" si="5"/>
        <v>0</v>
      </c>
      <c r="W24" s="2"/>
      <c r="X24" s="6">
        <f t="shared" si="6"/>
        <v>155.88999999999987</v>
      </c>
      <c r="Y24" s="2"/>
      <c r="Z24" s="7">
        <f t="shared" si="7"/>
        <v>5.0885410716325789E-2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387.96</v>
      </c>
      <c r="M25" s="2"/>
      <c r="N25" s="7">
        <f t="shared" si="3"/>
        <v>0</v>
      </c>
      <c r="O25" s="11"/>
      <c r="P25" s="6">
        <v>3224.93</v>
      </c>
      <c r="Q25" s="2"/>
      <c r="R25" s="7">
        <f t="shared" si="4"/>
        <v>0</v>
      </c>
      <c r="S25" s="2"/>
      <c r="T25" s="6">
        <v>2601.62</v>
      </c>
      <c r="U25" s="2"/>
      <c r="V25" s="7">
        <f t="shared" si="5"/>
        <v>0</v>
      </c>
      <c r="W25" s="2"/>
      <c r="X25" s="6">
        <f t="shared" si="6"/>
        <v>623.30999999999995</v>
      </c>
      <c r="Y25" s="2"/>
      <c r="Z25" s="7">
        <f t="shared" si="7"/>
        <v>0.23958533529108786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188.08</v>
      </c>
      <c r="I26" s="2"/>
      <c r="J26" s="7">
        <f t="shared" si="1"/>
        <v>0</v>
      </c>
      <c r="K26" s="2"/>
      <c r="L26" s="6">
        <f t="shared" si="2"/>
        <v>5.6399999999999864</v>
      </c>
      <c r="M26" s="2"/>
      <c r="N26" s="7">
        <f t="shared" si="3"/>
        <v>2.9987239472564792E-2</v>
      </c>
      <c r="O26" s="11"/>
      <c r="P26" s="6">
        <v>2297.94</v>
      </c>
      <c r="Q26" s="2"/>
      <c r="R26" s="7">
        <f t="shared" si="4"/>
        <v>0</v>
      </c>
      <c r="S26" s="2"/>
      <c r="T26" s="6">
        <v>2191.75</v>
      </c>
      <c r="U26" s="2"/>
      <c r="V26" s="7">
        <f t="shared" si="5"/>
        <v>0</v>
      </c>
      <c r="W26" s="2"/>
      <c r="X26" s="6">
        <f t="shared" si="6"/>
        <v>106.19000000000005</v>
      </c>
      <c r="Y26" s="2"/>
      <c r="Z26" s="7">
        <f t="shared" si="7"/>
        <v>4.8449868826280391E-2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175</v>
      </c>
      <c r="E27" s="2"/>
      <c r="F27" s="7">
        <f t="shared" si="0"/>
        <v>0</v>
      </c>
      <c r="G27" s="2"/>
      <c r="H27" s="6">
        <v>149.77000000000001</v>
      </c>
      <c r="I27" s="2"/>
      <c r="J27" s="7">
        <f t="shared" si="1"/>
        <v>0</v>
      </c>
      <c r="K27" s="2"/>
      <c r="L27" s="6">
        <f t="shared" si="2"/>
        <v>25.22999999999999</v>
      </c>
      <c r="M27" s="2"/>
      <c r="N27" s="7">
        <f t="shared" si="3"/>
        <v>0.16845830273085391</v>
      </c>
      <c r="O27" s="11"/>
      <c r="P27" s="6">
        <v>1033</v>
      </c>
      <c r="Q27" s="2"/>
      <c r="R27" s="7">
        <f t="shared" si="4"/>
        <v>0</v>
      </c>
      <c r="S27" s="2"/>
      <c r="T27" s="6">
        <v>1004.7</v>
      </c>
      <c r="U27" s="2"/>
      <c r="V27" s="7">
        <f t="shared" si="5"/>
        <v>0</v>
      </c>
      <c r="W27" s="2"/>
      <c r="X27" s="6">
        <f t="shared" si="6"/>
        <v>28.299999999999955</v>
      </c>
      <c r="Y27" s="2"/>
      <c r="Z27" s="7">
        <f t="shared" si="7"/>
        <v>2.8167612222553949E-2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5276</v>
      </c>
      <c r="E28" s="1"/>
      <c r="F28" s="5">
        <f t="shared" ref="F28:F36" si="8">IF(D$12=0,0,D28/D$12)</f>
        <v>0</v>
      </c>
      <c r="G28" s="1"/>
      <c r="H28" s="1">
        <f>SUM(OSRRefH22_1x_0)</f>
        <v>5249.3</v>
      </c>
      <c r="I28" s="1"/>
      <c r="J28" s="5">
        <f t="shared" ref="J28:J36" si="9">IF(H$12=0,0,H28/H$12)</f>
        <v>0</v>
      </c>
      <c r="K28" s="1"/>
      <c r="L28" s="1">
        <f t="shared" ref="L28:L36" si="10">+D28-H28</f>
        <v>26.699999999999818</v>
      </c>
      <c r="M28" s="1"/>
      <c r="N28" s="5">
        <f t="shared" ref="N28:N36" si="11">IF(H28=0,0,L28/H28)</f>
        <v>5.0863924713771009E-3</v>
      </c>
      <c r="O28" s="13"/>
      <c r="P28" s="1">
        <f>SUM(OSRRefP22_1x_0)</f>
        <v>30093.900000000005</v>
      </c>
      <c r="Q28" s="1"/>
      <c r="R28" s="5">
        <f t="shared" ref="R28:R36" si="12">IF(P$12=0,0,P28/P$12)</f>
        <v>0</v>
      </c>
      <c r="S28" s="1"/>
      <c r="T28" s="1">
        <f>SUM(OSRRefT22_1x_0)</f>
        <v>29267.83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826.07000000000335</v>
      </c>
      <c r="Y28" s="1"/>
      <c r="Z28" s="5">
        <f t="shared" ref="Z28:Z36" si="15">IF(T28=0,0,X28/T28)</f>
        <v>2.8224504515708997E-2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>
        <v>5276</v>
      </c>
      <c r="E29" s="2"/>
      <c r="F29" s="7">
        <f t="shared" si="8"/>
        <v>0</v>
      </c>
      <c r="G29" s="2"/>
      <c r="H29" s="6">
        <v>5249.3</v>
      </c>
      <c r="I29" s="2"/>
      <c r="J29" s="7">
        <f t="shared" si="9"/>
        <v>0</v>
      </c>
      <c r="K29" s="2"/>
      <c r="L29" s="6">
        <f t="shared" si="10"/>
        <v>26.699999999999818</v>
      </c>
      <c r="M29" s="2"/>
      <c r="N29" s="7">
        <f t="shared" si="11"/>
        <v>5.0863924713771009E-3</v>
      </c>
      <c r="O29" s="11"/>
      <c r="P29" s="6">
        <v>30093.900000000005</v>
      </c>
      <c r="Q29" s="2"/>
      <c r="R29" s="7">
        <f t="shared" si="12"/>
        <v>0</v>
      </c>
      <c r="S29" s="2"/>
      <c r="T29" s="6">
        <v>29267.83</v>
      </c>
      <c r="U29" s="2"/>
      <c r="V29" s="7">
        <f t="shared" si="13"/>
        <v>0</v>
      </c>
      <c r="W29" s="2"/>
      <c r="X29" s="6">
        <f t="shared" si="14"/>
        <v>826.07000000000335</v>
      </c>
      <c r="Y29" s="2"/>
      <c r="Z29" s="7">
        <f t="shared" si="15"/>
        <v>2.8224504515708997E-2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-610.4</v>
      </c>
      <c r="I30" s="1"/>
      <c r="J30" s="5">
        <f t="shared" si="9"/>
        <v>0</v>
      </c>
      <c r="K30" s="1"/>
      <c r="L30" s="1">
        <f t="shared" si="10"/>
        <v>610.4</v>
      </c>
      <c r="M30" s="1"/>
      <c r="N30" s="5">
        <f t="shared" si="11"/>
        <v>-1</v>
      </c>
      <c r="O30" s="13"/>
      <c r="P30" s="1">
        <f>SUM(OSRRefP22_2x_0)</f>
        <v>-618.78</v>
      </c>
      <c r="Q30" s="1"/>
      <c r="R30" s="5">
        <f t="shared" si="12"/>
        <v>0</v>
      </c>
      <c r="S30" s="1"/>
      <c r="T30" s="1">
        <f>SUM(OSRRefT22_2x_0)</f>
        <v>-2295.6999999999998</v>
      </c>
      <c r="U30" s="1"/>
      <c r="V30" s="5">
        <f t="shared" si="13"/>
        <v>0</v>
      </c>
      <c r="W30" s="1"/>
      <c r="X30" s="1">
        <f t="shared" si="14"/>
        <v>1676.9199999999998</v>
      </c>
      <c r="Y30" s="1"/>
      <c r="Z30" s="5">
        <f t="shared" si="15"/>
        <v>-0.73046129720782327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>
        <v>-610.4</v>
      </c>
      <c r="I31" s="2"/>
      <c r="J31" s="7">
        <f t="shared" si="9"/>
        <v>0</v>
      </c>
      <c r="K31" s="2"/>
      <c r="L31" s="6">
        <f t="shared" si="10"/>
        <v>610.4</v>
      </c>
      <c r="M31" s="2"/>
      <c r="N31" s="7">
        <f t="shared" si="11"/>
        <v>-1</v>
      </c>
      <c r="O31" s="11"/>
      <c r="P31" s="6">
        <v>-618.78</v>
      </c>
      <c r="Q31" s="2"/>
      <c r="R31" s="7">
        <f t="shared" si="12"/>
        <v>0</v>
      </c>
      <c r="S31" s="2"/>
      <c r="T31" s="6">
        <v>-2295.6999999999998</v>
      </c>
      <c r="U31" s="2"/>
      <c r="V31" s="7">
        <f t="shared" si="13"/>
        <v>0</v>
      </c>
      <c r="W31" s="2"/>
      <c r="X31" s="6">
        <f t="shared" si="14"/>
        <v>1676.9199999999998</v>
      </c>
      <c r="Y31" s="2"/>
      <c r="Z31" s="7">
        <f t="shared" si="15"/>
        <v>-0.73046129720782327</v>
      </c>
    </row>
    <row r="32" spans="1:26" s="26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171.92</v>
      </c>
      <c r="Q32" s="1"/>
      <c r="R32" s="5">
        <f t="shared" si="12"/>
        <v>0</v>
      </c>
      <c r="S32" s="1"/>
      <c r="T32" s="1">
        <f>SUM(OSRRefT22_3x_0)</f>
        <v>161.97999999999999</v>
      </c>
      <c r="U32" s="1"/>
      <c r="V32" s="5">
        <f t="shared" si="13"/>
        <v>0</v>
      </c>
      <c r="W32" s="1"/>
      <c r="X32" s="1">
        <f t="shared" si="14"/>
        <v>9.9399999999999977</v>
      </c>
      <c r="Y32" s="1"/>
      <c r="Z32" s="5">
        <f t="shared" si="15"/>
        <v>6.1365600691443381E-2</v>
      </c>
    </row>
    <row r="33" spans="1:26" s="24" customFormat="1" hidden="1" outlineLevel="2" x14ac:dyDescent="0.25">
      <c r="A33" s="25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171.92</v>
      </c>
      <c r="Q33" s="2"/>
      <c r="R33" s="7">
        <f t="shared" si="12"/>
        <v>0</v>
      </c>
      <c r="S33" s="2"/>
      <c r="T33" s="6">
        <v>161.97999999999999</v>
      </c>
      <c r="U33" s="2"/>
      <c r="V33" s="7">
        <f t="shared" si="13"/>
        <v>0</v>
      </c>
      <c r="W33" s="2"/>
      <c r="X33" s="6">
        <f t="shared" si="14"/>
        <v>9.9399999999999977</v>
      </c>
      <c r="Y33" s="2"/>
      <c r="Z33" s="7">
        <f t="shared" si="15"/>
        <v>6.1365600691443381E-2</v>
      </c>
    </row>
    <row r="34" spans="1:26" s="26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1471.95</v>
      </c>
      <c r="E34" s="1"/>
      <c r="F34" s="5">
        <f t="shared" si="8"/>
        <v>0</v>
      </c>
      <c r="G34" s="1"/>
      <c r="H34" s="1">
        <f>SUM(OSRRefH22_4x_0)</f>
        <v>1339</v>
      </c>
      <c r="I34" s="1"/>
      <c r="J34" s="5">
        <f t="shared" si="9"/>
        <v>0</v>
      </c>
      <c r="K34" s="1"/>
      <c r="L34" s="1">
        <f t="shared" si="10"/>
        <v>132.95000000000005</v>
      </c>
      <c r="M34" s="1"/>
      <c r="N34" s="5">
        <f t="shared" si="11"/>
        <v>9.9290515309932825E-2</v>
      </c>
      <c r="O34" s="13"/>
      <c r="P34" s="1">
        <f>SUM(OSRRefP22_4x_0)</f>
        <v>8996.8100000000013</v>
      </c>
      <c r="Q34" s="1"/>
      <c r="R34" s="5">
        <f t="shared" si="12"/>
        <v>0</v>
      </c>
      <c r="S34" s="1"/>
      <c r="T34" s="1">
        <f>SUM(OSRRefT22_4x_0)</f>
        <v>9627.4599999999991</v>
      </c>
      <c r="U34" s="1"/>
      <c r="V34" s="5">
        <f t="shared" si="13"/>
        <v>0</v>
      </c>
      <c r="W34" s="1"/>
      <c r="X34" s="1">
        <f t="shared" si="14"/>
        <v>-630.64999999999782</v>
      </c>
      <c r="Y34" s="1"/>
      <c r="Z34" s="5">
        <f t="shared" si="15"/>
        <v>-6.5505335779114937E-2</v>
      </c>
    </row>
    <row r="35" spans="1:26" s="24" customFormat="1" hidden="1" outlineLevel="2" x14ac:dyDescent="0.25">
      <c r="A35" s="25"/>
      <c r="B35" s="11" t="str">
        <f>CONCATENATE("          ", "6373", " - ", "MAINTENANCE CONTRACTS")</f>
        <v xml:space="preserve">          6373 - MAINTENANCE CONTRACTS</v>
      </c>
      <c r="C35" s="11"/>
      <c r="D35" s="6">
        <v>1405.95</v>
      </c>
      <c r="E35" s="2"/>
      <c r="F35" s="7">
        <f t="shared" si="8"/>
        <v>0</v>
      </c>
      <c r="G35" s="2"/>
      <c r="H35" s="6">
        <v>1339</v>
      </c>
      <c r="I35" s="2"/>
      <c r="J35" s="7">
        <f t="shared" si="9"/>
        <v>0</v>
      </c>
      <c r="K35" s="2"/>
      <c r="L35" s="6">
        <f t="shared" si="10"/>
        <v>66.950000000000045</v>
      </c>
      <c r="M35" s="2"/>
      <c r="N35" s="7">
        <f t="shared" si="11"/>
        <v>5.0000000000000031E-2</v>
      </c>
      <c r="O35" s="11"/>
      <c r="P35" s="6">
        <v>8435.7000000000007</v>
      </c>
      <c r="Q35" s="2"/>
      <c r="R35" s="7">
        <f t="shared" si="12"/>
        <v>0</v>
      </c>
      <c r="S35" s="2"/>
      <c r="T35" s="6">
        <v>9373</v>
      </c>
      <c r="U35" s="2"/>
      <c r="V35" s="7">
        <f t="shared" si="13"/>
        <v>0</v>
      </c>
      <c r="W35" s="2"/>
      <c r="X35" s="6">
        <f t="shared" si="14"/>
        <v>-937.29999999999927</v>
      </c>
      <c r="Y35" s="2"/>
      <c r="Z35" s="7">
        <f t="shared" si="15"/>
        <v>-9.9999999999999922E-2</v>
      </c>
    </row>
    <row r="36" spans="1:26" s="24" customFormat="1" hidden="1" outlineLevel="2" x14ac:dyDescent="0.25">
      <c r="A36" s="25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66</v>
      </c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66</v>
      </c>
      <c r="M36" s="2"/>
      <c r="N36" s="7">
        <f t="shared" si="11"/>
        <v>0</v>
      </c>
      <c r="O36" s="11"/>
      <c r="P36" s="6">
        <v>561.11</v>
      </c>
      <c r="Q36" s="2"/>
      <c r="R36" s="7">
        <f t="shared" si="12"/>
        <v>0</v>
      </c>
      <c r="S36" s="2"/>
      <c r="T36" s="6">
        <v>254.46</v>
      </c>
      <c r="U36" s="2"/>
      <c r="V36" s="7">
        <f t="shared" si="13"/>
        <v>0</v>
      </c>
      <c r="W36" s="2"/>
      <c r="X36" s="6">
        <f t="shared" si="14"/>
        <v>306.64999999999998</v>
      </c>
      <c r="Y36" s="2"/>
      <c r="Z36" s="7">
        <f t="shared" si="15"/>
        <v>1.20510099819225</v>
      </c>
    </row>
    <row r="37" spans="1:26" s="26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8.84</v>
      </c>
      <c r="E37" s="1"/>
      <c r="F37" s="5">
        <f t="shared" ref="F37:F41" si="16">IF(D$12=0,0,D37/D$12)</f>
        <v>0</v>
      </c>
      <c r="G37" s="1"/>
      <c r="H37" s="1">
        <f>SUM(OSRRefH22_5x_0)</f>
        <v>7.08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1.7599999999999998</v>
      </c>
      <c r="M37" s="1"/>
      <c r="N37" s="5">
        <f t="shared" ref="N37:N41" si="19">IF(H37=0,0,L37/H37)</f>
        <v>0.24858757062146888</v>
      </c>
      <c r="O37" s="13"/>
      <c r="P37" s="1">
        <f>SUM(OSRRefP22_5x_0)</f>
        <v>57.46</v>
      </c>
      <c r="Q37" s="1"/>
      <c r="R37" s="5">
        <f t="shared" ref="R37:R41" si="20">IF(P$12=0,0,P37/P$12)</f>
        <v>0</v>
      </c>
      <c r="S37" s="1"/>
      <c r="T37" s="1">
        <f>SUM(OSRRefT22_5x_0)</f>
        <v>53.1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4.3599999999999994</v>
      </c>
      <c r="Y37" s="1"/>
      <c r="Z37" s="5">
        <f t="shared" ref="Z37:Z41" si="23">IF(T37=0,0,X37/T37)</f>
        <v>8.2109227871939722E-2</v>
      </c>
    </row>
    <row r="38" spans="1:26" s="24" customFormat="1" hidden="1" outlineLevel="2" x14ac:dyDescent="0.25">
      <c r="A38" s="25"/>
      <c r="B38" s="11" t="str">
        <f>CONCATENATE("          ", "6286", " - ", "LAUNDRY EXPENSE")</f>
        <v xml:space="preserve">          6286 - LAUNDRY EXPENSE</v>
      </c>
      <c r="C38" s="11"/>
      <c r="D38" s="6">
        <v>8.84</v>
      </c>
      <c r="E38" s="2"/>
      <c r="F38" s="7">
        <f t="shared" si="16"/>
        <v>0</v>
      </c>
      <c r="G38" s="2"/>
      <c r="H38" s="6">
        <v>7.08</v>
      </c>
      <c r="I38" s="2"/>
      <c r="J38" s="7">
        <f t="shared" si="17"/>
        <v>0</v>
      </c>
      <c r="K38" s="2"/>
      <c r="L38" s="6">
        <f t="shared" si="18"/>
        <v>1.7599999999999998</v>
      </c>
      <c r="M38" s="2"/>
      <c r="N38" s="7">
        <f t="shared" si="19"/>
        <v>0.24858757062146888</v>
      </c>
      <c r="O38" s="11"/>
      <c r="P38" s="6">
        <v>57.46</v>
      </c>
      <c r="Q38" s="2"/>
      <c r="R38" s="7">
        <f t="shared" si="20"/>
        <v>0</v>
      </c>
      <c r="S38" s="2"/>
      <c r="T38" s="6">
        <v>53.1</v>
      </c>
      <c r="U38" s="2"/>
      <c r="V38" s="7">
        <f t="shared" si="21"/>
        <v>0</v>
      </c>
      <c r="W38" s="2"/>
      <c r="X38" s="6">
        <f t="shared" si="22"/>
        <v>4.3599999999999994</v>
      </c>
      <c r="Y38" s="2"/>
      <c r="Z38" s="7">
        <f t="shared" si="23"/>
        <v>8.2109227871939722E-2</v>
      </c>
    </row>
    <row r="39" spans="1:26" s="26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-69.89</v>
      </c>
      <c r="I39" s="1"/>
      <c r="J39" s="5">
        <f t="shared" si="17"/>
        <v>0</v>
      </c>
      <c r="K39" s="1"/>
      <c r="L39" s="1">
        <f t="shared" si="18"/>
        <v>69.89</v>
      </c>
      <c r="M39" s="1"/>
      <c r="N39" s="5">
        <f t="shared" si="19"/>
        <v>-1</v>
      </c>
      <c r="O39" s="13"/>
      <c r="P39" s="1">
        <f>SUM(OSRRefP22_6x_0)</f>
        <v>1058.01</v>
      </c>
      <c r="Q39" s="1"/>
      <c r="R39" s="5">
        <f t="shared" si="20"/>
        <v>0</v>
      </c>
      <c r="S39" s="1"/>
      <c r="T39" s="1">
        <f>SUM(OSRRefT22_6x_0)</f>
        <v>913.64</v>
      </c>
      <c r="U39" s="1"/>
      <c r="V39" s="5">
        <f t="shared" si="21"/>
        <v>0</v>
      </c>
      <c r="W39" s="1"/>
      <c r="X39" s="1">
        <f t="shared" si="22"/>
        <v>144.37</v>
      </c>
      <c r="Y39" s="1"/>
      <c r="Z39" s="5">
        <f t="shared" si="23"/>
        <v>0.15801628650234228</v>
      </c>
    </row>
    <row r="40" spans="1:26" s="24" customFormat="1" hidden="1" outlineLevel="2" x14ac:dyDescent="0.25">
      <c r="A40" s="25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1006.59</v>
      </c>
      <c r="Q40" s="2"/>
      <c r="R40" s="7">
        <f t="shared" si="20"/>
        <v>0</v>
      </c>
      <c r="S40" s="2"/>
      <c r="T40" s="6">
        <v>804.9</v>
      </c>
      <c r="U40" s="2"/>
      <c r="V40" s="7">
        <f t="shared" si="21"/>
        <v>0</v>
      </c>
      <c r="W40" s="2"/>
      <c r="X40" s="6">
        <f t="shared" si="22"/>
        <v>201.69000000000005</v>
      </c>
      <c r="Y40" s="2"/>
      <c r="Z40" s="7">
        <f t="shared" si="23"/>
        <v>0.25057771151695868</v>
      </c>
    </row>
    <row r="41" spans="1:26" s="24" customFormat="1" hidden="1" outlineLevel="2" x14ac:dyDescent="0.25">
      <c r="A41" s="25"/>
      <c r="B41" s="11" t="str">
        <f>CONCATENATE("          ", "6241", " - ", "OFFICE EXPENSE")</f>
        <v xml:space="preserve">          6241 - OFFICE EXPENSE</v>
      </c>
      <c r="C41" s="11"/>
      <c r="D41" s="6"/>
      <c r="E41" s="2"/>
      <c r="F41" s="7">
        <f t="shared" si="16"/>
        <v>0</v>
      </c>
      <c r="G41" s="2"/>
      <c r="H41" s="6">
        <v>-69.89</v>
      </c>
      <c r="I41" s="2"/>
      <c r="J41" s="7">
        <f t="shared" si="17"/>
        <v>0</v>
      </c>
      <c r="K41" s="2"/>
      <c r="L41" s="6">
        <f t="shared" si="18"/>
        <v>69.89</v>
      </c>
      <c r="M41" s="2"/>
      <c r="N41" s="7">
        <f t="shared" si="19"/>
        <v>-1</v>
      </c>
      <c r="O41" s="11"/>
      <c r="P41" s="6">
        <v>51.42</v>
      </c>
      <c r="Q41" s="2"/>
      <c r="R41" s="7">
        <f t="shared" si="20"/>
        <v>0</v>
      </c>
      <c r="S41" s="2"/>
      <c r="T41" s="6">
        <v>108.74</v>
      </c>
      <c r="U41" s="2"/>
      <c r="V41" s="7">
        <f t="shared" si="21"/>
        <v>0</v>
      </c>
      <c r="W41" s="2"/>
      <c r="X41" s="6">
        <f t="shared" si="22"/>
        <v>-57.319999999999993</v>
      </c>
      <c r="Y41" s="2"/>
      <c r="Z41" s="7">
        <f t="shared" si="23"/>
        <v>-0.52712893139599037</v>
      </c>
    </row>
    <row r="42" spans="1:26" s="26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224</v>
      </c>
      <c r="E42" s="1"/>
      <c r="F42" s="5">
        <f t="shared" ref="F42:F45" si="24">IF(D$12=0,0,D42/D$12)</f>
        <v>0</v>
      </c>
      <c r="G42" s="1"/>
      <c r="H42" s="1">
        <f>SUM(OSRRefH22_7x_0)</f>
        <v>-17.97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241.97</v>
      </c>
      <c r="M42" s="1"/>
      <c r="N42" s="5">
        <f t="shared" ref="N42:N45" si="27">IF(H42=0,0,L42/H42)</f>
        <v>-13.465219810795771</v>
      </c>
      <c r="O42" s="13"/>
      <c r="P42" s="1">
        <f>SUM(OSRRefP22_7x_0)</f>
        <v>610.20000000000005</v>
      </c>
      <c r="Q42" s="1"/>
      <c r="R42" s="5">
        <f t="shared" ref="R42:R45" si="28">IF(P$12=0,0,P42/P$12)</f>
        <v>0</v>
      </c>
      <c r="S42" s="1"/>
      <c r="T42" s="1">
        <f>SUM(OSRRefT22_7x_0)</f>
        <v>327.54000000000002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282.66000000000003</v>
      </c>
      <c r="Y42" s="1"/>
      <c r="Z42" s="5">
        <f t="shared" ref="Z42:Z45" si="31">IF(T42=0,0,X42/T42)</f>
        <v>0.86297856750320578</v>
      </c>
    </row>
    <row r="43" spans="1:26" s="24" customFormat="1" hidden="1" outlineLevel="2" x14ac:dyDescent="0.25">
      <c r="A43" s="25"/>
      <c r="B43" s="11" t="str">
        <f>CONCATENATE("          ", "6309", " - ", "TELEPHONE")</f>
        <v xml:space="preserve">          6309 - TELEPHONE</v>
      </c>
      <c r="C43" s="11"/>
      <c r="D43" s="6">
        <v>224</v>
      </c>
      <c r="E43" s="2"/>
      <c r="F43" s="7">
        <f t="shared" si="24"/>
        <v>0</v>
      </c>
      <c r="G43" s="2"/>
      <c r="H43" s="6">
        <v>-17.97</v>
      </c>
      <c r="I43" s="2"/>
      <c r="J43" s="7">
        <f t="shared" si="25"/>
        <v>0</v>
      </c>
      <c r="K43" s="2"/>
      <c r="L43" s="6">
        <f t="shared" si="26"/>
        <v>241.97</v>
      </c>
      <c r="M43" s="2"/>
      <c r="N43" s="7">
        <f t="shared" si="27"/>
        <v>-13.465219810795771</v>
      </c>
      <c r="O43" s="11"/>
      <c r="P43" s="6">
        <v>610.20000000000005</v>
      </c>
      <c r="Q43" s="2"/>
      <c r="R43" s="7">
        <f t="shared" si="28"/>
        <v>0</v>
      </c>
      <c r="S43" s="2"/>
      <c r="T43" s="6">
        <v>327.54000000000002</v>
      </c>
      <c r="U43" s="2"/>
      <c r="V43" s="7">
        <f t="shared" si="29"/>
        <v>0</v>
      </c>
      <c r="W43" s="2"/>
      <c r="X43" s="6">
        <f t="shared" si="30"/>
        <v>282.66000000000003</v>
      </c>
      <c r="Y43" s="2"/>
      <c r="Z43" s="7">
        <f t="shared" si="31"/>
        <v>0.86297856750320578</v>
      </c>
    </row>
    <row r="44" spans="1:26" s="26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47.96</v>
      </c>
      <c r="I44" s="1"/>
      <c r="J44" s="5">
        <f t="shared" si="25"/>
        <v>0</v>
      </c>
      <c r="K44" s="1"/>
      <c r="L44" s="1">
        <f t="shared" si="26"/>
        <v>-47.96</v>
      </c>
      <c r="M44" s="1"/>
      <c r="N44" s="5">
        <f t="shared" si="27"/>
        <v>-1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101.54</v>
      </c>
      <c r="U44" s="1"/>
      <c r="V44" s="5">
        <f t="shared" si="29"/>
        <v>0</v>
      </c>
      <c r="W44" s="1"/>
      <c r="X44" s="1">
        <f t="shared" si="30"/>
        <v>155.32</v>
      </c>
      <c r="Y44" s="1"/>
      <c r="Z44" s="5">
        <f t="shared" si="31"/>
        <v>1.5296434902501475</v>
      </c>
    </row>
    <row r="45" spans="1:26" s="24" customFormat="1" hidden="1" outlineLevel="2" x14ac:dyDescent="0.25">
      <c r="A45" s="25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>
        <v>47.96</v>
      </c>
      <c r="I45" s="2"/>
      <c r="J45" s="7">
        <f t="shared" si="25"/>
        <v>0</v>
      </c>
      <c r="K45" s="2"/>
      <c r="L45" s="6">
        <f t="shared" si="26"/>
        <v>-47.96</v>
      </c>
      <c r="M45" s="2"/>
      <c r="N45" s="7">
        <f t="shared" si="27"/>
        <v>-1</v>
      </c>
      <c r="O45" s="11"/>
      <c r="P45" s="6">
        <v>256.86</v>
      </c>
      <c r="Q45" s="2"/>
      <c r="R45" s="7">
        <f t="shared" si="28"/>
        <v>0</v>
      </c>
      <c r="S45" s="2"/>
      <c r="T45" s="6">
        <v>101.54</v>
      </c>
      <c r="U45" s="2"/>
      <c r="V45" s="7">
        <f t="shared" si="29"/>
        <v>0</v>
      </c>
      <c r="W45" s="2"/>
      <c r="X45" s="6">
        <f t="shared" si="30"/>
        <v>155.32</v>
      </c>
      <c r="Y45" s="2"/>
      <c r="Z45" s="7">
        <f t="shared" si="31"/>
        <v>1.5296434902501475</v>
      </c>
    </row>
    <row r="46" spans="1:26" s="59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1">
        <f>+D16-D18+D47</f>
        <v>-9742.5400000000009</v>
      </c>
      <c r="E49" s="14"/>
      <c r="F49" s="22">
        <f>IF(D$12=0,0,D49/D$12)</f>
        <v>0</v>
      </c>
      <c r="G49" s="14"/>
      <c r="H49" s="21">
        <f>+H16-H18+H47</f>
        <v>-8074.55</v>
      </c>
      <c r="I49" s="14"/>
      <c r="J49" s="22">
        <f>IF(H$12=0,0,H49/H$12)</f>
        <v>0</v>
      </c>
      <c r="K49" s="16"/>
      <c r="L49" s="21">
        <f>+D49-H49</f>
        <v>-1667.9900000000007</v>
      </c>
      <c r="M49" s="16"/>
      <c r="N49" s="22">
        <f>IF(H49=0,0,L49/H49)</f>
        <v>0.20657374095150821</v>
      </c>
      <c r="O49" s="29"/>
      <c r="P49" s="21">
        <f>+P16-P18+P47</f>
        <v>-59625.219999999994</v>
      </c>
      <c r="Q49" s="14"/>
      <c r="R49" s="22">
        <f>IF(P$12=0,0,P49/P$12)</f>
        <v>0</v>
      </c>
      <c r="S49" s="14"/>
      <c r="T49" s="21">
        <f>+T16-T18+T47</f>
        <v>-55246.090000000004</v>
      </c>
      <c r="U49" s="14"/>
      <c r="V49" s="22">
        <f>IF(T$12=0,0,T49/T$12)</f>
        <v>0</v>
      </c>
      <c r="W49" s="16"/>
      <c r="X49" s="21">
        <f>+P49-T49</f>
        <v>-4379.1299999999901</v>
      </c>
      <c r="Y49" s="16"/>
      <c r="Z49" s="22">
        <f>IF(T49=0,0,X49/T49)</f>
        <v>7.9265881078642672E-2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4">
        <f>+D49-D51</f>
        <v>-9742.5400000000009</v>
      </c>
      <c r="E53" s="14"/>
      <c r="F53" s="31">
        <f>IF(D$12=0,0,D53/D$12)</f>
        <v>0</v>
      </c>
      <c r="G53" s="14"/>
      <c r="H53" s="34">
        <f>+H49-H51</f>
        <v>-8074.55</v>
      </c>
      <c r="I53" s="14"/>
      <c r="J53" s="31">
        <f>IF(H$12=0,0,H53/H$12)</f>
        <v>0</v>
      </c>
      <c r="K53" s="16"/>
      <c r="L53" s="34">
        <f>D53-H53</f>
        <v>-1667.9900000000007</v>
      </c>
      <c r="M53" s="16"/>
      <c r="N53" s="31">
        <f>IF(H53=0,0,L53/H53)</f>
        <v>0.20657374095150821</v>
      </c>
      <c r="O53" s="29"/>
      <c r="P53" s="34">
        <f>+P49-P51</f>
        <v>-59625.219999999994</v>
      </c>
      <c r="Q53" s="14"/>
      <c r="R53" s="31">
        <f>IF(P$12=0,0,P53/P$12)</f>
        <v>0</v>
      </c>
      <c r="S53" s="14"/>
      <c r="T53" s="34">
        <f>+T49-T51</f>
        <v>-55246.090000000004</v>
      </c>
      <c r="U53" s="14"/>
      <c r="V53" s="31">
        <f>IF(T$12=0,0,T53/T$12)</f>
        <v>0</v>
      </c>
      <c r="W53" s="16"/>
      <c r="X53" s="34">
        <f>P53-T53</f>
        <v>-4379.1299999999901</v>
      </c>
      <c r="Y53" s="16"/>
      <c r="Z53" s="31">
        <f>IF(T53=0,0,X53/T53)</f>
        <v>7.9265881078642672E-2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0">
        <f>SUM(D53:D55)</f>
        <v>-9742.5400000000009</v>
      </c>
      <c r="E56" s="14"/>
      <c r="F56" s="33">
        <f>IF(D$12=0,0,D56/D$12)</f>
        <v>0</v>
      </c>
      <c r="G56" s="14"/>
      <c r="H56" s="30">
        <f>SUM(H53:H55)</f>
        <v>-8074.55</v>
      </c>
      <c r="I56" s="14"/>
      <c r="J56" s="33">
        <f>IF(H$12=0,0,H56/H$12)</f>
        <v>0</v>
      </c>
      <c r="K56" s="16"/>
      <c r="L56" s="30">
        <f>+D56-H56</f>
        <v>-1667.9900000000007</v>
      </c>
      <c r="M56" s="16"/>
      <c r="N56" s="33">
        <f>IF(H56=0,0,L56/H56)</f>
        <v>0.20657374095150821</v>
      </c>
      <c r="O56" s="29"/>
      <c r="P56" s="30">
        <f>SUM(P53:P55)</f>
        <v>-59625.219999999994</v>
      </c>
      <c r="Q56" s="14"/>
      <c r="R56" s="33">
        <f>IF(P$12=0,0,P56/P$12)</f>
        <v>0</v>
      </c>
      <c r="S56" s="14"/>
      <c r="T56" s="30">
        <f>SUM(T53:T55)</f>
        <v>-55246.090000000004</v>
      </c>
      <c r="U56" s="14"/>
      <c r="V56" s="33">
        <f>IF(T$12=0,0,T56/T$12)</f>
        <v>0</v>
      </c>
      <c r="W56" s="16"/>
      <c r="X56" s="30">
        <f>+P56-T56</f>
        <v>-4379.1299999999901</v>
      </c>
      <c r="Y56" s="16"/>
      <c r="Z56" s="33">
        <f>IF(T56=0,0,X56/T56)</f>
        <v>7.9265881078642672E-2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A58" s="9"/>
      <c r="B58" s="61">
        <v>43879.553643865744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55" t="s">
        <v>313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8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","206", " - ", "Graphics")</f>
        <v>Department 206 - Graphics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8096.0500000000011</v>
      </c>
      <c r="E18" s="20"/>
      <c r="F18" s="32">
        <f t="shared" ref="F18:F27" si="0">IF(D$12=0,0,D18/D$12)</f>
        <v>0</v>
      </c>
      <c r="G18" s="20"/>
      <c r="H18" s="20">
        <f>SUM(OSRRefH22x_0)</f>
        <v>6737.66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1358.3900000000012</v>
      </c>
      <c r="M18" s="4"/>
      <c r="N18" s="32">
        <f t="shared" ref="N18:N27" si="3">IF(H18=0,0,L18/H18)</f>
        <v>0.20161153872412696</v>
      </c>
      <c r="O18" s="10"/>
      <c r="P18" s="20">
        <f>SUM(OSRRefP22x_0)</f>
        <v>51817.57</v>
      </c>
      <c r="Q18" s="20"/>
      <c r="R18" s="32">
        <f t="shared" ref="R18:R27" si="4">IF(P$12=0,0,P18/P$12)</f>
        <v>0</v>
      </c>
      <c r="S18" s="20"/>
      <c r="T18" s="20">
        <f>SUM(OSRRefT22x_0)</f>
        <v>50817.600000000006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999.96999999999389</v>
      </c>
      <c r="Y18" s="4"/>
      <c r="Z18" s="32">
        <f t="shared" ref="Z18:Z27" si="7">IF(T18=0,0,X18/T18)</f>
        <v>1.9677631371808071E-2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1686.26</v>
      </c>
      <c r="E19" s="1"/>
      <c r="F19" s="5">
        <f t="shared" si="0"/>
        <v>0</v>
      </c>
      <c r="G19" s="1"/>
      <c r="H19" s="1">
        <f>SUM(OSRRefH22_0x_0)</f>
        <v>5747.24</v>
      </c>
      <c r="I19" s="1"/>
      <c r="J19" s="5">
        <f t="shared" si="1"/>
        <v>0</v>
      </c>
      <c r="K19" s="1"/>
      <c r="L19" s="1">
        <f t="shared" si="2"/>
        <v>-4060.9799999999996</v>
      </c>
      <c r="M19" s="1"/>
      <c r="N19" s="5">
        <f t="shared" si="3"/>
        <v>-0.70659655765202078</v>
      </c>
      <c r="O19" s="13"/>
      <c r="P19" s="1">
        <f>SUM(OSRRefP22_0x_0)</f>
        <v>12899.28</v>
      </c>
      <c r="Q19" s="1"/>
      <c r="R19" s="5">
        <f t="shared" si="4"/>
        <v>0</v>
      </c>
      <c r="S19" s="1"/>
      <c r="T19" s="1">
        <f>SUM(OSRRefT22_0x_0)</f>
        <v>45697.21</v>
      </c>
      <c r="U19" s="1"/>
      <c r="V19" s="5">
        <f t="shared" si="5"/>
        <v>0</v>
      </c>
      <c r="W19" s="1"/>
      <c r="X19" s="1">
        <f t="shared" si="6"/>
        <v>-32797.93</v>
      </c>
      <c r="Y19" s="1"/>
      <c r="Z19" s="5">
        <f t="shared" si="7"/>
        <v>-0.71772281064861509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342.68</v>
      </c>
      <c r="E20" s="2"/>
      <c r="F20" s="7">
        <f t="shared" si="0"/>
        <v>0</v>
      </c>
      <c r="G20" s="2"/>
      <c r="H20" s="6">
        <v>827.79</v>
      </c>
      <c r="I20" s="2"/>
      <c r="J20" s="7">
        <f t="shared" si="1"/>
        <v>0</v>
      </c>
      <c r="K20" s="2"/>
      <c r="L20" s="6">
        <f t="shared" si="2"/>
        <v>-485.10999999999996</v>
      </c>
      <c r="M20" s="2"/>
      <c r="N20" s="7">
        <f t="shared" si="3"/>
        <v>-0.58603027337851388</v>
      </c>
      <c r="O20" s="11"/>
      <c r="P20" s="6">
        <v>3485.22</v>
      </c>
      <c r="Q20" s="2"/>
      <c r="R20" s="7">
        <f t="shared" si="4"/>
        <v>0</v>
      </c>
      <c r="S20" s="2"/>
      <c r="T20" s="6">
        <v>7760.95</v>
      </c>
      <c r="U20" s="2"/>
      <c r="V20" s="7">
        <f t="shared" si="5"/>
        <v>0</v>
      </c>
      <c r="W20" s="2"/>
      <c r="X20" s="6">
        <f t="shared" si="6"/>
        <v>-4275.7299999999996</v>
      </c>
      <c r="Y20" s="2"/>
      <c r="Z20" s="7">
        <f t="shared" si="7"/>
        <v>-0.55092868785393534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36.020000000000003</v>
      </c>
      <c r="E21" s="2"/>
      <c r="F21" s="7">
        <f t="shared" si="0"/>
        <v>0</v>
      </c>
      <c r="G21" s="2"/>
      <c r="H21" s="6">
        <v>47.33</v>
      </c>
      <c r="I21" s="2"/>
      <c r="J21" s="7">
        <f t="shared" si="1"/>
        <v>0</v>
      </c>
      <c r="K21" s="2"/>
      <c r="L21" s="6">
        <f t="shared" si="2"/>
        <v>-11.309999999999995</v>
      </c>
      <c r="M21" s="2"/>
      <c r="N21" s="7">
        <f t="shared" si="3"/>
        <v>-0.23896049017536436</v>
      </c>
      <c r="O21" s="11"/>
      <c r="P21" s="6">
        <v>147.26</v>
      </c>
      <c r="Q21" s="2"/>
      <c r="R21" s="7">
        <f t="shared" si="4"/>
        <v>0</v>
      </c>
      <c r="S21" s="2"/>
      <c r="T21" s="6">
        <v>419.52</v>
      </c>
      <c r="U21" s="2"/>
      <c r="V21" s="7">
        <f t="shared" si="5"/>
        <v>0</v>
      </c>
      <c r="W21" s="2"/>
      <c r="X21" s="6">
        <f t="shared" si="6"/>
        <v>-272.26</v>
      </c>
      <c r="Y21" s="2"/>
      <c r="Z21" s="7">
        <f t="shared" si="7"/>
        <v>-0.64897978642257814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2638.56</v>
      </c>
      <c r="I22" s="2"/>
      <c r="J22" s="7">
        <f t="shared" si="1"/>
        <v>0</v>
      </c>
      <c r="K22" s="2"/>
      <c r="L22" s="6">
        <f t="shared" si="2"/>
        <v>-1937.69</v>
      </c>
      <c r="M22" s="2"/>
      <c r="N22" s="7">
        <f t="shared" si="3"/>
        <v>-0.73437405251349219</v>
      </c>
      <c r="O22" s="11"/>
      <c r="P22" s="6">
        <v>4906.33</v>
      </c>
      <c r="Q22" s="2"/>
      <c r="R22" s="7">
        <f t="shared" si="4"/>
        <v>0</v>
      </c>
      <c r="S22" s="2"/>
      <c r="T22" s="6">
        <v>21397.11</v>
      </c>
      <c r="U22" s="2"/>
      <c r="V22" s="7">
        <f t="shared" si="5"/>
        <v>0</v>
      </c>
      <c r="W22" s="2"/>
      <c r="X22" s="6">
        <f t="shared" si="6"/>
        <v>-16490.78</v>
      </c>
      <c r="Y22" s="2"/>
      <c r="Z22" s="7">
        <f t="shared" si="7"/>
        <v>-0.77070127694814849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27.55</v>
      </c>
      <c r="E23" s="2"/>
      <c r="F23" s="7">
        <f t="shared" si="0"/>
        <v>0</v>
      </c>
      <c r="G23" s="2"/>
      <c r="H23" s="6">
        <v>39.700000000000003</v>
      </c>
      <c r="I23" s="2"/>
      <c r="J23" s="7">
        <f t="shared" si="1"/>
        <v>0</v>
      </c>
      <c r="K23" s="2"/>
      <c r="L23" s="6">
        <f t="shared" si="2"/>
        <v>-12.150000000000002</v>
      </c>
      <c r="M23" s="2"/>
      <c r="N23" s="7">
        <f t="shared" si="3"/>
        <v>-0.30604534005037787</v>
      </c>
      <c r="O23" s="11"/>
      <c r="P23" s="6">
        <v>188.78</v>
      </c>
      <c r="Q23" s="2"/>
      <c r="R23" s="7">
        <f t="shared" si="4"/>
        <v>0</v>
      </c>
      <c r="S23" s="2"/>
      <c r="T23" s="6">
        <v>351.85</v>
      </c>
      <c r="U23" s="2"/>
      <c r="V23" s="7">
        <f t="shared" si="5"/>
        <v>0</v>
      </c>
      <c r="W23" s="2"/>
      <c r="X23" s="6">
        <f t="shared" si="6"/>
        <v>-163.07000000000002</v>
      </c>
      <c r="Y23" s="2"/>
      <c r="Z23" s="7">
        <f t="shared" si="7"/>
        <v>-0.4634645445502345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694.93</v>
      </c>
      <c r="I24" s="2"/>
      <c r="J24" s="7">
        <f t="shared" si="1"/>
        <v>0</v>
      </c>
      <c r="K24" s="2"/>
      <c r="L24" s="6">
        <f t="shared" si="2"/>
        <v>-694.93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3699.57</v>
      </c>
      <c r="U24" s="2"/>
      <c r="V24" s="7">
        <f t="shared" si="5"/>
        <v>0</v>
      </c>
      <c r="W24" s="2"/>
      <c r="X24" s="6">
        <f t="shared" si="6"/>
        <v>-3699.57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184.8</v>
      </c>
      <c r="E25" s="2"/>
      <c r="F25" s="7">
        <f t="shared" si="0"/>
        <v>0</v>
      </c>
      <c r="G25" s="2"/>
      <c r="H25" s="6">
        <v>777.78</v>
      </c>
      <c r="I25" s="2"/>
      <c r="J25" s="7">
        <f t="shared" si="1"/>
        <v>0</v>
      </c>
      <c r="K25" s="2"/>
      <c r="L25" s="6">
        <f t="shared" si="2"/>
        <v>-592.98</v>
      </c>
      <c r="M25" s="2"/>
      <c r="N25" s="7">
        <f t="shared" si="3"/>
        <v>-0.76240067885520335</v>
      </c>
      <c r="O25" s="11"/>
      <c r="P25" s="6">
        <v>1386</v>
      </c>
      <c r="Q25" s="2"/>
      <c r="R25" s="7">
        <f t="shared" si="4"/>
        <v>0</v>
      </c>
      <c r="S25" s="2"/>
      <c r="T25" s="6">
        <v>6153.03</v>
      </c>
      <c r="U25" s="2"/>
      <c r="V25" s="7">
        <f t="shared" si="5"/>
        <v>0</v>
      </c>
      <c r="W25" s="2"/>
      <c r="X25" s="6">
        <f t="shared" si="6"/>
        <v>-4767.03</v>
      </c>
      <c r="Y25" s="2"/>
      <c r="Z25" s="7">
        <f t="shared" si="7"/>
        <v>-0.77474512557227904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494.76</v>
      </c>
      <c r="I26" s="2"/>
      <c r="J26" s="7">
        <f t="shared" si="1"/>
        <v>0</v>
      </c>
      <c r="K26" s="2"/>
      <c r="L26" s="6">
        <f t="shared" si="2"/>
        <v>-273.36</v>
      </c>
      <c r="M26" s="2"/>
      <c r="N26" s="7">
        <f t="shared" si="3"/>
        <v>-0.55251030802813494</v>
      </c>
      <c r="O26" s="11"/>
      <c r="P26" s="6">
        <v>1660.5</v>
      </c>
      <c r="Q26" s="2"/>
      <c r="R26" s="7">
        <f t="shared" si="4"/>
        <v>0</v>
      </c>
      <c r="S26" s="2"/>
      <c r="T26" s="6">
        <v>4023.96</v>
      </c>
      <c r="U26" s="2"/>
      <c r="V26" s="7">
        <f t="shared" si="5"/>
        <v>0</v>
      </c>
      <c r="W26" s="2"/>
      <c r="X26" s="6">
        <f t="shared" si="6"/>
        <v>-2363.46</v>
      </c>
      <c r="Y26" s="2"/>
      <c r="Z26" s="7">
        <f t="shared" si="7"/>
        <v>-0.58734679271165713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172.94</v>
      </c>
      <c r="E27" s="2"/>
      <c r="F27" s="7">
        <f t="shared" si="0"/>
        <v>0</v>
      </c>
      <c r="G27" s="2"/>
      <c r="H27" s="6">
        <v>226.39</v>
      </c>
      <c r="I27" s="2"/>
      <c r="J27" s="7">
        <f t="shared" si="1"/>
        <v>0</v>
      </c>
      <c r="K27" s="2"/>
      <c r="L27" s="6">
        <f t="shared" si="2"/>
        <v>-53.449999999999989</v>
      </c>
      <c r="M27" s="2"/>
      <c r="N27" s="7">
        <f t="shared" si="3"/>
        <v>-0.23609700075091652</v>
      </c>
      <c r="O27" s="11"/>
      <c r="P27" s="6">
        <v>1125.19</v>
      </c>
      <c r="Q27" s="2"/>
      <c r="R27" s="7">
        <f t="shared" si="4"/>
        <v>0</v>
      </c>
      <c r="S27" s="2"/>
      <c r="T27" s="6">
        <v>1891.22</v>
      </c>
      <c r="U27" s="2"/>
      <c r="V27" s="7">
        <f t="shared" si="5"/>
        <v>0</v>
      </c>
      <c r="W27" s="2"/>
      <c r="X27" s="6">
        <f t="shared" si="6"/>
        <v>-766.03</v>
      </c>
      <c r="Y27" s="2"/>
      <c r="Z27" s="7">
        <f t="shared" si="7"/>
        <v>-0.40504542041645075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13149.53</v>
      </c>
      <c r="E28" s="1"/>
      <c r="F28" s="5">
        <f t="shared" ref="F28:F34" si="8">IF(D$12=0,0,D28/D$12)</f>
        <v>0</v>
      </c>
      <c r="G28" s="1"/>
      <c r="H28" s="1">
        <f>SUM(OSRRefH22_1x_0)</f>
        <v>18416.060000000001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-5266.5300000000007</v>
      </c>
      <c r="M28" s="1"/>
      <c r="N28" s="5">
        <f t="shared" ref="N28:N34" si="11">IF(H28=0,0,L28/H28)</f>
        <v>-0.28597485021226038</v>
      </c>
      <c r="O28" s="13"/>
      <c r="P28" s="1">
        <f>SUM(OSRRefP22_1x_0)</f>
        <v>77032.53</v>
      </c>
      <c r="Q28" s="1"/>
      <c r="R28" s="5">
        <f t="shared" ref="R28:R34" si="12">IF(P$12=0,0,P28/P$12)</f>
        <v>0</v>
      </c>
      <c r="S28" s="1"/>
      <c r="T28" s="1">
        <f>SUM(OSRRefT22_1x_0)</f>
        <v>115288.98000000001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-38256.450000000012</v>
      </c>
      <c r="Y28" s="1"/>
      <c r="Z28" s="5">
        <f t="shared" ref="Z28:Z34" si="15">IF(T28=0,0,X28/T28)</f>
        <v>-0.33183093475195991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7448.56</v>
      </c>
      <c r="I29" s="2"/>
      <c r="J29" s="7">
        <f t="shared" si="9"/>
        <v>0</v>
      </c>
      <c r="K29" s="2"/>
      <c r="L29" s="6">
        <f t="shared" si="10"/>
        <v>-7448.56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48076</v>
      </c>
      <c r="U29" s="2"/>
      <c r="V29" s="7">
        <f t="shared" si="13"/>
        <v>0</v>
      </c>
      <c r="W29" s="2"/>
      <c r="X29" s="6">
        <f t="shared" si="14"/>
        <v>-48076</v>
      </c>
      <c r="Y29" s="2"/>
      <c r="Z29" s="7">
        <f t="shared" si="15"/>
        <v>-1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-338.56</v>
      </c>
      <c r="U30" s="2"/>
      <c r="V30" s="7">
        <f t="shared" si="13"/>
        <v>0</v>
      </c>
      <c r="W30" s="2"/>
      <c r="X30" s="6">
        <f t="shared" si="14"/>
        <v>338.56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>
        <v>4136.25</v>
      </c>
      <c r="E31" s="2"/>
      <c r="F31" s="7">
        <f t="shared" si="8"/>
        <v>0</v>
      </c>
      <c r="G31" s="2"/>
      <c r="H31" s="6">
        <v>3473.16</v>
      </c>
      <c r="I31" s="2"/>
      <c r="J31" s="7">
        <f t="shared" si="9"/>
        <v>0</v>
      </c>
      <c r="K31" s="2"/>
      <c r="L31" s="6">
        <f t="shared" si="10"/>
        <v>663.09000000000015</v>
      </c>
      <c r="M31" s="2"/>
      <c r="N31" s="7">
        <f t="shared" si="11"/>
        <v>0.19091835677020355</v>
      </c>
      <c r="O31" s="11"/>
      <c r="P31" s="6">
        <v>35973.75</v>
      </c>
      <c r="Q31" s="2"/>
      <c r="R31" s="7">
        <f t="shared" si="12"/>
        <v>0</v>
      </c>
      <c r="S31" s="2"/>
      <c r="T31" s="6">
        <v>26530.74</v>
      </c>
      <c r="U31" s="2"/>
      <c r="V31" s="7">
        <f t="shared" si="13"/>
        <v>0</v>
      </c>
      <c r="W31" s="2"/>
      <c r="X31" s="6">
        <f t="shared" si="14"/>
        <v>9443.0099999999984</v>
      </c>
      <c r="Y31" s="2"/>
      <c r="Z31" s="7">
        <f t="shared" si="15"/>
        <v>0.35592712453553871</v>
      </c>
    </row>
    <row r="32" spans="1:26" s="24" customFormat="1" hidden="1" outlineLevel="2" x14ac:dyDescent="0.25">
      <c r="A32" s="25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>
        <v>1072.73</v>
      </c>
      <c r="I32" s="2"/>
      <c r="J32" s="7">
        <f t="shared" si="9"/>
        <v>0</v>
      </c>
      <c r="K32" s="2"/>
      <c r="L32" s="6">
        <f t="shared" si="10"/>
        <v>-1072.73</v>
      </c>
      <c r="M32" s="2"/>
      <c r="N32" s="7">
        <f t="shared" si="11"/>
        <v>-1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1320.59</v>
      </c>
      <c r="U32" s="2"/>
      <c r="V32" s="7">
        <f t="shared" si="13"/>
        <v>0</v>
      </c>
      <c r="W32" s="2"/>
      <c r="X32" s="6">
        <f t="shared" si="14"/>
        <v>1040.8399999999999</v>
      </c>
      <c r="Y32" s="2"/>
      <c r="Z32" s="7">
        <f t="shared" si="15"/>
        <v>0.78816286659750567</v>
      </c>
    </row>
    <row r="33" spans="1:26" s="24" customFormat="1" hidden="1" outlineLevel="2" x14ac:dyDescent="0.25">
      <c r="A33" s="25"/>
      <c r="B33" s="11" t="str">
        <f>CONCATENATE("          ", "6007", " - ", "STUDENT HOURLY")</f>
        <v xml:space="preserve">          6007 - STUDENT HOURLY</v>
      </c>
      <c r="C33" s="11"/>
      <c r="D33" s="6">
        <v>7904.6</v>
      </c>
      <c r="E33" s="2"/>
      <c r="F33" s="7">
        <f t="shared" si="8"/>
        <v>0</v>
      </c>
      <c r="G33" s="2"/>
      <c r="H33" s="6">
        <v>6421.61</v>
      </c>
      <c r="I33" s="2"/>
      <c r="J33" s="7">
        <f t="shared" si="9"/>
        <v>0</v>
      </c>
      <c r="K33" s="2"/>
      <c r="L33" s="6">
        <f t="shared" si="10"/>
        <v>1482.9900000000007</v>
      </c>
      <c r="M33" s="2"/>
      <c r="N33" s="7">
        <f t="shared" si="11"/>
        <v>0.23093741289178271</v>
      </c>
      <c r="O33" s="11"/>
      <c r="P33" s="6">
        <v>32870.03</v>
      </c>
      <c r="Q33" s="2"/>
      <c r="R33" s="7">
        <f t="shared" si="12"/>
        <v>0</v>
      </c>
      <c r="S33" s="2"/>
      <c r="T33" s="6">
        <v>39700.21</v>
      </c>
      <c r="U33" s="2"/>
      <c r="V33" s="7">
        <f t="shared" si="13"/>
        <v>0</v>
      </c>
      <c r="W33" s="2"/>
      <c r="X33" s="6">
        <f t="shared" si="14"/>
        <v>-6830.18</v>
      </c>
      <c r="Y33" s="2"/>
      <c r="Z33" s="7">
        <f t="shared" si="15"/>
        <v>-0.17204392621600742</v>
      </c>
    </row>
    <row r="34" spans="1:26" s="24" customFormat="1" hidden="1" outlineLevel="2" x14ac:dyDescent="0.25">
      <c r="A34" s="25"/>
      <c r="B34" s="11" t="str">
        <f>CONCATENATE("          ", "6008", " - ", "STUDENT HOURLY-FICA EXEMPT")</f>
        <v xml:space="preserve">          6008 - STUDENT HOURLY-FICA EXEMPT</v>
      </c>
      <c r="C34" s="11"/>
      <c r="D34" s="6">
        <v>1108.68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1108.68</v>
      </c>
      <c r="M34" s="2"/>
      <c r="N34" s="7">
        <f t="shared" si="11"/>
        <v>0</v>
      </c>
      <c r="O34" s="11"/>
      <c r="P34" s="6">
        <v>5827.32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5827.32</v>
      </c>
      <c r="Y34" s="2"/>
      <c r="Z34" s="7">
        <f t="shared" si="15"/>
        <v>0</v>
      </c>
    </row>
    <row r="35" spans="1:26" s="26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-7382.72</v>
      </c>
      <c r="E35" s="1"/>
      <c r="F35" s="5">
        <f t="shared" ref="F35:F43" si="16">IF(D$12=0,0,D35/D$12)</f>
        <v>0</v>
      </c>
      <c r="G35" s="1"/>
      <c r="H35" s="1">
        <f>SUM(OSRRefH22_2x_0)</f>
        <v>-17885.11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10502.39</v>
      </c>
      <c r="M35" s="1"/>
      <c r="N35" s="5">
        <f t="shared" ref="N35:N43" si="19">IF(H35=0,0,L35/H35)</f>
        <v>-0.58721416865761511</v>
      </c>
      <c r="O35" s="13"/>
      <c r="P35" s="1">
        <f>SUM(OSRRefP22_2x_0)</f>
        <v>-42957.08</v>
      </c>
      <c r="Q35" s="1"/>
      <c r="R35" s="5">
        <f t="shared" ref="R35:R43" si="20">IF(P$12=0,0,P35/P$12)</f>
        <v>0</v>
      </c>
      <c r="S35" s="1"/>
      <c r="T35" s="1">
        <f>SUM(OSRRefT22_2x_0)</f>
        <v>-114710.34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71753.259999999995</v>
      </c>
      <c r="Y35" s="1"/>
      <c r="Z35" s="5">
        <f t="shared" ref="Z35:Z43" si="23">IF(T35=0,0,X35/T35)</f>
        <v>-0.62551693247531126</v>
      </c>
    </row>
    <row r="36" spans="1:26" s="24" customFormat="1" hidden="1" outlineLevel="2" x14ac:dyDescent="0.25">
      <c r="A36" s="25"/>
      <c r="B36" s="11" t="str">
        <f>CONCATENATE("          ", "6362", " - ", "ADVERTISING EXPENSE")</f>
        <v xml:space="preserve">          6362 - ADVERTISING EXPENSE</v>
      </c>
      <c r="C36" s="11"/>
      <c r="D36" s="6">
        <v>-7382.72</v>
      </c>
      <c r="E36" s="2"/>
      <c r="F36" s="7">
        <f t="shared" si="16"/>
        <v>0</v>
      </c>
      <c r="G36" s="2"/>
      <c r="H36" s="6">
        <v>-17885.11</v>
      </c>
      <c r="I36" s="2"/>
      <c r="J36" s="7">
        <f t="shared" si="17"/>
        <v>0</v>
      </c>
      <c r="K36" s="2"/>
      <c r="L36" s="6">
        <f t="shared" si="18"/>
        <v>10502.39</v>
      </c>
      <c r="M36" s="2"/>
      <c r="N36" s="7">
        <f t="shared" si="19"/>
        <v>-0.58721416865761511</v>
      </c>
      <c r="O36" s="11"/>
      <c r="P36" s="6">
        <v>-42957.08</v>
      </c>
      <c r="Q36" s="2"/>
      <c r="R36" s="7">
        <f t="shared" si="20"/>
        <v>0</v>
      </c>
      <c r="S36" s="2"/>
      <c r="T36" s="6">
        <v>-114710.34</v>
      </c>
      <c r="U36" s="2"/>
      <c r="V36" s="7">
        <f t="shared" si="21"/>
        <v>0</v>
      </c>
      <c r="W36" s="2"/>
      <c r="X36" s="6">
        <f t="shared" si="22"/>
        <v>71753.259999999995</v>
      </c>
      <c r="Y36" s="2"/>
      <c r="Z36" s="7">
        <f t="shared" si="23"/>
        <v>-0.62551693247531126</v>
      </c>
    </row>
    <row r="37" spans="1:26" s="26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2069.69</v>
      </c>
      <c r="Q37" s="1"/>
      <c r="R37" s="5">
        <f t="shared" si="20"/>
        <v>0</v>
      </c>
      <c r="S37" s="1"/>
      <c r="T37" s="1">
        <f>SUM(OSRRefT22_3x_0)</f>
        <v>2069.7600000000002</v>
      </c>
      <c r="U37" s="1"/>
      <c r="V37" s="5">
        <f t="shared" si="21"/>
        <v>0</v>
      </c>
      <c r="W37" s="1"/>
      <c r="X37" s="1">
        <f t="shared" si="22"/>
        <v>-7.0000000000163709E-2</v>
      </c>
      <c r="Y37" s="1"/>
      <c r="Z37" s="5">
        <f t="shared" si="23"/>
        <v>-3.3820346320425413E-5</v>
      </c>
    </row>
    <row r="38" spans="1:26" s="24" customFormat="1" hidden="1" outlineLevel="2" x14ac:dyDescent="0.25">
      <c r="A38" s="25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295.67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-9.9999999999909051E-3</v>
      </c>
      <c r="M38" s="2"/>
      <c r="N38" s="7">
        <f t="shared" si="19"/>
        <v>-3.3820346320315563E-5</v>
      </c>
      <c r="O38" s="11"/>
      <c r="P38" s="6">
        <v>2069.69</v>
      </c>
      <c r="Q38" s="2"/>
      <c r="R38" s="7">
        <f t="shared" si="20"/>
        <v>0</v>
      </c>
      <c r="S38" s="2"/>
      <c r="T38" s="6">
        <v>2069.7600000000002</v>
      </c>
      <c r="U38" s="2"/>
      <c r="V38" s="7">
        <f t="shared" si="21"/>
        <v>0</v>
      </c>
      <c r="W38" s="2"/>
      <c r="X38" s="6">
        <f t="shared" si="22"/>
        <v>-7.0000000000163709E-2</v>
      </c>
      <c r="Y38" s="2"/>
      <c r="Z38" s="7">
        <f t="shared" si="23"/>
        <v>-3.3820346320425413E-5</v>
      </c>
    </row>
    <row r="39" spans="1:26" s="26" customFormat="1" outlineLevel="1" collapsed="1" x14ac:dyDescent="0.25">
      <c r="A39" s="27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SUM(OSRRefD22_4x_0)</f>
        <v>173.21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173.21</v>
      </c>
      <c r="M39" s="1"/>
      <c r="N39" s="5">
        <f t="shared" si="19"/>
        <v>0</v>
      </c>
      <c r="O39" s="13"/>
      <c r="P39" s="1">
        <f>SUM(OSRRefP22_4x_0)</f>
        <v>1026.8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1026.8</v>
      </c>
      <c r="Y39" s="1"/>
      <c r="Z39" s="5">
        <f t="shared" si="23"/>
        <v>0</v>
      </c>
    </row>
    <row r="40" spans="1:26" s="24" customFormat="1" hidden="1" outlineLevel="2" x14ac:dyDescent="0.25">
      <c r="A40" s="25"/>
      <c r="B40" s="11" t="str">
        <f>CONCATENATE("          ", "6279", " - ", "GENERAL EXPENSE")</f>
        <v xml:space="preserve">          6279 - GENERAL EXPENSE</v>
      </c>
      <c r="C40" s="11"/>
      <c r="D40" s="6">
        <v>173.21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173.21</v>
      </c>
      <c r="M40" s="2"/>
      <c r="N40" s="7">
        <f t="shared" si="19"/>
        <v>0</v>
      </c>
      <c r="O40" s="11"/>
      <c r="P40" s="6">
        <v>1026.8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1026.8</v>
      </c>
      <c r="Y40" s="2"/>
      <c r="Z40" s="7">
        <f t="shared" si="23"/>
        <v>0</v>
      </c>
    </row>
    <row r="41" spans="1:26" s="26" customFormat="1" outlineLevel="1" collapsed="1" x14ac:dyDescent="0.25">
      <c r="A41" s="27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SUM(OSRRefD22_5x_0)</f>
        <v>102</v>
      </c>
      <c r="E41" s="1"/>
      <c r="F41" s="5">
        <f t="shared" si="16"/>
        <v>0</v>
      </c>
      <c r="G41" s="1"/>
      <c r="H41" s="1">
        <f>SUM(OSRRefH22_5x_0)</f>
        <v>90.72</v>
      </c>
      <c r="I41" s="1"/>
      <c r="J41" s="5">
        <f t="shared" si="17"/>
        <v>0</v>
      </c>
      <c r="K41" s="1"/>
      <c r="L41" s="1">
        <f t="shared" si="18"/>
        <v>11.280000000000001</v>
      </c>
      <c r="M41" s="1"/>
      <c r="N41" s="5">
        <f t="shared" si="19"/>
        <v>0.12433862433862436</v>
      </c>
      <c r="O41" s="13"/>
      <c r="P41" s="1">
        <f>SUM(OSRRefP22_5x_0)</f>
        <v>1114.1300000000001</v>
      </c>
      <c r="Q41" s="1"/>
      <c r="R41" s="5">
        <f t="shared" si="20"/>
        <v>0</v>
      </c>
      <c r="S41" s="1"/>
      <c r="T41" s="1">
        <f>SUM(OSRRefT22_5x_0)</f>
        <v>577.34</v>
      </c>
      <c r="U41" s="1"/>
      <c r="V41" s="5">
        <f t="shared" si="21"/>
        <v>0</v>
      </c>
      <c r="W41" s="1"/>
      <c r="X41" s="1">
        <f t="shared" si="22"/>
        <v>536.79000000000008</v>
      </c>
      <c r="Y41" s="1"/>
      <c r="Z41" s="5">
        <f t="shared" si="23"/>
        <v>0.92976409048394371</v>
      </c>
    </row>
    <row r="42" spans="1:26" s="24" customFormat="1" hidden="1" outlineLevel="2" x14ac:dyDescent="0.25">
      <c r="A42" s="25"/>
      <c r="B42" s="11" t="str">
        <f>CONCATENATE("          ", "6241", " - ", "OFFICE EXPENSE")</f>
        <v xml:space="preserve">          6241 - OFFICE EXPENSE</v>
      </c>
      <c r="C42" s="11"/>
      <c r="D42" s="6">
        <v>102</v>
      </c>
      <c r="E42" s="2"/>
      <c r="F42" s="7">
        <f t="shared" si="16"/>
        <v>0</v>
      </c>
      <c r="G42" s="2"/>
      <c r="H42" s="6">
        <v>90.72</v>
      </c>
      <c r="I42" s="2"/>
      <c r="J42" s="7">
        <f t="shared" si="17"/>
        <v>0</v>
      </c>
      <c r="K42" s="2"/>
      <c r="L42" s="6">
        <f t="shared" si="18"/>
        <v>11.280000000000001</v>
      </c>
      <c r="M42" s="2"/>
      <c r="N42" s="7">
        <f t="shared" si="19"/>
        <v>0.12433862433862436</v>
      </c>
      <c r="O42" s="11"/>
      <c r="P42" s="6">
        <v>767.71</v>
      </c>
      <c r="Q42" s="2"/>
      <c r="R42" s="7">
        <f t="shared" si="20"/>
        <v>0</v>
      </c>
      <c r="S42" s="2"/>
      <c r="T42" s="6">
        <v>577.34</v>
      </c>
      <c r="U42" s="2"/>
      <c r="V42" s="7">
        <f t="shared" si="21"/>
        <v>0</v>
      </c>
      <c r="W42" s="2"/>
      <c r="X42" s="6">
        <f t="shared" si="22"/>
        <v>190.37</v>
      </c>
      <c r="Y42" s="2"/>
      <c r="Z42" s="7">
        <f t="shared" si="23"/>
        <v>0.32973637717809262</v>
      </c>
    </row>
    <row r="43" spans="1:26" s="24" customFormat="1" hidden="1" outlineLevel="2" x14ac:dyDescent="0.25">
      <c r="A43" s="25"/>
      <c r="B43" s="11" t="str">
        <f>CONCATENATE("          ", "6245", " - ", "PRINTING")</f>
        <v xml:space="preserve">          6245 - PRINTING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346.42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346.42</v>
      </c>
      <c r="Y43" s="2"/>
      <c r="Z43" s="7">
        <f t="shared" si="23"/>
        <v>0</v>
      </c>
    </row>
    <row r="44" spans="1:26" s="26" customFormat="1" outlineLevel="1" collapsed="1" x14ac:dyDescent="0.25">
      <c r="A44" s="27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SUM(OSRRefD22_6x_0)</f>
        <v>72.099999999999994</v>
      </c>
      <c r="E44" s="1"/>
      <c r="F44" s="5">
        <f t="shared" ref="F44:F47" si="24">IF(D$12=0,0,D44/D$12)</f>
        <v>0</v>
      </c>
      <c r="G44" s="1"/>
      <c r="H44" s="1">
        <f>SUM(OSRRefH22_6x_0)</f>
        <v>-4.45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76.55</v>
      </c>
      <c r="M44" s="1"/>
      <c r="N44" s="5">
        <f t="shared" ref="N44:N47" si="27">IF(H44=0,0,L44/H44)</f>
        <v>-17.202247191011235</v>
      </c>
      <c r="O44" s="13"/>
      <c r="P44" s="1">
        <f>SUM(OSRRefP22_6x_0)</f>
        <v>513.9</v>
      </c>
      <c r="Q44" s="1"/>
      <c r="R44" s="5">
        <f t="shared" ref="R44:R47" si="28">IF(P$12=0,0,P44/P$12)</f>
        <v>0</v>
      </c>
      <c r="S44" s="1"/>
      <c r="T44" s="1">
        <f>SUM(OSRRefT22_6x_0)</f>
        <v>807.55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-293.64999999999998</v>
      </c>
      <c r="Y44" s="1"/>
      <c r="Z44" s="5">
        <f t="shared" ref="Z44:Z47" si="31">IF(T44=0,0,X44/T44)</f>
        <v>-0.36363073493901305</v>
      </c>
    </row>
    <row r="45" spans="1:26" s="24" customFormat="1" hidden="1" outlineLevel="2" x14ac:dyDescent="0.25">
      <c r="A45" s="25"/>
      <c r="B45" s="11" t="str">
        <f>CONCATENATE("          ", "6309", " - ", "TELEPHONE")</f>
        <v xml:space="preserve">          6309 - TELEPHONE</v>
      </c>
      <c r="C45" s="11"/>
      <c r="D45" s="6">
        <v>72.099999999999994</v>
      </c>
      <c r="E45" s="2"/>
      <c r="F45" s="7">
        <f t="shared" si="24"/>
        <v>0</v>
      </c>
      <c r="G45" s="2"/>
      <c r="H45" s="6">
        <v>-4.45</v>
      </c>
      <c r="I45" s="2"/>
      <c r="J45" s="7">
        <f t="shared" si="25"/>
        <v>0</v>
      </c>
      <c r="K45" s="2"/>
      <c r="L45" s="6">
        <f t="shared" si="26"/>
        <v>76.55</v>
      </c>
      <c r="M45" s="2"/>
      <c r="N45" s="7">
        <f t="shared" si="27"/>
        <v>-17.202247191011235</v>
      </c>
      <c r="O45" s="11"/>
      <c r="P45" s="6">
        <v>513.9</v>
      </c>
      <c r="Q45" s="2"/>
      <c r="R45" s="7">
        <f t="shared" si="28"/>
        <v>0</v>
      </c>
      <c r="S45" s="2"/>
      <c r="T45" s="6">
        <v>807.55</v>
      </c>
      <c r="U45" s="2"/>
      <c r="V45" s="7">
        <f t="shared" si="29"/>
        <v>0</v>
      </c>
      <c r="W45" s="2"/>
      <c r="X45" s="6">
        <f t="shared" si="30"/>
        <v>-293.64999999999998</v>
      </c>
      <c r="Y45" s="2"/>
      <c r="Z45" s="7">
        <f t="shared" si="31"/>
        <v>-0.36363073493901305</v>
      </c>
    </row>
    <row r="46" spans="1:26" s="26" customFormat="1" outlineLevel="1" collapsed="1" x14ac:dyDescent="0.25">
      <c r="A46" s="27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77.52</v>
      </c>
      <c r="I46" s="1"/>
      <c r="J46" s="5">
        <f t="shared" si="25"/>
        <v>0</v>
      </c>
      <c r="K46" s="1"/>
      <c r="L46" s="1">
        <f t="shared" si="26"/>
        <v>-77.52</v>
      </c>
      <c r="M46" s="1"/>
      <c r="N46" s="5">
        <f t="shared" si="27"/>
        <v>-1</v>
      </c>
      <c r="O46" s="13"/>
      <c r="P46" s="1">
        <f>SUM(OSRRefP22_7x_0)</f>
        <v>118.32</v>
      </c>
      <c r="Q46" s="1"/>
      <c r="R46" s="5">
        <f t="shared" si="28"/>
        <v>0</v>
      </c>
      <c r="S46" s="1"/>
      <c r="T46" s="1">
        <f>SUM(OSRRefT22_7x_0)</f>
        <v>1087.0999999999999</v>
      </c>
      <c r="U46" s="1"/>
      <c r="V46" s="5">
        <f t="shared" si="29"/>
        <v>0</v>
      </c>
      <c r="W46" s="1"/>
      <c r="X46" s="1">
        <f t="shared" si="30"/>
        <v>-968.78</v>
      </c>
      <c r="Y46" s="1"/>
      <c r="Z46" s="5">
        <f t="shared" si="31"/>
        <v>-0.89115996688437127</v>
      </c>
    </row>
    <row r="47" spans="1:26" s="24" customFormat="1" hidden="1" outlineLevel="2" x14ac:dyDescent="0.25">
      <c r="A47" s="25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24"/>
        <v>0</v>
      </c>
      <c r="G47" s="2"/>
      <c r="H47" s="6">
        <v>77.52</v>
      </c>
      <c r="I47" s="2"/>
      <c r="J47" s="7">
        <f t="shared" si="25"/>
        <v>0</v>
      </c>
      <c r="K47" s="2"/>
      <c r="L47" s="6">
        <f t="shared" si="26"/>
        <v>-77.52</v>
      </c>
      <c r="M47" s="2"/>
      <c r="N47" s="7">
        <f t="shared" si="27"/>
        <v>-1</v>
      </c>
      <c r="O47" s="11"/>
      <c r="P47" s="6">
        <v>118.32</v>
      </c>
      <c r="Q47" s="2"/>
      <c r="R47" s="7">
        <f t="shared" si="28"/>
        <v>0</v>
      </c>
      <c r="S47" s="2"/>
      <c r="T47" s="6">
        <v>1087.0999999999999</v>
      </c>
      <c r="U47" s="2"/>
      <c r="V47" s="7">
        <f t="shared" si="29"/>
        <v>0</v>
      </c>
      <c r="W47" s="2"/>
      <c r="X47" s="6">
        <f t="shared" si="30"/>
        <v>-968.78</v>
      </c>
      <c r="Y47" s="2"/>
      <c r="Z47" s="7">
        <f t="shared" si="31"/>
        <v>-0.89115996688437127</v>
      </c>
    </row>
    <row r="48" spans="1:26" s="59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9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3</v>
      </c>
      <c r="C51" s="28"/>
      <c r="D51" s="21">
        <f>+D16-D18+D49</f>
        <v>-8096.0500000000011</v>
      </c>
      <c r="E51" s="14"/>
      <c r="F51" s="22">
        <f>IF(D$12=0,0,D51/D$12)</f>
        <v>0</v>
      </c>
      <c r="G51" s="14"/>
      <c r="H51" s="21">
        <f>+H16-H18+H49</f>
        <v>-6737.66</v>
      </c>
      <c r="I51" s="14"/>
      <c r="J51" s="22">
        <f>IF(H$12=0,0,H51/H$12)</f>
        <v>0</v>
      </c>
      <c r="K51" s="16"/>
      <c r="L51" s="21">
        <f>+D51-H51</f>
        <v>-1358.3900000000012</v>
      </c>
      <c r="M51" s="16"/>
      <c r="N51" s="22">
        <f>IF(H51=0,0,L51/H51)</f>
        <v>0.20161153872412696</v>
      </c>
      <c r="O51" s="29"/>
      <c r="P51" s="21">
        <f>+P16-P18+P49</f>
        <v>-51817.57</v>
      </c>
      <c r="Q51" s="14"/>
      <c r="R51" s="22">
        <f>IF(P$12=0,0,P51/P$12)</f>
        <v>0</v>
      </c>
      <c r="S51" s="14"/>
      <c r="T51" s="21">
        <f>+T16-T18+T49</f>
        <v>-50817.600000000006</v>
      </c>
      <c r="U51" s="14"/>
      <c r="V51" s="22">
        <f>IF(T$12=0,0,T51/T$12)</f>
        <v>0</v>
      </c>
      <c r="W51" s="16"/>
      <c r="X51" s="21">
        <f>+P51-T51</f>
        <v>-999.96999999999389</v>
      </c>
      <c r="Y51" s="16"/>
      <c r="Z51" s="22">
        <f>IF(T51=0,0,X51/T51)</f>
        <v>1.9677631371808071E-2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4</v>
      </c>
      <c r="C55" s="28"/>
      <c r="D55" s="34">
        <f>+D51-D53</f>
        <v>-8096.0500000000011</v>
      </c>
      <c r="E55" s="14"/>
      <c r="F55" s="31">
        <f>IF(D$12=0,0,D55/D$12)</f>
        <v>0</v>
      </c>
      <c r="G55" s="14"/>
      <c r="H55" s="34">
        <f>+H51-H53</f>
        <v>-6737.66</v>
      </c>
      <c r="I55" s="14"/>
      <c r="J55" s="31">
        <f>IF(H$12=0,0,H55/H$12)</f>
        <v>0</v>
      </c>
      <c r="K55" s="16"/>
      <c r="L55" s="34">
        <f>D55-H55</f>
        <v>-1358.3900000000012</v>
      </c>
      <c r="M55" s="16"/>
      <c r="N55" s="31">
        <f>IF(H55=0,0,L55/H55)</f>
        <v>0.20161153872412696</v>
      </c>
      <c r="O55" s="29"/>
      <c r="P55" s="34">
        <f>+P51-P53</f>
        <v>-51817.57</v>
      </c>
      <c r="Q55" s="14"/>
      <c r="R55" s="31">
        <f>IF(P$12=0,0,P55/P$12)</f>
        <v>0</v>
      </c>
      <c r="S55" s="14"/>
      <c r="T55" s="34">
        <f>+T51-T53</f>
        <v>-50817.600000000006</v>
      </c>
      <c r="U55" s="14"/>
      <c r="V55" s="31">
        <f>IF(T$12=0,0,T55/T$12)</f>
        <v>0</v>
      </c>
      <c r="W55" s="16"/>
      <c r="X55" s="34">
        <f>P55-T55</f>
        <v>-999.96999999999389</v>
      </c>
      <c r="Y55" s="16"/>
      <c r="Z55" s="31">
        <f>IF(T55=0,0,X55/T55)</f>
        <v>1.9677631371808071E-2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5</v>
      </c>
      <c r="C58" s="28"/>
      <c r="D58" s="30">
        <f>SUM(D55:D57)</f>
        <v>-8096.0500000000011</v>
      </c>
      <c r="E58" s="14"/>
      <c r="F58" s="33">
        <f>IF(D$12=0,0,D58/D$12)</f>
        <v>0</v>
      </c>
      <c r="G58" s="14"/>
      <c r="H58" s="30">
        <f>SUM(H55:H57)</f>
        <v>-6737.66</v>
      </c>
      <c r="I58" s="14"/>
      <c r="J58" s="33">
        <f>IF(H$12=0,0,H58/H$12)</f>
        <v>0</v>
      </c>
      <c r="K58" s="16"/>
      <c r="L58" s="30">
        <f>+D58-H58</f>
        <v>-1358.3900000000012</v>
      </c>
      <c r="M58" s="16"/>
      <c r="N58" s="33">
        <f>IF(H58=0,0,L58/H58)</f>
        <v>0.20161153872412696</v>
      </c>
      <c r="O58" s="29"/>
      <c r="P58" s="30">
        <f>SUM(P55:P57)</f>
        <v>-51817.57</v>
      </c>
      <c r="Q58" s="14"/>
      <c r="R58" s="33">
        <f>IF(P$12=0,0,P58/P$12)</f>
        <v>0</v>
      </c>
      <c r="S58" s="14"/>
      <c r="T58" s="30">
        <f>SUM(T55:T57)</f>
        <v>-50817.600000000006</v>
      </c>
      <c r="U58" s="14"/>
      <c r="V58" s="33">
        <f>IF(T$12=0,0,T58/T$12)</f>
        <v>0</v>
      </c>
      <c r="W58" s="16"/>
      <c r="X58" s="30">
        <f>+P58-T58</f>
        <v>-999.96999999999389</v>
      </c>
      <c r="Y58" s="16"/>
      <c r="Z58" s="33">
        <f>IF(T58=0,0,X58/T58)</f>
        <v>1.9677631371808071E-2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61">
        <v>43879.553660381942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5" t="s">
        <v>313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8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2354621.2199999997</v>
      </c>
      <c r="E12" s="4"/>
      <c r="F12" s="12"/>
      <c r="G12" s="4"/>
      <c r="H12" s="4">
        <f>SUM(OSRRefH13x_0)</f>
        <v>2776506.33</v>
      </c>
      <c r="I12" s="4"/>
      <c r="J12" s="12"/>
      <c r="K12" s="4"/>
      <c r="L12" s="4">
        <f t="shared" ref="L12:L108" si="0">+D12-H12</f>
        <v>-421885.11000000034</v>
      </c>
      <c r="M12" s="4"/>
      <c r="N12" s="12">
        <f t="shared" ref="N12:N108" si="1">IF(H12=0,0,L12/H12)</f>
        <v>-0.15194818950763939</v>
      </c>
      <c r="O12" s="10"/>
      <c r="P12" s="4">
        <f>SUM(OSRRefP13x_0)</f>
        <v>9496598.349999994</v>
      </c>
      <c r="Q12" s="4"/>
      <c r="R12" s="12"/>
      <c r="S12" s="4"/>
      <c r="T12" s="4">
        <f>SUM(OSRRefT13x_0)</f>
        <v>10243584.020000001</v>
      </c>
      <c r="U12" s="4"/>
      <c r="V12" s="12"/>
      <c r="W12" s="4"/>
      <c r="X12" s="4">
        <f t="shared" ref="X12:X108" si="2">+P12-T12</f>
        <v>-746985.67000000738</v>
      </c>
      <c r="Y12" s="4"/>
      <c r="Z12" s="12">
        <f t="shared" ref="Z12:Z108" si="3">IF(T12=0,0,X12/T12)</f>
        <v>-7.2922296389775432E-2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>
        <f>--1043516.6</f>
        <v>1043516.6</v>
      </c>
      <c r="I14" s="2"/>
      <c r="J14" s="19"/>
      <c r="K14" s="2"/>
      <c r="L14" s="2">
        <f t="shared" si="0"/>
        <v>-297574.21999999997</v>
      </c>
      <c r="M14" s="2"/>
      <c r="N14" s="19">
        <f t="shared" si="1"/>
        <v>-0.28516481673602506</v>
      </c>
      <c r="O14" s="11"/>
      <c r="P14" s="2">
        <f>--2285976.76</f>
        <v>2285976.7599999998</v>
      </c>
      <c r="Q14" s="2"/>
      <c r="R14" s="19"/>
      <c r="S14" s="2"/>
      <c r="T14" s="2">
        <f>--2913143.85</f>
        <v>2913143.85</v>
      </c>
      <c r="U14" s="2"/>
      <c r="V14" s="19"/>
      <c r="W14" s="2"/>
      <c r="X14" s="2">
        <f t="shared" si="2"/>
        <v>-627167.09000000032</v>
      </c>
      <c r="Y14" s="2"/>
      <c r="Z14" s="19">
        <f t="shared" si="3"/>
        <v>-0.21528874724123229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>
        <f>--553527.23</f>
        <v>553527.23</v>
      </c>
      <c r="I15" s="2"/>
      <c r="J15" s="19"/>
      <c r="K15" s="2"/>
      <c r="L15" s="2">
        <f t="shared" si="0"/>
        <v>-41207.789999999979</v>
      </c>
      <c r="M15" s="2"/>
      <c r="N15" s="19">
        <f t="shared" si="1"/>
        <v>-7.4445822656276514E-2</v>
      </c>
      <c r="O15" s="11"/>
      <c r="P15" s="2">
        <f>--1193414.41</f>
        <v>1193414.4099999999</v>
      </c>
      <c r="Q15" s="2"/>
      <c r="R15" s="19"/>
      <c r="S15" s="2"/>
      <c r="T15" s="2">
        <f>--1309468.68</f>
        <v>1309468.68</v>
      </c>
      <c r="U15" s="2"/>
      <c r="V15" s="19"/>
      <c r="W15" s="2"/>
      <c r="X15" s="2">
        <f t="shared" si="2"/>
        <v>-116054.27000000002</v>
      </c>
      <c r="Y15" s="2"/>
      <c r="Z15" s="19">
        <f t="shared" si="3"/>
        <v>-8.8626991826944668E-2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>
        <f>--4636.4</f>
        <v>4636.3999999999996</v>
      </c>
      <c r="I16" s="2"/>
      <c r="J16" s="19"/>
      <c r="K16" s="2"/>
      <c r="L16" s="2">
        <f t="shared" si="0"/>
        <v>11204.94</v>
      </c>
      <c r="M16" s="2"/>
      <c r="N16" s="19">
        <f t="shared" si="1"/>
        <v>2.416732809938746</v>
      </c>
      <c r="O16" s="11"/>
      <c r="P16" s="2">
        <f>--32272.01</f>
        <v>32272.01</v>
      </c>
      <c r="Q16" s="2"/>
      <c r="R16" s="19"/>
      <c r="S16" s="2"/>
      <c r="T16" s="2">
        <f>--14580.65</f>
        <v>14580.65</v>
      </c>
      <c r="U16" s="2"/>
      <c r="V16" s="19"/>
      <c r="W16" s="2"/>
      <c r="X16" s="2">
        <f t="shared" si="2"/>
        <v>17691.36</v>
      </c>
      <c r="Y16" s="2"/>
      <c r="Z16" s="19">
        <f t="shared" si="3"/>
        <v>1.2133450840668969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>
        <f>--25647.37</f>
        <v>25647.37</v>
      </c>
      <c r="I17" s="2"/>
      <c r="J17" s="19"/>
      <c r="K17" s="2"/>
      <c r="L17" s="2">
        <f t="shared" si="0"/>
        <v>-14725.839999999998</v>
      </c>
      <c r="M17" s="2"/>
      <c r="N17" s="19">
        <f t="shared" si="1"/>
        <v>-0.57416569418228847</v>
      </c>
      <c r="O17" s="11"/>
      <c r="P17" s="2">
        <f>--41201.41</f>
        <v>41201.410000000003</v>
      </c>
      <c r="Q17" s="2"/>
      <c r="R17" s="19"/>
      <c r="S17" s="2"/>
      <c r="T17" s="2">
        <f>--68329.47</f>
        <v>68329.47</v>
      </c>
      <c r="U17" s="2"/>
      <c r="V17" s="19"/>
      <c r="W17" s="2"/>
      <c r="X17" s="2">
        <f t="shared" si="2"/>
        <v>-27128.059999999998</v>
      </c>
      <c r="Y17" s="2"/>
      <c r="Z17" s="19">
        <f t="shared" si="3"/>
        <v>-0.39701844606726788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>
        <f>--229.95</f>
        <v>229.95</v>
      </c>
      <c r="I19" s="2"/>
      <c r="J19" s="19"/>
      <c r="K19" s="2"/>
      <c r="L19" s="2">
        <f t="shared" si="0"/>
        <v>-0.37999999999999545</v>
      </c>
      <c r="M19" s="2"/>
      <c r="N19" s="19">
        <f t="shared" si="1"/>
        <v>-1.6525331593824548E-3</v>
      </c>
      <c r="O19" s="11"/>
      <c r="P19" s="2">
        <f>--1509.89</f>
        <v>1509.89</v>
      </c>
      <c r="Q19" s="2"/>
      <c r="R19" s="19"/>
      <c r="S19" s="2"/>
      <c r="T19" s="2">
        <f>--3078.39</f>
        <v>3078.39</v>
      </c>
      <c r="U19" s="2"/>
      <c r="V19" s="19"/>
      <c r="W19" s="2"/>
      <c r="X19" s="2">
        <f t="shared" si="2"/>
        <v>-1568.4999999999998</v>
      </c>
      <c r="Y19" s="2"/>
      <c r="Z19" s="19">
        <f t="shared" si="3"/>
        <v>-0.50951958653711837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>
        <f>--276.12</f>
        <v>276.12</v>
      </c>
      <c r="I20" s="2"/>
      <c r="J20" s="19"/>
      <c r="K20" s="2"/>
      <c r="L20" s="2">
        <f t="shared" si="0"/>
        <v>-168.64</v>
      </c>
      <c r="M20" s="2"/>
      <c r="N20" s="19">
        <f t="shared" si="1"/>
        <v>-0.61074894973200056</v>
      </c>
      <c r="O20" s="11"/>
      <c r="P20" s="2">
        <f>--1100.17</f>
        <v>1100.17</v>
      </c>
      <c r="Q20" s="2"/>
      <c r="R20" s="19"/>
      <c r="S20" s="2"/>
      <c r="T20" s="2">
        <f>--1486.56</f>
        <v>1486.56</v>
      </c>
      <c r="U20" s="2"/>
      <c r="V20" s="19"/>
      <c r="W20" s="2"/>
      <c r="X20" s="2">
        <f t="shared" si="2"/>
        <v>-386.38999999999987</v>
      </c>
      <c r="Y20" s="2"/>
      <c r="Z20" s="19">
        <f t="shared" si="3"/>
        <v>-0.2599222365730276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>
        <f>--19.37</f>
        <v>19.37</v>
      </c>
      <c r="I21" s="2"/>
      <c r="J21" s="19"/>
      <c r="K21" s="2"/>
      <c r="L21" s="2">
        <f t="shared" si="0"/>
        <v>-6.3900000000000006</v>
      </c>
      <c r="M21" s="2"/>
      <c r="N21" s="19">
        <f t="shared" si="1"/>
        <v>-0.32989158492514198</v>
      </c>
      <c r="O21" s="11"/>
      <c r="P21" s="2">
        <f>--255.12</f>
        <v>255.12</v>
      </c>
      <c r="Q21" s="2"/>
      <c r="R21" s="19"/>
      <c r="S21" s="2"/>
      <c r="T21" s="2">
        <f>--670.39</f>
        <v>670.39</v>
      </c>
      <c r="U21" s="2"/>
      <c r="V21" s="19"/>
      <c r="W21" s="2"/>
      <c r="X21" s="2">
        <f t="shared" si="2"/>
        <v>-415.27</v>
      </c>
      <c r="Y21" s="2"/>
      <c r="Z21" s="19">
        <f t="shared" si="3"/>
        <v>-0.61944539745521265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>
        <f>--861.8</f>
        <v>861.8</v>
      </c>
      <c r="I22" s="2"/>
      <c r="J22" s="19"/>
      <c r="K22" s="2"/>
      <c r="L22" s="2">
        <f t="shared" si="0"/>
        <v>-124.28999999999996</v>
      </c>
      <c r="M22" s="2"/>
      <c r="N22" s="19">
        <f t="shared" si="1"/>
        <v>-0.14422139707588763</v>
      </c>
      <c r="O22" s="11"/>
      <c r="P22" s="2">
        <f>--3627.9</f>
        <v>3627.9</v>
      </c>
      <c r="Q22" s="2"/>
      <c r="R22" s="19"/>
      <c r="S22" s="2"/>
      <c r="T22" s="2">
        <f>--5029.28</f>
        <v>5029.28</v>
      </c>
      <c r="U22" s="2"/>
      <c r="V22" s="19"/>
      <c r="W22" s="2"/>
      <c r="X22" s="2">
        <f t="shared" si="2"/>
        <v>-1401.3799999999997</v>
      </c>
      <c r="Y22" s="2"/>
      <c r="Z22" s="19">
        <f t="shared" si="3"/>
        <v>-0.27864425921801922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--6.49</f>
        <v>6.49</v>
      </c>
      <c r="I23" s="2"/>
      <c r="J23" s="19"/>
      <c r="K23" s="2"/>
      <c r="L23" s="2">
        <f t="shared" si="0"/>
        <v>-6.49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-33.059999999999995</v>
      </c>
      <c r="Y23" s="2"/>
      <c r="Z23" s="19">
        <f t="shared" si="3"/>
        <v>-0.49387511204063334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>
        <f>--4685.73</f>
        <v>4685.7299999999996</v>
      </c>
      <c r="I24" s="2"/>
      <c r="J24" s="19"/>
      <c r="K24" s="2"/>
      <c r="L24" s="2">
        <f t="shared" si="0"/>
        <v>621.6200000000008</v>
      </c>
      <c r="M24" s="2"/>
      <c r="N24" s="19">
        <f t="shared" si="1"/>
        <v>0.13266235997379294</v>
      </c>
      <c r="O24" s="11"/>
      <c r="P24" s="2">
        <f>--40440.45</f>
        <v>40440.449999999997</v>
      </c>
      <c r="Q24" s="2"/>
      <c r="R24" s="19"/>
      <c r="S24" s="2"/>
      <c r="T24" s="2">
        <f>--38576.97</f>
        <v>38576.97</v>
      </c>
      <c r="U24" s="2"/>
      <c r="V24" s="19"/>
      <c r="W24" s="2"/>
      <c r="X24" s="2">
        <f t="shared" si="2"/>
        <v>1863.4799999999959</v>
      </c>
      <c r="Y24" s="2"/>
      <c r="Z24" s="19">
        <f t="shared" si="3"/>
        <v>4.8305504553623466E-2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>
        <f>--10467.53</f>
        <v>10467.530000000001</v>
      </c>
      <c r="I25" s="2"/>
      <c r="J25" s="19"/>
      <c r="K25" s="2"/>
      <c r="L25" s="2">
        <f t="shared" si="0"/>
        <v>3293.7899999999991</v>
      </c>
      <c r="M25" s="2"/>
      <c r="N25" s="19">
        <f t="shared" si="1"/>
        <v>0.31466735705558035</v>
      </c>
      <c r="O25" s="11"/>
      <c r="P25" s="2">
        <f>--63689.49</f>
        <v>63689.49</v>
      </c>
      <c r="Q25" s="2"/>
      <c r="R25" s="19"/>
      <c r="S25" s="2"/>
      <c r="T25" s="2">
        <f>--52629.6</f>
        <v>52629.599999999999</v>
      </c>
      <c r="U25" s="2"/>
      <c r="V25" s="19"/>
      <c r="W25" s="2"/>
      <c r="X25" s="2">
        <f t="shared" si="2"/>
        <v>11059.89</v>
      </c>
      <c r="Y25" s="2"/>
      <c r="Z25" s="19">
        <f t="shared" si="3"/>
        <v>0.21014581148251174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>
        <f>--61066.92</f>
        <v>61066.92</v>
      </c>
      <c r="I26" s="2"/>
      <c r="J26" s="19"/>
      <c r="K26" s="2"/>
      <c r="L26" s="2">
        <f t="shared" si="0"/>
        <v>5222.9300000000076</v>
      </c>
      <c r="M26" s="2"/>
      <c r="N26" s="19">
        <f t="shared" si="1"/>
        <v>8.5527974883947117E-2</v>
      </c>
      <c r="O26" s="11"/>
      <c r="P26" s="2">
        <f>--231647.32</f>
        <v>231647.32</v>
      </c>
      <c r="Q26" s="2"/>
      <c r="R26" s="19"/>
      <c r="S26" s="2"/>
      <c r="T26" s="2">
        <f>--212258.91</f>
        <v>212258.91</v>
      </c>
      <c r="U26" s="2"/>
      <c r="V26" s="19"/>
      <c r="W26" s="2"/>
      <c r="X26" s="2">
        <f t="shared" si="2"/>
        <v>19388.410000000003</v>
      </c>
      <c r="Y26" s="2"/>
      <c r="Z26" s="19">
        <f t="shared" si="3"/>
        <v>9.1343209102506012E-2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>
        <f>--40129.85</f>
        <v>40129.85</v>
      </c>
      <c r="I27" s="2"/>
      <c r="J27" s="19"/>
      <c r="K27" s="2"/>
      <c r="L27" s="2">
        <f t="shared" si="0"/>
        <v>2905.3600000000006</v>
      </c>
      <c r="M27" s="2"/>
      <c r="N27" s="19">
        <f t="shared" si="1"/>
        <v>7.2398974827964743E-2</v>
      </c>
      <c r="O27" s="11"/>
      <c r="P27" s="2">
        <f>--232672.78</f>
        <v>232672.78</v>
      </c>
      <c r="Q27" s="2"/>
      <c r="R27" s="19"/>
      <c r="S27" s="2"/>
      <c r="T27" s="2">
        <f>--236358.8</f>
        <v>236358.8</v>
      </c>
      <c r="U27" s="2"/>
      <c r="V27" s="19"/>
      <c r="W27" s="2"/>
      <c r="X27" s="2">
        <f t="shared" si="2"/>
        <v>-3686.0199999999895</v>
      </c>
      <c r="Y27" s="2"/>
      <c r="Z27" s="19">
        <f t="shared" si="3"/>
        <v>-1.559501909808304E-2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>
        <f>--38.84</f>
        <v>38.840000000000003</v>
      </c>
      <c r="I28" s="2"/>
      <c r="J28" s="19"/>
      <c r="K28" s="2"/>
      <c r="L28" s="2">
        <f t="shared" si="0"/>
        <v>4.1899999999999977</v>
      </c>
      <c r="M28" s="2"/>
      <c r="N28" s="19">
        <f t="shared" si="1"/>
        <v>0.10787847579814618</v>
      </c>
      <c r="O28" s="11"/>
      <c r="P28" s="2">
        <f>--349.97</f>
        <v>349.97</v>
      </c>
      <c r="Q28" s="2"/>
      <c r="R28" s="19"/>
      <c r="S28" s="2"/>
      <c r="T28" s="2">
        <f>--362.36</f>
        <v>362.36</v>
      </c>
      <c r="U28" s="2"/>
      <c r="V28" s="19"/>
      <c r="W28" s="2"/>
      <c r="X28" s="2">
        <f t="shared" si="2"/>
        <v>-12.389999999999986</v>
      </c>
      <c r="Y28" s="2"/>
      <c r="Z28" s="19">
        <f t="shared" si="3"/>
        <v>-3.4192515730213008E-2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--21699.65</f>
        <v>21699.65</v>
      </c>
      <c r="E29" s="2"/>
      <c r="F29" s="19"/>
      <c r="G29" s="2"/>
      <c r="H29" s="2">
        <f>--22580.96</f>
        <v>22580.959999999999</v>
      </c>
      <c r="I29" s="2"/>
      <c r="J29" s="19"/>
      <c r="K29" s="2"/>
      <c r="L29" s="2">
        <f t="shared" si="0"/>
        <v>-881.30999999999767</v>
      </c>
      <c r="M29" s="2"/>
      <c r="N29" s="19">
        <f t="shared" si="1"/>
        <v>-3.9028898682783981E-2</v>
      </c>
      <c r="O29" s="11"/>
      <c r="P29" s="2">
        <f>--212514.87</f>
        <v>212514.87</v>
      </c>
      <c r="Q29" s="2"/>
      <c r="R29" s="19"/>
      <c r="S29" s="2"/>
      <c r="T29" s="2">
        <f>--220296.34</f>
        <v>220296.34</v>
      </c>
      <c r="U29" s="2"/>
      <c r="V29" s="19"/>
      <c r="W29" s="2"/>
      <c r="X29" s="2">
        <f t="shared" si="2"/>
        <v>-7781.4700000000012</v>
      </c>
      <c r="Y29" s="2"/>
      <c r="Z29" s="19">
        <f t="shared" si="3"/>
        <v>-3.5322738453121831E-2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>
        <f>--15.65</f>
        <v>15.65</v>
      </c>
      <c r="I30" s="2"/>
      <c r="J30" s="19"/>
      <c r="K30" s="2"/>
      <c r="L30" s="2">
        <f t="shared" si="0"/>
        <v>-0.51999999999999957</v>
      </c>
      <c r="M30" s="2"/>
      <c r="N30" s="19">
        <f t="shared" si="1"/>
        <v>-3.3226837060702848E-2</v>
      </c>
      <c r="O30" s="11"/>
      <c r="P30" s="2">
        <f>--146.15</f>
        <v>146.15</v>
      </c>
      <c r="Q30" s="2"/>
      <c r="R30" s="19"/>
      <c r="S30" s="2"/>
      <c r="T30" s="2">
        <f>--148.09</f>
        <v>148.09</v>
      </c>
      <c r="U30" s="2"/>
      <c r="V30" s="19"/>
      <c r="W30" s="2"/>
      <c r="X30" s="2">
        <f t="shared" si="2"/>
        <v>-1.9399999999999977</v>
      </c>
      <c r="Y30" s="2"/>
      <c r="Z30" s="19">
        <f t="shared" si="3"/>
        <v>-1.3100141805658706E-2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--781.82</f>
        <v>781.82</v>
      </c>
      <c r="E31" s="2"/>
      <c r="F31" s="19"/>
      <c r="G31" s="2"/>
      <c r="H31" s="2">
        <f>--652.25</f>
        <v>652.25</v>
      </c>
      <c r="I31" s="2"/>
      <c r="J31" s="19"/>
      <c r="K31" s="2"/>
      <c r="L31" s="2">
        <f t="shared" si="0"/>
        <v>129.57000000000005</v>
      </c>
      <c r="M31" s="2"/>
      <c r="N31" s="19">
        <f t="shared" si="1"/>
        <v>0.19865082407052517</v>
      </c>
      <c r="O31" s="11"/>
      <c r="P31" s="2">
        <f>--8255.25</f>
        <v>8255.25</v>
      </c>
      <c r="Q31" s="2"/>
      <c r="R31" s="19"/>
      <c r="S31" s="2"/>
      <c r="T31" s="2">
        <f>--6398.95</f>
        <v>6398.95</v>
      </c>
      <c r="U31" s="2"/>
      <c r="V31" s="19"/>
      <c r="W31" s="2"/>
      <c r="X31" s="2">
        <f t="shared" si="2"/>
        <v>1856.3000000000002</v>
      </c>
      <c r="Y31" s="2"/>
      <c r="Z31" s="19">
        <f t="shared" si="3"/>
        <v>0.29009446862375859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>
        <f>--185.14</f>
        <v>185.14</v>
      </c>
      <c r="I32" s="2"/>
      <c r="J32" s="19"/>
      <c r="K32" s="2"/>
      <c r="L32" s="2">
        <f t="shared" si="0"/>
        <v>-13.739999999999981</v>
      </c>
      <c r="M32" s="2"/>
      <c r="N32" s="19">
        <f t="shared" si="1"/>
        <v>-7.421410824241105E-2</v>
      </c>
      <c r="O32" s="11"/>
      <c r="P32" s="2">
        <f>--1438.49</f>
        <v>1438.49</v>
      </c>
      <c r="Q32" s="2"/>
      <c r="R32" s="19"/>
      <c r="S32" s="2"/>
      <c r="T32" s="2">
        <f>--1774.77</f>
        <v>1774.77</v>
      </c>
      <c r="U32" s="2"/>
      <c r="V32" s="19"/>
      <c r="W32" s="2"/>
      <c r="X32" s="2">
        <f t="shared" si="2"/>
        <v>-336.28</v>
      </c>
      <c r="Y32" s="2"/>
      <c r="Z32" s="19">
        <f t="shared" si="3"/>
        <v>-0.18947807321512081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>
        <f>--55.84</f>
        <v>55.84</v>
      </c>
      <c r="I33" s="2"/>
      <c r="J33" s="19"/>
      <c r="K33" s="2"/>
      <c r="L33" s="2">
        <f t="shared" si="0"/>
        <v>-38</v>
      </c>
      <c r="M33" s="2"/>
      <c r="N33" s="19">
        <f t="shared" si="1"/>
        <v>-0.68051575931232089</v>
      </c>
      <c r="O33" s="11"/>
      <c r="P33" s="2">
        <f>--414.1</f>
        <v>414.1</v>
      </c>
      <c r="Q33" s="2"/>
      <c r="R33" s="19"/>
      <c r="S33" s="2"/>
      <c r="T33" s="2">
        <f>--473.67</f>
        <v>473.67</v>
      </c>
      <c r="U33" s="2"/>
      <c r="V33" s="19"/>
      <c r="W33" s="2"/>
      <c r="X33" s="2">
        <f t="shared" si="2"/>
        <v>-59.569999999999993</v>
      </c>
      <c r="Y33" s="2"/>
      <c r="Z33" s="19">
        <f t="shared" si="3"/>
        <v>-0.12576266176874193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>
        <f>--170910.81</f>
        <v>170910.81</v>
      </c>
      <c r="I34" s="2"/>
      <c r="J34" s="19"/>
      <c r="K34" s="2"/>
      <c r="L34" s="2">
        <f t="shared" si="0"/>
        <v>21917</v>
      </c>
      <c r="M34" s="2"/>
      <c r="N34" s="19">
        <f t="shared" si="1"/>
        <v>0.12823647608948785</v>
      </c>
      <c r="O34" s="11"/>
      <c r="P34" s="2">
        <f>--1484618.99</f>
        <v>1484618.99</v>
      </c>
      <c r="Q34" s="2"/>
      <c r="R34" s="19"/>
      <c r="S34" s="2"/>
      <c r="T34" s="2">
        <f>--1368023.97</f>
        <v>1368023.97</v>
      </c>
      <c r="U34" s="2"/>
      <c r="V34" s="19"/>
      <c r="W34" s="2"/>
      <c r="X34" s="2">
        <f t="shared" si="2"/>
        <v>116595.02000000002</v>
      </c>
      <c r="Y34" s="2"/>
      <c r="Z34" s="19">
        <f t="shared" si="3"/>
        <v>8.5228784404998412E-2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>
        <f>--100302.3</f>
        <v>100302.3</v>
      </c>
      <c r="I35" s="2"/>
      <c r="J35" s="19"/>
      <c r="K35" s="2"/>
      <c r="L35" s="2">
        <f t="shared" si="0"/>
        <v>4139.3699999999953</v>
      </c>
      <c r="M35" s="2"/>
      <c r="N35" s="19">
        <f t="shared" si="1"/>
        <v>4.1268943982341336E-2</v>
      </c>
      <c r="O35" s="11"/>
      <c r="P35" s="2">
        <f>--400568.48</f>
        <v>400568.48</v>
      </c>
      <c r="Q35" s="2"/>
      <c r="R35" s="19"/>
      <c r="S35" s="2"/>
      <c r="T35" s="2">
        <f>--416134.16</f>
        <v>416134.16</v>
      </c>
      <c r="U35" s="2"/>
      <c r="V35" s="19"/>
      <c r="W35" s="2"/>
      <c r="X35" s="2">
        <f t="shared" si="2"/>
        <v>-15565.679999999993</v>
      </c>
      <c r="Y35" s="2"/>
      <c r="Z35" s="19">
        <f t="shared" si="3"/>
        <v>-3.7405436746649194E-2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>
        <f>--23930.76</f>
        <v>23930.76</v>
      </c>
      <c r="I36" s="2"/>
      <c r="J36" s="19"/>
      <c r="K36" s="2"/>
      <c r="L36" s="2">
        <f t="shared" si="0"/>
        <v>9112.3600000000042</v>
      </c>
      <c r="M36" s="2"/>
      <c r="N36" s="19">
        <f t="shared" si="1"/>
        <v>0.38078021759442676</v>
      </c>
      <c r="O36" s="11"/>
      <c r="P36" s="2">
        <f>--232995.22</f>
        <v>232995.22</v>
      </c>
      <c r="Q36" s="2"/>
      <c r="R36" s="19"/>
      <c r="S36" s="2"/>
      <c r="T36" s="2">
        <f>--183148.97</f>
        <v>183148.97</v>
      </c>
      <c r="U36" s="2"/>
      <c r="V36" s="19"/>
      <c r="W36" s="2"/>
      <c r="X36" s="2">
        <f t="shared" si="2"/>
        <v>49846.25</v>
      </c>
      <c r="Y36" s="2"/>
      <c r="Z36" s="19">
        <f t="shared" si="3"/>
        <v>0.27216232774882654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>
        <f>--280.58</f>
        <v>280.58</v>
      </c>
      <c r="I37" s="2"/>
      <c r="J37" s="19"/>
      <c r="K37" s="2"/>
      <c r="L37" s="2">
        <f t="shared" si="0"/>
        <v>8029.67</v>
      </c>
      <c r="M37" s="2"/>
      <c r="N37" s="19">
        <f t="shared" si="1"/>
        <v>28.618112481288762</v>
      </c>
      <c r="O37" s="11"/>
      <c r="P37" s="2">
        <f>--22630.71</f>
        <v>22630.71</v>
      </c>
      <c r="Q37" s="2"/>
      <c r="R37" s="19"/>
      <c r="S37" s="2"/>
      <c r="T37" s="2">
        <f>--2454.25</f>
        <v>2454.25</v>
      </c>
      <c r="U37" s="2"/>
      <c r="V37" s="19"/>
      <c r="W37" s="2"/>
      <c r="X37" s="2">
        <f t="shared" si="2"/>
        <v>20176.46</v>
      </c>
      <c r="Y37" s="2"/>
      <c r="Z37" s="19">
        <f t="shared" si="3"/>
        <v>8.2210288275440551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>
        <f>--14130.01</f>
        <v>14130.01</v>
      </c>
      <c r="I38" s="2"/>
      <c r="J38" s="19"/>
      <c r="K38" s="2"/>
      <c r="L38" s="2">
        <f t="shared" si="0"/>
        <v>-7780.05</v>
      </c>
      <c r="M38" s="2"/>
      <c r="N38" s="19">
        <f t="shared" si="1"/>
        <v>-0.55060470587069643</v>
      </c>
      <c r="O38" s="11"/>
      <c r="P38" s="2">
        <f>--53086.16</f>
        <v>53086.16</v>
      </c>
      <c r="Q38" s="2"/>
      <c r="R38" s="19"/>
      <c r="S38" s="2"/>
      <c r="T38" s="2">
        <f>--59857.07</f>
        <v>59857.07</v>
      </c>
      <c r="U38" s="2"/>
      <c r="V38" s="19"/>
      <c r="W38" s="2"/>
      <c r="X38" s="2">
        <f t="shared" si="2"/>
        <v>-6770.9099999999962</v>
      </c>
      <c r="Y38" s="2"/>
      <c r="Z38" s="19">
        <f t="shared" si="3"/>
        <v>-0.11311796584764333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>
        <f>--7692.77</f>
        <v>7692.77</v>
      </c>
      <c r="I39" s="2"/>
      <c r="J39" s="19"/>
      <c r="K39" s="2"/>
      <c r="L39" s="2">
        <f t="shared" si="0"/>
        <v>1039.4399999999987</v>
      </c>
      <c r="M39" s="2"/>
      <c r="N39" s="19">
        <f t="shared" si="1"/>
        <v>0.13511907934333128</v>
      </c>
      <c r="O39" s="11"/>
      <c r="P39" s="2">
        <f>--69738.03</f>
        <v>69738.03</v>
      </c>
      <c r="Q39" s="2"/>
      <c r="R39" s="19"/>
      <c r="S39" s="2"/>
      <c r="T39" s="2">
        <f>--75947.26</f>
        <v>75947.259999999995</v>
      </c>
      <c r="U39" s="2"/>
      <c r="V39" s="19"/>
      <c r="W39" s="2"/>
      <c r="X39" s="2">
        <f t="shared" si="2"/>
        <v>-6209.2299999999959</v>
      </c>
      <c r="Y39" s="2"/>
      <c r="Z39" s="19">
        <f t="shared" si="3"/>
        <v>-8.1757129881973312E-2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>
        <f>--380.08</f>
        <v>380.08</v>
      </c>
      <c r="I40" s="2"/>
      <c r="J40" s="19"/>
      <c r="K40" s="2"/>
      <c r="L40" s="2">
        <f t="shared" si="0"/>
        <v>-196.98</v>
      </c>
      <c r="M40" s="2"/>
      <c r="N40" s="19">
        <f t="shared" si="1"/>
        <v>-0.51825931382866763</v>
      </c>
      <c r="O40" s="11"/>
      <c r="P40" s="2">
        <f>--1977.04</f>
        <v>1977.04</v>
      </c>
      <c r="Q40" s="2"/>
      <c r="R40" s="19"/>
      <c r="S40" s="2"/>
      <c r="T40" s="2">
        <f>--2272.36</f>
        <v>2272.36</v>
      </c>
      <c r="U40" s="2"/>
      <c r="V40" s="19"/>
      <c r="W40" s="2"/>
      <c r="X40" s="2">
        <f t="shared" si="2"/>
        <v>-295.32000000000016</v>
      </c>
      <c r="Y40" s="2"/>
      <c r="Z40" s="19">
        <f t="shared" si="3"/>
        <v>-0.12996180182717534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--8565.55</f>
        <v>8565.5499999999993</v>
      </c>
      <c r="E41" s="2"/>
      <c r="F41" s="19"/>
      <c r="G41" s="2"/>
      <c r="H41" s="2">
        <f>--10751.3</f>
        <v>10751.3</v>
      </c>
      <c r="I41" s="2"/>
      <c r="J41" s="19"/>
      <c r="K41" s="2"/>
      <c r="L41" s="2">
        <f t="shared" si="0"/>
        <v>-2185.75</v>
      </c>
      <c r="M41" s="2"/>
      <c r="N41" s="19">
        <f t="shared" si="1"/>
        <v>-0.20330099615860409</v>
      </c>
      <c r="O41" s="11"/>
      <c r="P41" s="2">
        <f>--116936.71</f>
        <v>116936.71</v>
      </c>
      <c r="Q41" s="2"/>
      <c r="R41" s="19"/>
      <c r="S41" s="2"/>
      <c r="T41" s="2">
        <f>--139585.48</f>
        <v>139585.48000000001</v>
      </c>
      <c r="U41" s="2"/>
      <c r="V41" s="19"/>
      <c r="W41" s="2"/>
      <c r="X41" s="2">
        <f t="shared" si="2"/>
        <v>-22648.770000000004</v>
      </c>
      <c r="Y41" s="2"/>
      <c r="Z41" s="19">
        <f t="shared" si="3"/>
        <v>-0.16225734940339068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--266.85</f>
        <v>266.85000000000002</v>
      </c>
      <c r="E42" s="2"/>
      <c r="F42" s="19"/>
      <c r="G42" s="2"/>
      <c r="H42" s="2">
        <f>--178.83</f>
        <v>178.83</v>
      </c>
      <c r="I42" s="2"/>
      <c r="J42" s="19"/>
      <c r="K42" s="2"/>
      <c r="L42" s="2">
        <f t="shared" si="0"/>
        <v>88.02000000000001</v>
      </c>
      <c r="M42" s="2"/>
      <c r="N42" s="19">
        <f t="shared" si="1"/>
        <v>0.49219929542023155</v>
      </c>
      <c r="O42" s="11"/>
      <c r="P42" s="2">
        <f>--2801.28</f>
        <v>2801.28</v>
      </c>
      <c r="Q42" s="2"/>
      <c r="R42" s="19"/>
      <c r="S42" s="2"/>
      <c r="T42" s="2">
        <f>--3047.73</f>
        <v>3047.73</v>
      </c>
      <c r="U42" s="2"/>
      <c r="V42" s="19"/>
      <c r="W42" s="2"/>
      <c r="X42" s="2">
        <f t="shared" si="2"/>
        <v>-246.44999999999982</v>
      </c>
      <c r="Y42" s="2"/>
      <c r="Z42" s="19">
        <f t="shared" si="3"/>
        <v>-8.0863462314575044E-2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--38</f>
        <v>38</v>
      </c>
      <c r="E43" s="2"/>
      <c r="F43" s="19"/>
      <c r="G43" s="2"/>
      <c r="H43" s="2">
        <f>--241</f>
        <v>241</v>
      </c>
      <c r="I43" s="2"/>
      <c r="J43" s="19"/>
      <c r="K43" s="2"/>
      <c r="L43" s="2">
        <f t="shared" si="0"/>
        <v>-203</v>
      </c>
      <c r="M43" s="2"/>
      <c r="N43" s="19">
        <f t="shared" si="1"/>
        <v>-0.84232365145228216</v>
      </c>
      <c r="O43" s="11"/>
      <c r="P43" s="2">
        <f>--219</f>
        <v>219</v>
      </c>
      <c r="Q43" s="2"/>
      <c r="R43" s="19"/>
      <c r="S43" s="2"/>
      <c r="T43" s="2">
        <f>--790</f>
        <v>790</v>
      </c>
      <c r="U43" s="2"/>
      <c r="V43" s="19"/>
      <c r="W43" s="2"/>
      <c r="X43" s="2">
        <f t="shared" si="2"/>
        <v>-571</v>
      </c>
      <c r="Y43" s="2"/>
      <c r="Z43" s="19">
        <f t="shared" si="3"/>
        <v>-0.72278481012658224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--149.91</f>
        <v>149.91</v>
      </c>
      <c r="E44" s="2"/>
      <c r="F44" s="19"/>
      <c r="G44" s="2"/>
      <c r="H44" s="2">
        <f>--39.96</f>
        <v>39.96</v>
      </c>
      <c r="I44" s="2"/>
      <c r="J44" s="19"/>
      <c r="K44" s="2"/>
      <c r="L44" s="2">
        <f t="shared" si="0"/>
        <v>109.94999999999999</v>
      </c>
      <c r="M44" s="2"/>
      <c r="N44" s="19">
        <f t="shared" si="1"/>
        <v>2.751501501501501</v>
      </c>
      <c r="O44" s="11"/>
      <c r="P44" s="2">
        <f>--849.39</f>
        <v>849.39</v>
      </c>
      <c r="Q44" s="2"/>
      <c r="R44" s="19"/>
      <c r="S44" s="2"/>
      <c r="T44" s="2">
        <f>--884.29</f>
        <v>884.29</v>
      </c>
      <c r="U44" s="2"/>
      <c r="V44" s="19"/>
      <c r="W44" s="2"/>
      <c r="X44" s="2">
        <f t="shared" si="2"/>
        <v>-34.899999999999977</v>
      </c>
      <c r="Y44" s="2"/>
      <c r="Z44" s="19">
        <f t="shared" si="3"/>
        <v>-3.9466690791482406E-2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--76.99</f>
        <v>76.989999999999995</v>
      </c>
      <c r="E45" s="2"/>
      <c r="F45" s="19"/>
      <c r="G45" s="2"/>
      <c r="H45" s="2">
        <f>--142.17</f>
        <v>142.16999999999999</v>
      </c>
      <c r="I45" s="2"/>
      <c r="J45" s="19"/>
      <c r="K45" s="2"/>
      <c r="L45" s="2">
        <f t="shared" si="0"/>
        <v>-65.179999999999993</v>
      </c>
      <c r="M45" s="2"/>
      <c r="N45" s="19">
        <f t="shared" si="1"/>
        <v>-0.45846521769712317</v>
      </c>
      <c r="O45" s="11"/>
      <c r="P45" s="2">
        <f>--775.76</f>
        <v>775.76</v>
      </c>
      <c r="Q45" s="2"/>
      <c r="R45" s="19"/>
      <c r="S45" s="2"/>
      <c r="T45" s="2">
        <f>--1415.49</f>
        <v>1415.49</v>
      </c>
      <c r="U45" s="2"/>
      <c r="V45" s="19"/>
      <c r="W45" s="2"/>
      <c r="X45" s="2">
        <f t="shared" si="2"/>
        <v>-639.73</v>
      </c>
      <c r="Y45" s="2"/>
      <c r="Z45" s="19">
        <f t="shared" si="3"/>
        <v>-0.45194950158602321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0</f>
        <v>0</v>
      </c>
      <c r="E46" s="2"/>
      <c r="F46" s="19"/>
      <c r="G46" s="2"/>
      <c r="H46" s="2">
        <f>--129.8</f>
        <v>129.80000000000001</v>
      </c>
      <c r="I46" s="2"/>
      <c r="J46" s="19"/>
      <c r="K46" s="2"/>
      <c r="L46" s="2">
        <f t="shared" si="0"/>
        <v>-129.80000000000001</v>
      </c>
      <c r="M46" s="2"/>
      <c r="N46" s="19">
        <f t="shared" si="1"/>
        <v>-1</v>
      </c>
      <c r="O46" s="11"/>
      <c r="P46" s="2">
        <f>--7659.37</f>
        <v>7659.37</v>
      </c>
      <c r="Q46" s="2"/>
      <c r="R46" s="19"/>
      <c r="S46" s="2"/>
      <c r="T46" s="2">
        <f>--7090.86</f>
        <v>7090.86</v>
      </c>
      <c r="U46" s="2"/>
      <c r="V46" s="19"/>
      <c r="W46" s="2"/>
      <c r="X46" s="2">
        <f t="shared" si="2"/>
        <v>568.51000000000022</v>
      </c>
      <c r="Y46" s="2"/>
      <c r="Z46" s="19">
        <f t="shared" si="3"/>
        <v>8.0175042237471933E-2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--11.93</f>
        <v>11.93</v>
      </c>
      <c r="E47" s="2"/>
      <c r="F47" s="19"/>
      <c r="G47" s="2"/>
      <c r="H47" s="2">
        <f>--294.23</f>
        <v>294.23</v>
      </c>
      <c r="I47" s="2"/>
      <c r="J47" s="19"/>
      <c r="K47" s="2"/>
      <c r="L47" s="2">
        <f t="shared" si="0"/>
        <v>-282.3</v>
      </c>
      <c r="M47" s="2"/>
      <c r="N47" s="19">
        <f t="shared" si="1"/>
        <v>-0.95945348876729086</v>
      </c>
      <c r="O47" s="11"/>
      <c r="P47" s="2">
        <f>--309.26</f>
        <v>309.26</v>
      </c>
      <c r="Q47" s="2"/>
      <c r="R47" s="19"/>
      <c r="S47" s="2"/>
      <c r="T47" s="2">
        <f>--1627.01</f>
        <v>1627.01</v>
      </c>
      <c r="U47" s="2"/>
      <c r="V47" s="19"/>
      <c r="W47" s="2"/>
      <c r="X47" s="2">
        <f t="shared" si="2"/>
        <v>-1317.75</v>
      </c>
      <c r="Y47" s="2"/>
      <c r="Z47" s="19">
        <f t="shared" si="3"/>
        <v>-0.80992126661790642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--214291.61</f>
        <v>214291.61</v>
      </c>
      <c r="E48" s="2"/>
      <c r="F48" s="19"/>
      <c r="G48" s="2"/>
      <c r="H48" s="2">
        <f>--352730.12</f>
        <v>352730.12</v>
      </c>
      <c r="I48" s="2"/>
      <c r="J48" s="19"/>
      <c r="K48" s="2"/>
      <c r="L48" s="2">
        <f t="shared" si="0"/>
        <v>-138438.51</v>
      </c>
      <c r="M48" s="2"/>
      <c r="N48" s="19">
        <f t="shared" si="1"/>
        <v>-0.39247714371542758</v>
      </c>
      <c r="O48" s="11"/>
      <c r="P48" s="2">
        <f>--550220.16</f>
        <v>550220.16</v>
      </c>
      <c r="Q48" s="2"/>
      <c r="R48" s="19"/>
      <c r="S48" s="2"/>
      <c r="T48" s="2">
        <f>--743316.04</f>
        <v>743316.04</v>
      </c>
      <c r="U48" s="2"/>
      <c r="V48" s="19"/>
      <c r="W48" s="2"/>
      <c r="X48" s="2">
        <f t="shared" si="2"/>
        <v>-193095.88</v>
      </c>
      <c r="Y48" s="2"/>
      <c r="Z48" s="19">
        <f t="shared" si="3"/>
        <v>-0.259776285737087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--37117.66</f>
        <v>37117.660000000003</v>
      </c>
      <c r="E49" s="2"/>
      <c r="F49" s="19"/>
      <c r="G49" s="2"/>
      <c r="H49" s="2">
        <f>--53494.81</f>
        <v>53494.81</v>
      </c>
      <c r="I49" s="2"/>
      <c r="J49" s="19"/>
      <c r="K49" s="2"/>
      <c r="L49" s="2">
        <f t="shared" si="0"/>
        <v>-16377.149999999994</v>
      </c>
      <c r="M49" s="2"/>
      <c r="N49" s="19">
        <f t="shared" si="1"/>
        <v>-0.30614465216345277</v>
      </c>
      <c r="O49" s="11"/>
      <c r="P49" s="2">
        <f>--132405.23</f>
        <v>132405.23000000001</v>
      </c>
      <c r="Q49" s="2"/>
      <c r="R49" s="19"/>
      <c r="S49" s="2"/>
      <c r="T49" s="2">
        <f>--247756.04</f>
        <v>247756.04</v>
      </c>
      <c r="U49" s="2"/>
      <c r="V49" s="19"/>
      <c r="W49" s="2"/>
      <c r="X49" s="2">
        <f t="shared" si="2"/>
        <v>-115350.81</v>
      </c>
      <c r="Y49" s="2"/>
      <c r="Z49" s="19">
        <f t="shared" si="3"/>
        <v>-0.46558223161784468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--28414.21</f>
        <v>28414.21</v>
      </c>
      <c r="E50" s="2"/>
      <c r="F50" s="19"/>
      <c r="G50" s="2"/>
      <c r="H50" s="2">
        <f>--27386.23</f>
        <v>27386.23</v>
      </c>
      <c r="I50" s="2"/>
      <c r="J50" s="19"/>
      <c r="K50" s="2"/>
      <c r="L50" s="2">
        <f t="shared" si="0"/>
        <v>1027.9799999999996</v>
      </c>
      <c r="M50" s="2"/>
      <c r="N50" s="19">
        <f t="shared" si="1"/>
        <v>3.7536382335210054E-2</v>
      </c>
      <c r="O50" s="11"/>
      <c r="P50" s="2">
        <f>--66616.8</f>
        <v>66616.800000000003</v>
      </c>
      <c r="Q50" s="2"/>
      <c r="R50" s="19"/>
      <c r="S50" s="2"/>
      <c r="T50" s="2">
        <f>--81341.89</f>
        <v>81341.89</v>
      </c>
      <c r="U50" s="2"/>
      <c r="V50" s="19"/>
      <c r="W50" s="2"/>
      <c r="X50" s="2">
        <f t="shared" si="2"/>
        <v>-14725.089999999997</v>
      </c>
      <c r="Y50" s="2"/>
      <c r="Z50" s="19">
        <f t="shared" si="3"/>
        <v>-0.18102714357878821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--334.99</f>
        <v>334.99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334.99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>
        <f>--509.85</f>
        <v>509.85</v>
      </c>
      <c r="U51" s="2"/>
      <c r="V51" s="19"/>
      <c r="W51" s="2"/>
      <c r="X51" s="2">
        <f t="shared" si="2"/>
        <v>155.12</v>
      </c>
      <c r="Y51" s="2"/>
      <c r="Z51" s="19">
        <f t="shared" si="3"/>
        <v>0.30424634696479358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--169179.13</f>
        <v>169179.13</v>
      </c>
      <c r="E52" s="2"/>
      <c r="F52" s="19"/>
      <c r="G52" s="2"/>
      <c r="H52" s="2">
        <f>--168068.46</f>
        <v>168068.46</v>
      </c>
      <c r="I52" s="2"/>
      <c r="J52" s="19"/>
      <c r="K52" s="2"/>
      <c r="L52" s="2">
        <f t="shared" si="0"/>
        <v>1110.6700000000128</v>
      </c>
      <c r="M52" s="2"/>
      <c r="N52" s="19">
        <f t="shared" si="1"/>
        <v>6.6084380138903684E-3</v>
      </c>
      <c r="O52" s="11"/>
      <c r="P52" s="2">
        <f>--502067.96</f>
        <v>502067.96</v>
      </c>
      <c r="Q52" s="2"/>
      <c r="R52" s="19"/>
      <c r="S52" s="2"/>
      <c r="T52" s="2">
        <f>--509033.58</f>
        <v>509033.58</v>
      </c>
      <c r="U52" s="2"/>
      <c r="V52" s="19"/>
      <c r="W52" s="2"/>
      <c r="X52" s="2">
        <f t="shared" si="2"/>
        <v>-6965.6199999999953</v>
      </c>
      <c r="Y52" s="2"/>
      <c r="Z52" s="19">
        <f t="shared" si="3"/>
        <v>-1.3684008823150715E-2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--4684.53</f>
        <v>4684.53</v>
      </c>
      <c r="E53" s="2"/>
      <c r="F53" s="19"/>
      <c r="G53" s="2"/>
      <c r="H53" s="2">
        <f>--3767.61</f>
        <v>3767.61</v>
      </c>
      <c r="I53" s="2"/>
      <c r="J53" s="19"/>
      <c r="K53" s="2"/>
      <c r="L53" s="2">
        <f t="shared" si="0"/>
        <v>916.91999999999962</v>
      </c>
      <c r="M53" s="2"/>
      <c r="N53" s="19">
        <f t="shared" si="1"/>
        <v>0.24336913852548422</v>
      </c>
      <c r="O53" s="11"/>
      <c r="P53" s="2">
        <f>--12708.5</f>
        <v>12708.5</v>
      </c>
      <c r="Q53" s="2"/>
      <c r="R53" s="19"/>
      <c r="S53" s="2"/>
      <c r="T53" s="2">
        <f>--14922.09</f>
        <v>14922.09</v>
      </c>
      <c r="U53" s="2"/>
      <c r="V53" s="19"/>
      <c r="W53" s="2"/>
      <c r="X53" s="2">
        <f t="shared" si="2"/>
        <v>-2213.59</v>
      </c>
      <c r="Y53" s="2"/>
      <c r="Z53" s="19">
        <f t="shared" si="3"/>
        <v>-0.14834316104513512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ref="D54:D55" si="4"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>
        <f>--38.23</f>
        <v>38.229999999999997</v>
      </c>
      <c r="U54" s="2"/>
      <c r="V54" s="19"/>
      <c r="W54" s="2"/>
      <c r="X54" s="2">
        <f t="shared" si="2"/>
        <v>1108.49</v>
      </c>
      <c r="Y54" s="2"/>
      <c r="Z54" s="19">
        <f t="shared" si="3"/>
        <v>28.995291655767723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 t="shared" si="4"/>
        <v>0</v>
      </c>
      <c r="E55" s="2"/>
      <c r="F55" s="19"/>
      <c r="G55" s="2"/>
      <c r="H55" s="2">
        <f>--87.71</f>
        <v>87.71</v>
      </c>
      <c r="I55" s="2"/>
      <c r="J55" s="19"/>
      <c r="K55" s="2"/>
      <c r="L55" s="2">
        <f t="shared" si="0"/>
        <v>-87.71</v>
      </c>
      <c r="M55" s="2"/>
      <c r="N55" s="19">
        <f t="shared" si="1"/>
        <v>-1</v>
      </c>
      <c r="O55" s="11"/>
      <c r="P55" s="2">
        <f>--41.91</f>
        <v>41.91</v>
      </c>
      <c r="Q55" s="2"/>
      <c r="R55" s="19"/>
      <c r="S55" s="2"/>
      <c r="T55" s="2">
        <f>--220.35</f>
        <v>220.35</v>
      </c>
      <c r="U55" s="2"/>
      <c r="V55" s="19"/>
      <c r="W55" s="2"/>
      <c r="X55" s="2">
        <f t="shared" si="2"/>
        <v>-178.44</v>
      </c>
      <c r="Y55" s="2"/>
      <c r="Z55" s="19">
        <f t="shared" si="3"/>
        <v>-0.80980258679373729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--98.5</f>
        <v>98.5</v>
      </c>
      <c r="E56" s="2"/>
      <c r="F56" s="19"/>
      <c r="G56" s="2"/>
      <c r="H56" s="2">
        <f>--99.83</f>
        <v>99.83</v>
      </c>
      <c r="I56" s="2"/>
      <c r="J56" s="19"/>
      <c r="K56" s="2"/>
      <c r="L56" s="2">
        <f t="shared" si="0"/>
        <v>-1.3299999999999983</v>
      </c>
      <c r="M56" s="2"/>
      <c r="N56" s="19">
        <f t="shared" si="1"/>
        <v>-1.3322648502454156E-2</v>
      </c>
      <c r="O56" s="11"/>
      <c r="P56" s="2">
        <f>--222.68</f>
        <v>222.68</v>
      </c>
      <c r="Q56" s="2"/>
      <c r="R56" s="19"/>
      <c r="S56" s="2"/>
      <c r="T56" s="2">
        <f>--271.87</f>
        <v>271.87</v>
      </c>
      <c r="U56" s="2"/>
      <c r="V56" s="19"/>
      <c r="W56" s="2"/>
      <c r="X56" s="2">
        <f t="shared" si="2"/>
        <v>-49.19</v>
      </c>
      <c r="Y56" s="2"/>
      <c r="Z56" s="19">
        <f t="shared" si="3"/>
        <v>-0.18093206311840215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--1047.53</f>
        <v>1047.53</v>
      </c>
      <c r="E57" s="2"/>
      <c r="F57" s="19"/>
      <c r="G57" s="2"/>
      <c r="H57" s="2">
        <f>--1102.77</f>
        <v>1102.77</v>
      </c>
      <c r="I57" s="2"/>
      <c r="J57" s="19"/>
      <c r="K57" s="2"/>
      <c r="L57" s="2">
        <f t="shared" si="0"/>
        <v>-55.240000000000009</v>
      </c>
      <c r="M57" s="2"/>
      <c r="N57" s="19">
        <f t="shared" si="1"/>
        <v>-5.0092040951422334E-2</v>
      </c>
      <c r="O57" s="11"/>
      <c r="P57" s="2">
        <f>--2556.64</f>
        <v>2556.64</v>
      </c>
      <c r="Q57" s="2"/>
      <c r="R57" s="19"/>
      <c r="S57" s="2"/>
      <c r="T57" s="2">
        <f>--3108.2</f>
        <v>3108.2</v>
      </c>
      <c r="U57" s="2"/>
      <c r="V57" s="19"/>
      <c r="W57" s="2"/>
      <c r="X57" s="2">
        <f t="shared" si="2"/>
        <v>-551.55999999999995</v>
      </c>
      <c r="Y57" s="2"/>
      <c r="Z57" s="19">
        <f t="shared" si="3"/>
        <v>-0.17745318834051862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--1531.2</f>
        <v>1531.2</v>
      </c>
      <c r="E58" s="2"/>
      <c r="F58" s="19"/>
      <c r="G58" s="2"/>
      <c r="H58" s="2">
        <f>--1570.59</f>
        <v>1570.59</v>
      </c>
      <c r="I58" s="2"/>
      <c r="J58" s="19"/>
      <c r="K58" s="2"/>
      <c r="L58" s="2">
        <f t="shared" si="0"/>
        <v>-39.389999999999873</v>
      </c>
      <c r="M58" s="2"/>
      <c r="N58" s="19">
        <f t="shared" si="1"/>
        <v>-2.507974710140767E-2</v>
      </c>
      <c r="O58" s="11"/>
      <c r="P58" s="2">
        <f>--4134.6</f>
        <v>4134.6000000000004</v>
      </c>
      <c r="Q58" s="2"/>
      <c r="R58" s="19"/>
      <c r="S58" s="2"/>
      <c r="T58" s="2">
        <f>--11017.12</f>
        <v>11017.12</v>
      </c>
      <c r="U58" s="2"/>
      <c r="V58" s="19"/>
      <c r="W58" s="2"/>
      <c r="X58" s="2">
        <f t="shared" si="2"/>
        <v>-6882.52</v>
      </c>
      <c r="Y58" s="2"/>
      <c r="Z58" s="19">
        <f t="shared" si="3"/>
        <v>-0.62471135832232016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--182.3</f>
        <v>182.3</v>
      </c>
      <c r="E59" s="2"/>
      <c r="F59" s="19"/>
      <c r="G59" s="2"/>
      <c r="H59" s="2">
        <f>--119.98</f>
        <v>119.98</v>
      </c>
      <c r="I59" s="2"/>
      <c r="J59" s="19"/>
      <c r="K59" s="2"/>
      <c r="L59" s="2">
        <f t="shared" si="0"/>
        <v>62.320000000000007</v>
      </c>
      <c r="M59" s="2"/>
      <c r="N59" s="19">
        <f t="shared" si="1"/>
        <v>0.51941990331721954</v>
      </c>
      <c r="O59" s="11"/>
      <c r="P59" s="2">
        <f>--531.02</f>
        <v>531.02</v>
      </c>
      <c r="Q59" s="2"/>
      <c r="R59" s="19"/>
      <c r="S59" s="2"/>
      <c r="T59" s="2">
        <f>--776.97</f>
        <v>776.97</v>
      </c>
      <c r="U59" s="2"/>
      <c r="V59" s="19"/>
      <c r="W59" s="2"/>
      <c r="X59" s="2">
        <f t="shared" si="2"/>
        <v>-245.95000000000005</v>
      </c>
      <c r="Y59" s="2"/>
      <c r="Z59" s="19">
        <f t="shared" si="3"/>
        <v>-0.31655018855296863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--3944.61</f>
        <v>3944.61</v>
      </c>
      <c r="E60" s="2"/>
      <c r="F60" s="19"/>
      <c r="G60" s="2"/>
      <c r="H60" s="2">
        <f>--4307.81</f>
        <v>4307.8100000000004</v>
      </c>
      <c r="I60" s="2"/>
      <c r="J60" s="19"/>
      <c r="K60" s="2"/>
      <c r="L60" s="2">
        <f t="shared" si="0"/>
        <v>-363.20000000000027</v>
      </c>
      <c r="M60" s="2"/>
      <c r="N60" s="19">
        <f t="shared" si="1"/>
        <v>-8.4311982190486634E-2</v>
      </c>
      <c r="O60" s="11"/>
      <c r="P60" s="2">
        <f>--43030.34</f>
        <v>43030.34</v>
      </c>
      <c r="Q60" s="2"/>
      <c r="R60" s="19"/>
      <c r="S60" s="2"/>
      <c r="T60" s="2">
        <f>--43367.53</f>
        <v>43367.53</v>
      </c>
      <c r="U60" s="2"/>
      <c r="V60" s="19"/>
      <c r="W60" s="2"/>
      <c r="X60" s="2">
        <f t="shared" si="2"/>
        <v>-337.19000000000233</v>
      </c>
      <c r="Y60" s="2"/>
      <c r="Z60" s="19">
        <f t="shared" si="3"/>
        <v>-7.7751718855097888E-3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--92164.81</f>
        <v>92164.81</v>
      </c>
      <c r="E61" s="2"/>
      <c r="F61" s="19"/>
      <c r="G61" s="2"/>
      <c r="H61" s="2">
        <f>--80267.37</f>
        <v>80267.37</v>
      </c>
      <c r="I61" s="2"/>
      <c r="J61" s="19"/>
      <c r="K61" s="2"/>
      <c r="L61" s="2">
        <f t="shared" si="0"/>
        <v>11897.440000000002</v>
      </c>
      <c r="M61" s="2"/>
      <c r="N61" s="19">
        <f t="shared" si="1"/>
        <v>0.14822262147121554</v>
      </c>
      <c r="O61" s="11"/>
      <c r="P61" s="2">
        <f>--842731.73</f>
        <v>842731.73</v>
      </c>
      <c r="Q61" s="2"/>
      <c r="R61" s="19"/>
      <c r="S61" s="2"/>
      <c r="T61" s="2">
        <f>--760172.9</f>
        <v>760172.9</v>
      </c>
      <c r="U61" s="2"/>
      <c r="V61" s="19"/>
      <c r="W61" s="2"/>
      <c r="X61" s="2">
        <f t="shared" si="2"/>
        <v>82558.829999999958</v>
      </c>
      <c r="Y61" s="2"/>
      <c r="Z61" s="19">
        <f t="shared" si="3"/>
        <v>0.10860533176070859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--1437.99</f>
        <v>1437.99</v>
      </c>
      <c r="E62" s="2"/>
      <c r="F62" s="19"/>
      <c r="G62" s="2"/>
      <c r="H62" s="2">
        <f>--1451.09</f>
        <v>1451.09</v>
      </c>
      <c r="I62" s="2"/>
      <c r="J62" s="19"/>
      <c r="K62" s="2"/>
      <c r="L62" s="2">
        <f t="shared" si="0"/>
        <v>-13.099999999999909</v>
      </c>
      <c r="M62" s="2"/>
      <c r="N62" s="19">
        <f t="shared" si="1"/>
        <v>-9.0276964213108143E-3</v>
      </c>
      <c r="O62" s="11"/>
      <c r="P62" s="2">
        <f>--13559.77</f>
        <v>13559.77</v>
      </c>
      <c r="Q62" s="2"/>
      <c r="R62" s="19"/>
      <c r="S62" s="2"/>
      <c r="T62" s="2">
        <f>--11917.8</f>
        <v>11917.8</v>
      </c>
      <c r="U62" s="2"/>
      <c r="V62" s="19"/>
      <c r="W62" s="2"/>
      <c r="X62" s="2">
        <f t="shared" si="2"/>
        <v>1641.9700000000012</v>
      </c>
      <c r="Y62" s="2"/>
      <c r="Z62" s="19">
        <f t="shared" si="3"/>
        <v>0.1377745892698318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--8.02</f>
        <v>8.02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8.02</v>
      </c>
      <c r="M63" s="2"/>
      <c r="N63" s="19">
        <f t="shared" si="1"/>
        <v>0</v>
      </c>
      <c r="O63" s="11"/>
      <c r="P63" s="2">
        <f>--8.41</f>
        <v>8.41</v>
      </c>
      <c r="Q63" s="2"/>
      <c r="R63" s="19"/>
      <c r="S63" s="2"/>
      <c r="T63" s="2">
        <f>--163.41</f>
        <v>163.41</v>
      </c>
      <c r="U63" s="2"/>
      <c r="V63" s="19"/>
      <c r="W63" s="2"/>
      <c r="X63" s="2">
        <f t="shared" si="2"/>
        <v>-155</v>
      </c>
      <c r="Y63" s="2"/>
      <c r="Z63" s="19">
        <f t="shared" si="3"/>
        <v>-0.94853436142218961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--21.54</f>
        <v>21.54</v>
      </c>
      <c r="E64" s="2"/>
      <c r="F64" s="19"/>
      <c r="G64" s="2"/>
      <c r="H64" s="2">
        <f>--32.31</f>
        <v>32.31</v>
      </c>
      <c r="I64" s="2"/>
      <c r="J64" s="19"/>
      <c r="K64" s="2"/>
      <c r="L64" s="2">
        <f t="shared" si="0"/>
        <v>-10.770000000000003</v>
      </c>
      <c r="M64" s="2"/>
      <c r="N64" s="19">
        <f t="shared" si="1"/>
        <v>-0.33333333333333343</v>
      </c>
      <c r="O64" s="11"/>
      <c r="P64" s="2">
        <f>--139.86</f>
        <v>139.86000000000001</v>
      </c>
      <c r="Q64" s="2"/>
      <c r="R64" s="19"/>
      <c r="S64" s="2"/>
      <c r="T64" s="2">
        <f>--204.91</f>
        <v>204.91</v>
      </c>
      <c r="U64" s="2"/>
      <c r="V64" s="19"/>
      <c r="W64" s="2"/>
      <c r="X64" s="2">
        <f t="shared" si="2"/>
        <v>-65.049999999999983</v>
      </c>
      <c r="Y64" s="2"/>
      <c r="Z64" s="19">
        <f t="shared" si="3"/>
        <v>-0.31745644429261621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--768.57</f>
        <v>768.57</v>
      </c>
      <c r="E65" s="2"/>
      <c r="F65" s="19"/>
      <c r="G65" s="2"/>
      <c r="H65" s="2">
        <f>--777.36</f>
        <v>777.36</v>
      </c>
      <c r="I65" s="2"/>
      <c r="J65" s="19"/>
      <c r="K65" s="2"/>
      <c r="L65" s="2">
        <f t="shared" si="0"/>
        <v>-8.7899999999999636</v>
      </c>
      <c r="M65" s="2"/>
      <c r="N65" s="19">
        <f t="shared" si="1"/>
        <v>-1.1307502315529438E-2</v>
      </c>
      <c r="O65" s="11"/>
      <c r="P65" s="2">
        <f>--7831.74</f>
        <v>7831.74</v>
      </c>
      <c r="Q65" s="2"/>
      <c r="R65" s="19"/>
      <c r="S65" s="2"/>
      <c r="T65" s="2">
        <f>--7713.96</f>
        <v>7713.96</v>
      </c>
      <c r="U65" s="2"/>
      <c r="V65" s="19"/>
      <c r="W65" s="2"/>
      <c r="X65" s="2">
        <f t="shared" si="2"/>
        <v>117.77999999999975</v>
      </c>
      <c r="Y65" s="2"/>
      <c r="Z65" s="19">
        <f t="shared" si="3"/>
        <v>1.5268422444503179E-2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--3758.83</f>
        <v>3758.83</v>
      </c>
      <c r="E66" s="2"/>
      <c r="F66" s="19"/>
      <c r="G66" s="2"/>
      <c r="H66" s="2">
        <f>--3145.88</f>
        <v>3145.88</v>
      </c>
      <c r="I66" s="2"/>
      <c r="J66" s="19"/>
      <c r="K66" s="2"/>
      <c r="L66" s="2">
        <f t="shared" si="0"/>
        <v>612.94999999999982</v>
      </c>
      <c r="M66" s="2"/>
      <c r="N66" s="19">
        <f t="shared" si="1"/>
        <v>0.19484214273907455</v>
      </c>
      <c r="O66" s="11"/>
      <c r="P66" s="2">
        <f>--42582.67</f>
        <v>42582.67</v>
      </c>
      <c r="Q66" s="2"/>
      <c r="R66" s="19"/>
      <c r="S66" s="2"/>
      <c r="T66" s="2">
        <f>--23533.95</f>
        <v>23533.95</v>
      </c>
      <c r="U66" s="2"/>
      <c r="V66" s="19"/>
      <c r="W66" s="2"/>
      <c r="X66" s="2">
        <f t="shared" si="2"/>
        <v>19048.719999999998</v>
      </c>
      <c r="Y66" s="2"/>
      <c r="Z66" s="19">
        <f t="shared" si="3"/>
        <v>0.80941448418136341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--1719.12</f>
        <v>1719.12</v>
      </c>
      <c r="E67" s="2"/>
      <c r="F67" s="19"/>
      <c r="G67" s="2"/>
      <c r="H67" s="2">
        <f>--972.25</f>
        <v>972.25</v>
      </c>
      <c r="I67" s="2"/>
      <c r="J67" s="19"/>
      <c r="K67" s="2"/>
      <c r="L67" s="2">
        <f t="shared" si="0"/>
        <v>746.86999999999989</v>
      </c>
      <c r="M67" s="2"/>
      <c r="N67" s="19">
        <f t="shared" si="1"/>
        <v>0.76818719465158125</v>
      </c>
      <c r="O67" s="11"/>
      <c r="P67" s="2">
        <f>--4249</f>
        <v>4249</v>
      </c>
      <c r="Q67" s="2"/>
      <c r="R67" s="19"/>
      <c r="S67" s="2"/>
      <c r="T67" s="2">
        <f>--4344.58</f>
        <v>4344.58</v>
      </c>
      <c r="U67" s="2"/>
      <c r="V67" s="19"/>
      <c r="W67" s="2"/>
      <c r="X67" s="2">
        <f t="shared" si="2"/>
        <v>-95.579999999999927</v>
      </c>
      <c r="Y67" s="2"/>
      <c r="Z67" s="19">
        <f t="shared" si="3"/>
        <v>-2.1999825069396794E-2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--1947.91</f>
        <v>1947.91</v>
      </c>
      <c r="E68" s="2"/>
      <c r="F68" s="19"/>
      <c r="G68" s="2"/>
      <c r="H68" s="2">
        <f>--969.05</f>
        <v>969.05</v>
      </c>
      <c r="I68" s="2"/>
      <c r="J68" s="19"/>
      <c r="K68" s="2"/>
      <c r="L68" s="2">
        <f t="shared" si="0"/>
        <v>978.86000000000013</v>
      </c>
      <c r="M68" s="2"/>
      <c r="N68" s="19">
        <f t="shared" si="1"/>
        <v>1.0101233166503278</v>
      </c>
      <c r="O68" s="11"/>
      <c r="P68" s="2">
        <f>--12435.29</f>
        <v>12435.29</v>
      </c>
      <c r="Q68" s="2"/>
      <c r="R68" s="19"/>
      <c r="S68" s="2"/>
      <c r="T68" s="2">
        <f>--12814.8</f>
        <v>12814.8</v>
      </c>
      <c r="U68" s="2"/>
      <c r="V68" s="19"/>
      <c r="W68" s="2"/>
      <c r="X68" s="2">
        <f t="shared" si="2"/>
        <v>-379.5099999999984</v>
      </c>
      <c r="Y68" s="2"/>
      <c r="Z68" s="19">
        <f t="shared" si="3"/>
        <v>-2.9614976433498644E-2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--374.48</f>
        <v>374.48</v>
      </c>
      <c r="E69" s="2"/>
      <c r="F69" s="19"/>
      <c r="G69" s="2"/>
      <c r="H69" s="2">
        <f>--39.85</f>
        <v>39.85</v>
      </c>
      <c r="I69" s="2"/>
      <c r="J69" s="19"/>
      <c r="K69" s="2"/>
      <c r="L69" s="2">
        <f t="shared" si="0"/>
        <v>334.63</v>
      </c>
      <c r="M69" s="2"/>
      <c r="N69" s="19">
        <f t="shared" si="1"/>
        <v>8.3972396486825591</v>
      </c>
      <c r="O69" s="11"/>
      <c r="P69" s="2">
        <f>--967.33</f>
        <v>967.33</v>
      </c>
      <c r="Q69" s="2"/>
      <c r="R69" s="19"/>
      <c r="S69" s="2"/>
      <c r="T69" s="2">
        <f>--400.39</f>
        <v>400.39</v>
      </c>
      <c r="U69" s="2"/>
      <c r="V69" s="19"/>
      <c r="W69" s="2"/>
      <c r="X69" s="2">
        <f t="shared" si="2"/>
        <v>566.94000000000005</v>
      </c>
      <c r="Y69" s="2"/>
      <c r="Z69" s="19">
        <f t="shared" si="3"/>
        <v>1.4159694298059393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>--79.8</f>
        <v>79.8</v>
      </c>
      <c r="I70" s="2"/>
      <c r="J70" s="19"/>
      <c r="K70" s="2"/>
      <c r="L70" s="2">
        <f t="shared" si="0"/>
        <v>-79.8</v>
      </c>
      <c r="M70" s="2"/>
      <c r="N70" s="19">
        <f t="shared" si="1"/>
        <v>-1</v>
      </c>
      <c r="O70" s="11"/>
      <c r="P70" s="2">
        <f>--140</f>
        <v>140</v>
      </c>
      <c r="Q70" s="2"/>
      <c r="R70" s="19"/>
      <c r="S70" s="2"/>
      <c r="T70" s="2">
        <f>--1827.2</f>
        <v>1827.2</v>
      </c>
      <c r="U70" s="2"/>
      <c r="V70" s="19"/>
      <c r="W70" s="2"/>
      <c r="X70" s="2">
        <f t="shared" si="2"/>
        <v>-1687.2</v>
      </c>
      <c r="Y70" s="2"/>
      <c r="Z70" s="19">
        <f t="shared" si="3"/>
        <v>-0.92338003502626975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--17086.55</f>
        <v>17086.55</v>
      </c>
      <c r="E71" s="2"/>
      <c r="F71" s="19"/>
      <c r="G71" s="2"/>
      <c r="H71" s="2">
        <f>--18820.04</f>
        <v>18820.04</v>
      </c>
      <c r="I71" s="2"/>
      <c r="J71" s="19"/>
      <c r="K71" s="2"/>
      <c r="L71" s="2">
        <f t="shared" si="0"/>
        <v>-1733.4900000000016</v>
      </c>
      <c r="M71" s="2"/>
      <c r="N71" s="19">
        <f t="shared" si="1"/>
        <v>-9.2108730905991781E-2</v>
      </c>
      <c r="O71" s="11"/>
      <c r="P71" s="2">
        <f>--163554.5</f>
        <v>163554.5</v>
      </c>
      <c r="Q71" s="2"/>
      <c r="R71" s="19"/>
      <c r="S71" s="2"/>
      <c r="T71" s="2">
        <f>--168304.04</f>
        <v>168304.04</v>
      </c>
      <c r="U71" s="2"/>
      <c r="V71" s="19"/>
      <c r="W71" s="2"/>
      <c r="X71" s="2">
        <f t="shared" si="2"/>
        <v>-4749.5400000000081</v>
      </c>
      <c r="Y71" s="2"/>
      <c r="Z71" s="19">
        <f t="shared" si="3"/>
        <v>-2.8219999947713719E-2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--11.5</f>
        <v>11.5</v>
      </c>
      <c r="E72" s="2"/>
      <c r="F72" s="19"/>
      <c r="G72" s="2"/>
      <c r="H72" s="2">
        <f>--31</f>
        <v>31</v>
      </c>
      <c r="I72" s="2"/>
      <c r="J72" s="19"/>
      <c r="K72" s="2"/>
      <c r="L72" s="2">
        <f t="shared" si="0"/>
        <v>-19.5</v>
      </c>
      <c r="M72" s="2"/>
      <c r="N72" s="19">
        <f t="shared" si="1"/>
        <v>-0.62903225806451613</v>
      </c>
      <c r="O72" s="11"/>
      <c r="P72" s="2">
        <f>--318.9</f>
        <v>318.89999999999998</v>
      </c>
      <c r="Q72" s="2"/>
      <c r="R72" s="19"/>
      <c r="S72" s="2"/>
      <c r="T72" s="2">
        <f>--439.5</f>
        <v>439.5</v>
      </c>
      <c r="U72" s="2"/>
      <c r="V72" s="19"/>
      <c r="W72" s="2"/>
      <c r="X72" s="2">
        <f t="shared" si="2"/>
        <v>-120.60000000000002</v>
      </c>
      <c r="Y72" s="2"/>
      <c r="Z72" s="19">
        <f t="shared" si="3"/>
        <v>-0.27440273037542667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--58945.98</f>
        <v>58945.98</v>
      </c>
      <c r="E73" s="2"/>
      <c r="F73" s="19"/>
      <c r="G73" s="2"/>
      <c r="H73" s="2">
        <f>--54989</f>
        <v>54989</v>
      </c>
      <c r="I73" s="2"/>
      <c r="J73" s="19"/>
      <c r="K73" s="2"/>
      <c r="L73" s="2">
        <f t="shared" si="0"/>
        <v>3956.9800000000032</v>
      </c>
      <c r="M73" s="2"/>
      <c r="N73" s="19">
        <f t="shared" si="1"/>
        <v>7.1959482805652092E-2</v>
      </c>
      <c r="O73" s="11"/>
      <c r="P73" s="2">
        <f>--635384.63</f>
        <v>635384.63</v>
      </c>
      <c r="Q73" s="2"/>
      <c r="R73" s="19"/>
      <c r="S73" s="2"/>
      <c r="T73" s="2">
        <f>--603315</f>
        <v>603315</v>
      </c>
      <c r="U73" s="2"/>
      <c r="V73" s="19"/>
      <c r="W73" s="2"/>
      <c r="X73" s="2">
        <f t="shared" si="2"/>
        <v>32069.630000000005</v>
      </c>
      <c r="Y73" s="2"/>
      <c r="Z73" s="19">
        <f t="shared" si="3"/>
        <v>5.3155698101323527E-2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--715</f>
        <v>715</v>
      </c>
      <c r="E74" s="2"/>
      <c r="F74" s="19"/>
      <c r="G74" s="2"/>
      <c r="H74" s="2">
        <f>--391.75</f>
        <v>391.75</v>
      </c>
      <c r="I74" s="2"/>
      <c r="J74" s="19"/>
      <c r="K74" s="2"/>
      <c r="L74" s="2">
        <f t="shared" si="0"/>
        <v>323.25</v>
      </c>
      <c r="M74" s="2"/>
      <c r="N74" s="19">
        <f t="shared" si="1"/>
        <v>0.82514358647096364</v>
      </c>
      <c r="O74" s="11"/>
      <c r="P74" s="2">
        <f>--10275</f>
        <v>10275</v>
      </c>
      <c r="Q74" s="2"/>
      <c r="R74" s="19"/>
      <c r="S74" s="2"/>
      <c r="T74" s="2">
        <f>--7579.75</f>
        <v>7579.75</v>
      </c>
      <c r="U74" s="2"/>
      <c r="V74" s="19"/>
      <c r="W74" s="2"/>
      <c r="X74" s="2">
        <f t="shared" si="2"/>
        <v>2695.25</v>
      </c>
      <c r="Y74" s="2"/>
      <c r="Z74" s="19">
        <f t="shared" si="3"/>
        <v>0.35558560638543485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>
        <f>-12.74</f>
        <v>-12.74</v>
      </c>
      <c r="I75" s="2"/>
      <c r="J75" s="19"/>
      <c r="K75" s="2"/>
      <c r="L75" s="2">
        <f t="shared" si="0"/>
        <v>12.74</v>
      </c>
      <c r="M75" s="2"/>
      <c r="N75" s="19">
        <f t="shared" si="1"/>
        <v>-1</v>
      </c>
      <c r="O75" s="11"/>
      <c r="P75" s="2">
        <f>-30.97</f>
        <v>-30.97</v>
      </c>
      <c r="Q75" s="2"/>
      <c r="R75" s="19"/>
      <c r="S75" s="2"/>
      <c r="T75" s="2">
        <f>-140.68</f>
        <v>-140.68</v>
      </c>
      <c r="U75" s="2"/>
      <c r="V75" s="19"/>
      <c r="W75" s="2"/>
      <c r="X75" s="2">
        <f t="shared" si="2"/>
        <v>109.71000000000001</v>
      </c>
      <c r="Y75" s="2"/>
      <c r="Z75" s="19">
        <f t="shared" si="3"/>
        <v>-0.77985499004833669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-37895.48</f>
        <v>-37895.480000000003</v>
      </c>
      <c r="E76" s="2"/>
      <c r="F76" s="19"/>
      <c r="G76" s="2"/>
      <c r="H76" s="2">
        <f>-52388.4</f>
        <v>-52388.4</v>
      </c>
      <c r="I76" s="2"/>
      <c r="J76" s="19"/>
      <c r="K76" s="2"/>
      <c r="L76" s="2">
        <f t="shared" si="0"/>
        <v>14492.919999999998</v>
      </c>
      <c r="M76" s="2"/>
      <c r="N76" s="19">
        <f t="shared" si="1"/>
        <v>-0.27664368447977028</v>
      </c>
      <c r="O76" s="11"/>
      <c r="P76" s="2">
        <f>-116625.85</f>
        <v>-116625.85</v>
      </c>
      <c r="Q76" s="2"/>
      <c r="R76" s="19"/>
      <c r="S76" s="2"/>
      <c r="T76" s="2">
        <f>-166409.27</f>
        <v>-166409.26999999999</v>
      </c>
      <c r="U76" s="2"/>
      <c r="V76" s="19"/>
      <c r="W76" s="2"/>
      <c r="X76" s="2">
        <f t="shared" si="2"/>
        <v>49783.419999999984</v>
      </c>
      <c r="Y76" s="2"/>
      <c r="Z76" s="19">
        <f t="shared" si="3"/>
        <v>-0.29916254064452052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-16170.8</f>
        <v>-16170.8</v>
      </c>
      <c r="E77" s="2"/>
      <c r="F77" s="19"/>
      <c r="G77" s="2"/>
      <c r="H77" s="2">
        <f>-12515.4</f>
        <v>-12515.4</v>
      </c>
      <c r="I77" s="2"/>
      <c r="J77" s="19"/>
      <c r="K77" s="2"/>
      <c r="L77" s="2">
        <f t="shared" si="0"/>
        <v>-3655.3999999999996</v>
      </c>
      <c r="M77" s="2"/>
      <c r="N77" s="19">
        <f t="shared" si="1"/>
        <v>0.29207216709014494</v>
      </c>
      <c r="O77" s="11"/>
      <c r="P77" s="2">
        <f>-43379.15</f>
        <v>-43379.15</v>
      </c>
      <c r="Q77" s="2"/>
      <c r="R77" s="19"/>
      <c r="S77" s="2"/>
      <c r="T77" s="2">
        <f>-42477.35</f>
        <v>-42477.35</v>
      </c>
      <c r="U77" s="2"/>
      <c r="V77" s="19"/>
      <c r="W77" s="2"/>
      <c r="X77" s="2">
        <f t="shared" si="2"/>
        <v>-901.80000000000291</v>
      </c>
      <c r="Y77" s="2"/>
      <c r="Z77" s="19">
        <f t="shared" si="3"/>
        <v>2.1230137944104398E-2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>
        <f>-1699.5</f>
        <v>-1699.5</v>
      </c>
      <c r="U78" s="2"/>
      <c r="V78" s="19"/>
      <c r="W78" s="2"/>
      <c r="X78" s="2">
        <f t="shared" si="2"/>
        <v>1554.51</v>
      </c>
      <c r="Y78" s="2"/>
      <c r="Z78" s="19">
        <f t="shared" si="3"/>
        <v>-0.9146866725507502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>-4891.98</f>
        <v>-4891.9799999999996</v>
      </c>
      <c r="E79" s="2"/>
      <c r="F79" s="19"/>
      <c r="G79" s="2"/>
      <c r="H79" s="2">
        <f>-9964.33</f>
        <v>-9964.33</v>
      </c>
      <c r="I79" s="2"/>
      <c r="J79" s="19"/>
      <c r="K79" s="2"/>
      <c r="L79" s="2">
        <f t="shared" si="0"/>
        <v>5072.3500000000004</v>
      </c>
      <c r="M79" s="2"/>
      <c r="N79" s="19">
        <f t="shared" si="1"/>
        <v>-0.50905078414705263</v>
      </c>
      <c r="O79" s="11"/>
      <c r="P79" s="2">
        <f>-16261.44</f>
        <v>-16261.44</v>
      </c>
      <c r="Q79" s="2"/>
      <c r="R79" s="19"/>
      <c r="S79" s="2"/>
      <c r="T79" s="2">
        <f>-26008.18</f>
        <v>-26008.18</v>
      </c>
      <c r="U79" s="2"/>
      <c r="V79" s="19"/>
      <c r="W79" s="2"/>
      <c r="X79" s="2">
        <f t="shared" si="2"/>
        <v>9746.74</v>
      </c>
      <c r="Y79" s="2"/>
      <c r="Z79" s="19">
        <f t="shared" si="3"/>
        <v>-0.37475671115779724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-13.95</f>
        <v>-13.95</v>
      </c>
      <c r="E80" s="2"/>
      <c r="F80" s="19"/>
      <c r="G80" s="2"/>
      <c r="H80" s="2">
        <f>-24.94</f>
        <v>-24.94</v>
      </c>
      <c r="I80" s="2"/>
      <c r="J80" s="19"/>
      <c r="K80" s="2"/>
      <c r="L80" s="2">
        <f t="shared" si="0"/>
        <v>10.990000000000002</v>
      </c>
      <c r="M80" s="2"/>
      <c r="N80" s="19">
        <f t="shared" si="1"/>
        <v>-0.44065757818765044</v>
      </c>
      <c r="O80" s="11"/>
      <c r="P80" s="2">
        <f>-116.66</f>
        <v>-116.66</v>
      </c>
      <c r="Q80" s="2"/>
      <c r="R80" s="19"/>
      <c r="S80" s="2"/>
      <c r="T80" s="2">
        <f>-121.9</f>
        <v>-121.9</v>
      </c>
      <c r="U80" s="2"/>
      <c r="V80" s="19"/>
      <c r="W80" s="2"/>
      <c r="X80" s="2">
        <f t="shared" si="2"/>
        <v>5.2400000000000091</v>
      </c>
      <c r="Y80" s="2"/>
      <c r="Z80" s="19">
        <f t="shared" si="3"/>
        <v>-4.2986054142740024E-2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ref="D81:D82" si="5">0</f>
        <v>0</v>
      </c>
      <c r="E81" s="2"/>
      <c r="F81" s="19"/>
      <c r="G81" s="2"/>
      <c r="H81" s="2">
        <f t="shared" ref="H81:H82" si="6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>
        <f>-3.95</f>
        <v>-3.95</v>
      </c>
      <c r="U81" s="2"/>
      <c r="V81" s="19"/>
      <c r="W81" s="2"/>
      <c r="X81" s="2">
        <f t="shared" si="2"/>
        <v>-7.9899999999999993</v>
      </c>
      <c r="Y81" s="2"/>
      <c r="Z81" s="19">
        <f t="shared" si="3"/>
        <v>2.022784810126582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5"/>
        <v>0</v>
      </c>
      <c r="E82" s="2"/>
      <c r="F82" s="19"/>
      <c r="G82" s="2"/>
      <c r="H82" s="2">
        <f t="shared" si="6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>
        <f>-1.5</f>
        <v>-1.5</v>
      </c>
      <c r="U82" s="2"/>
      <c r="V82" s="19"/>
      <c r="W82" s="2"/>
      <c r="X82" s="2">
        <f t="shared" si="2"/>
        <v>-1.48</v>
      </c>
      <c r="Y82" s="2"/>
      <c r="Z82" s="19">
        <f t="shared" si="3"/>
        <v>0.98666666666666669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>-6.5</f>
        <v>-6.5</v>
      </c>
      <c r="E83" s="2"/>
      <c r="F83" s="19"/>
      <c r="G83" s="2"/>
      <c r="H83" s="2">
        <f>-20.85</f>
        <v>-20.85</v>
      </c>
      <c r="I83" s="2"/>
      <c r="J83" s="19"/>
      <c r="K83" s="2"/>
      <c r="L83" s="2">
        <f t="shared" si="0"/>
        <v>14.350000000000001</v>
      </c>
      <c r="M83" s="2"/>
      <c r="N83" s="19">
        <f t="shared" si="1"/>
        <v>-0.68824940047961636</v>
      </c>
      <c r="O83" s="11"/>
      <c r="P83" s="2">
        <f>-39.25</f>
        <v>-39.25</v>
      </c>
      <c r="Q83" s="2"/>
      <c r="R83" s="19"/>
      <c r="S83" s="2"/>
      <c r="T83" s="2">
        <f>-60.65</f>
        <v>-60.65</v>
      </c>
      <c r="U83" s="2"/>
      <c r="V83" s="19"/>
      <c r="W83" s="2"/>
      <c r="X83" s="2">
        <f t="shared" si="2"/>
        <v>21.4</v>
      </c>
      <c r="Y83" s="2"/>
      <c r="Z83" s="19">
        <f t="shared" si="3"/>
        <v>-0.3528441879637263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-14.74</f>
        <v>-14.74</v>
      </c>
      <c r="E84" s="2"/>
      <c r="F84" s="19"/>
      <c r="G84" s="2"/>
      <c r="H84" s="2">
        <f>-22.32</f>
        <v>-22.32</v>
      </c>
      <c r="I84" s="2"/>
      <c r="J84" s="19"/>
      <c r="K84" s="2"/>
      <c r="L84" s="2">
        <f t="shared" si="0"/>
        <v>7.58</v>
      </c>
      <c r="M84" s="2"/>
      <c r="N84" s="19">
        <f t="shared" si="1"/>
        <v>-0.3396057347670251</v>
      </c>
      <c r="O84" s="11"/>
      <c r="P84" s="2">
        <f>-95.71</f>
        <v>-95.71</v>
      </c>
      <c r="Q84" s="2"/>
      <c r="R84" s="19"/>
      <c r="S84" s="2"/>
      <c r="T84" s="2">
        <f>-84.74</f>
        <v>-84.74</v>
      </c>
      <c r="U84" s="2"/>
      <c r="V84" s="19"/>
      <c r="W84" s="2"/>
      <c r="X84" s="2">
        <f t="shared" si="2"/>
        <v>-10.969999999999999</v>
      </c>
      <c r="Y84" s="2"/>
      <c r="Z84" s="19">
        <f t="shared" si="3"/>
        <v>0.129454802926599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-149.55</f>
        <v>-149.55000000000001</v>
      </c>
      <c r="E85" s="2"/>
      <c r="F85" s="19"/>
      <c r="G85" s="2"/>
      <c r="H85" s="2">
        <f>-27.76</f>
        <v>-27.76</v>
      </c>
      <c r="I85" s="2"/>
      <c r="J85" s="19"/>
      <c r="K85" s="2"/>
      <c r="L85" s="2">
        <f t="shared" si="0"/>
        <v>-121.79</v>
      </c>
      <c r="M85" s="2"/>
      <c r="N85" s="19">
        <f t="shared" si="1"/>
        <v>4.3872478386167151</v>
      </c>
      <c r="O85" s="11"/>
      <c r="P85" s="2">
        <f>-680.91</f>
        <v>-680.91</v>
      </c>
      <c r="Q85" s="2"/>
      <c r="R85" s="19"/>
      <c r="S85" s="2"/>
      <c r="T85" s="2">
        <f>-312.3</f>
        <v>-312.3</v>
      </c>
      <c r="U85" s="2"/>
      <c r="V85" s="19"/>
      <c r="W85" s="2"/>
      <c r="X85" s="2">
        <f t="shared" si="2"/>
        <v>-368.60999999999996</v>
      </c>
      <c r="Y85" s="2"/>
      <c r="Z85" s="19">
        <f t="shared" si="3"/>
        <v>1.1803073967339095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-962.28</f>
        <v>-962.28</v>
      </c>
      <c r="E86" s="2"/>
      <c r="F86" s="19"/>
      <c r="G86" s="2"/>
      <c r="H86" s="2">
        <f>-1186.6</f>
        <v>-1186.5999999999999</v>
      </c>
      <c r="I86" s="2"/>
      <c r="J86" s="19"/>
      <c r="K86" s="2"/>
      <c r="L86" s="2">
        <f t="shared" si="0"/>
        <v>224.31999999999994</v>
      </c>
      <c r="M86" s="2"/>
      <c r="N86" s="19">
        <f t="shared" si="1"/>
        <v>-0.18904432833305237</v>
      </c>
      <c r="O86" s="11"/>
      <c r="P86" s="2">
        <f>-6910.86</f>
        <v>-6910.86</v>
      </c>
      <c r="Q86" s="2"/>
      <c r="R86" s="19"/>
      <c r="S86" s="2"/>
      <c r="T86" s="2">
        <f>-3880.97</f>
        <v>-3880.97</v>
      </c>
      <c r="U86" s="2"/>
      <c r="V86" s="19"/>
      <c r="W86" s="2"/>
      <c r="X86" s="2">
        <f t="shared" si="2"/>
        <v>-3029.89</v>
      </c>
      <c r="Y86" s="2"/>
      <c r="Z86" s="19">
        <f t="shared" si="3"/>
        <v>0.78070430845896777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-766.07</f>
        <v>-766.07</v>
      </c>
      <c r="E87" s="2"/>
      <c r="F87" s="19"/>
      <c r="G87" s="2"/>
      <c r="H87" s="2">
        <f>-1234.7</f>
        <v>-1234.7</v>
      </c>
      <c r="I87" s="2"/>
      <c r="J87" s="19"/>
      <c r="K87" s="2"/>
      <c r="L87" s="2">
        <f t="shared" si="0"/>
        <v>468.63</v>
      </c>
      <c r="M87" s="2"/>
      <c r="N87" s="19">
        <f t="shared" si="1"/>
        <v>-0.37954968818336438</v>
      </c>
      <c r="O87" s="11"/>
      <c r="P87" s="2">
        <f>-3914.69</f>
        <v>-3914.69</v>
      </c>
      <c r="Q87" s="2"/>
      <c r="R87" s="19"/>
      <c r="S87" s="2"/>
      <c r="T87" s="2">
        <f>-5833.5</f>
        <v>-5833.5</v>
      </c>
      <c r="U87" s="2"/>
      <c r="V87" s="19"/>
      <c r="W87" s="2"/>
      <c r="X87" s="2">
        <f t="shared" si="2"/>
        <v>1918.81</v>
      </c>
      <c r="Y87" s="2"/>
      <c r="Z87" s="19">
        <f t="shared" si="3"/>
        <v>-0.32892945915830973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0</f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-1.29</f>
        <v>-1.29</v>
      </c>
      <c r="Q88" s="2"/>
      <c r="R88" s="19"/>
      <c r="S88" s="2"/>
      <c r="T88" s="2">
        <f>-3.58</f>
        <v>-3.58</v>
      </c>
      <c r="U88" s="2"/>
      <c r="V88" s="19"/>
      <c r="W88" s="2"/>
      <c r="X88" s="2">
        <f t="shared" si="2"/>
        <v>2.29</v>
      </c>
      <c r="Y88" s="2"/>
      <c r="Z88" s="19">
        <f t="shared" si="3"/>
        <v>-0.63966480446927376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-12286.81</f>
        <v>-12286.81</v>
      </c>
      <c r="E89" s="2"/>
      <c r="F89" s="19"/>
      <c r="G89" s="2"/>
      <c r="H89" s="2">
        <f>-9903.76</f>
        <v>-9903.76</v>
      </c>
      <c r="I89" s="2"/>
      <c r="J89" s="19"/>
      <c r="K89" s="2"/>
      <c r="L89" s="2">
        <f t="shared" si="0"/>
        <v>-2383.0499999999993</v>
      </c>
      <c r="M89" s="2"/>
      <c r="N89" s="19">
        <f t="shared" si="1"/>
        <v>0.24062073394347189</v>
      </c>
      <c r="O89" s="11"/>
      <c r="P89" s="2">
        <f>-61608.75</f>
        <v>-61608.75</v>
      </c>
      <c r="Q89" s="2"/>
      <c r="R89" s="19"/>
      <c r="S89" s="2"/>
      <c r="T89" s="2">
        <f>-58611.84</f>
        <v>-58611.839999999997</v>
      </c>
      <c r="U89" s="2"/>
      <c r="V89" s="19"/>
      <c r="W89" s="2"/>
      <c r="X89" s="2">
        <f t="shared" si="2"/>
        <v>-2996.9100000000035</v>
      </c>
      <c r="Y89" s="2"/>
      <c r="Z89" s="19">
        <f t="shared" si="3"/>
        <v>5.1131477872047755E-2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-805.34</f>
        <v>-805.34</v>
      </c>
      <c r="E90" s="2"/>
      <c r="F90" s="19"/>
      <c r="G90" s="2"/>
      <c r="H90" s="2">
        <f>-1041.57</f>
        <v>-1041.57</v>
      </c>
      <c r="I90" s="2"/>
      <c r="J90" s="19"/>
      <c r="K90" s="2"/>
      <c r="L90" s="2">
        <f t="shared" si="0"/>
        <v>236.2299999999999</v>
      </c>
      <c r="M90" s="2"/>
      <c r="N90" s="19">
        <f t="shared" si="1"/>
        <v>-0.22680184721142113</v>
      </c>
      <c r="O90" s="11"/>
      <c r="P90" s="2">
        <f>-4954.21</f>
        <v>-4954.21</v>
      </c>
      <c r="Q90" s="2"/>
      <c r="R90" s="19"/>
      <c r="S90" s="2"/>
      <c r="T90" s="2">
        <f>-5742.21</f>
        <v>-5742.21</v>
      </c>
      <c r="U90" s="2"/>
      <c r="V90" s="19"/>
      <c r="W90" s="2"/>
      <c r="X90" s="2">
        <f t="shared" si="2"/>
        <v>788</v>
      </c>
      <c r="Y90" s="2"/>
      <c r="Z90" s="19">
        <f t="shared" si="3"/>
        <v>-0.1372293942576116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-754.91</f>
        <v>-754.91</v>
      </c>
      <c r="E91" s="2"/>
      <c r="F91" s="19"/>
      <c r="G91" s="2"/>
      <c r="H91" s="2">
        <f>-237.92</f>
        <v>-237.92</v>
      </c>
      <c r="I91" s="2"/>
      <c r="J91" s="19"/>
      <c r="K91" s="2"/>
      <c r="L91" s="2">
        <f t="shared" si="0"/>
        <v>-516.99</v>
      </c>
      <c r="M91" s="2"/>
      <c r="N91" s="19">
        <f t="shared" si="1"/>
        <v>2.1729572965702757</v>
      </c>
      <c r="O91" s="11"/>
      <c r="P91" s="2">
        <f>-3544.33</f>
        <v>-3544.33</v>
      </c>
      <c r="Q91" s="2"/>
      <c r="R91" s="19"/>
      <c r="S91" s="2"/>
      <c r="T91" s="2">
        <f>-1955.01</f>
        <v>-1955.01</v>
      </c>
      <c r="U91" s="2"/>
      <c r="V91" s="19"/>
      <c r="W91" s="2"/>
      <c r="X91" s="2">
        <f t="shared" si="2"/>
        <v>-1589.32</v>
      </c>
      <c r="Y91" s="2"/>
      <c r="Z91" s="19">
        <f t="shared" si="3"/>
        <v>0.81294724835167076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-344.74</f>
        <v>-344.74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-344.74</v>
      </c>
      <c r="M92" s="2"/>
      <c r="N92" s="19">
        <f t="shared" si="1"/>
        <v>0</v>
      </c>
      <c r="O92" s="11"/>
      <c r="P92" s="2">
        <f>-1224.21</f>
        <v>-1224.21</v>
      </c>
      <c r="Q92" s="2"/>
      <c r="R92" s="19"/>
      <c r="S92" s="2"/>
      <c r="T92" s="2">
        <f>-25.94</f>
        <v>-25.94</v>
      </c>
      <c r="U92" s="2"/>
      <c r="V92" s="19"/>
      <c r="W92" s="2"/>
      <c r="X92" s="2">
        <f t="shared" si="2"/>
        <v>-1198.27</v>
      </c>
      <c r="Y92" s="2"/>
      <c r="Z92" s="19">
        <f t="shared" si="3"/>
        <v>46.193909020817266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-370.28</f>
        <v>-370.28</v>
      </c>
      <c r="E93" s="2"/>
      <c r="F93" s="19"/>
      <c r="G93" s="2"/>
      <c r="H93" s="2">
        <f>-268.5</f>
        <v>-268.5</v>
      </c>
      <c r="I93" s="2"/>
      <c r="J93" s="19"/>
      <c r="K93" s="2"/>
      <c r="L93" s="2">
        <f t="shared" si="0"/>
        <v>-101.77999999999997</v>
      </c>
      <c r="M93" s="2"/>
      <c r="N93" s="19">
        <f t="shared" si="1"/>
        <v>0.3790689013035381</v>
      </c>
      <c r="O93" s="11"/>
      <c r="P93" s="2">
        <f>-2102.05</f>
        <v>-2102.0500000000002</v>
      </c>
      <c r="Q93" s="2"/>
      <c r="R93" s="19"/>
      <c r="S93" s="2"/>
      <c r="T93" s="2">
        <f>-3012.87</f>
        <v>-3012.87</v>
      </c>
      <c r="U93" s="2"/>
      <c r="V93" s="19"/>
      <c r="W93" s="2"/>
      <c r="X93" s="2">
        <f t="shared" si="2"/>
        <v>910.81999999999971</v>
      </c>
      <c r="Y93" s="2"/>
      <c r="Z93" s="19">
        <f t="shared" si="3"/>
        <v>-0.3023097578056802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-1623.09</f>
        <v>-1623.09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-1623.09</v>
      </c>
      <c r="M94" s="2"/>
      <c r="N94" s="19">
        <f t="shared" si="1"/>
        <v>0</v>
      </c>
      <c r="O94" s="11"/>
      <c r="P94" s="2">
        <f>-1715.05</f>
        <v>-1715.05</v>
      </c>
      <c r="Q94" s="2"/>
      <c r="R94" s="19"/>
      <c r="S94" s="2"/>
      <c r="T94" s="2">
        <f>-225.7</f>
        <v>-225.7</v>
      </c>
      <c r="U94" s="2"/>
      <c r="V94" s="19"/>
      <c r="W94" s="2"/>
      <c r="X94" s="2">
        <f t="shared" si="2"/>
        <v>-1489.35</v>
      </c>
      <c r="Y94" s="2"/>
      <c r="Z94" s="19">
        <f t="shared" si="3"/>
        <v>6.5988037217545417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 t="shared" ref="D95:D97" si="7">0</f>
        <v>0</v>
      </c>
      <c r="E95" s="2"/>
      <c r="F95" s="19"/>
      <c r="G95" s="2"/>
      <c r="H95" s="2">
        <f>-9.99</f>
        <v>-9.99</v>
      </c>
      <c r="I95" s="2"/>
      <c r="J95" s="19"/>
      <c r="K95" s="2"/>
      <c r="L95" s="2">
        <f t="shared" si="0"/>
        <v>9.99</v>
      </c>
      <c r="M95" s="2"/>
      <c r="N95" s="19">
        <f t="shared" si="1"/>
        <v>-1</v>
      </c>
      <c r="O95" s="11"/>
      <c r="P95" s="2">
        <f>-54.97</f>
        <v>-54.97</v>
      </c>
      <c r="Q95" s="2"/>
      <c r="R95" s="19"/>
      <c r="S95" s="2"/>
      <c r="T95" s="2">
        <f>-34.98</f>
        <v>-34.979999999999997</v>
      </c>
      <c r="U95" s="2"/>
      <c r="V95" s="19"/>
      <c r="W95" s="2"/>
      <c r="X95" s="2">
        <f t="shared" si="2"/>
        <v>-19.990000000000002</v>
      </c>
      <c r="Y95" s="2"/>
      <c r="Z95" s="19">
        <f t="shared" si="3"/>
        <v>0.57146941109205274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 t="shared" si="7"/>
        <v>0</v>
      </c>
      <c r="E96" s="2"/>
      <c r="F96" s="19"/>
      <c r="G96" s="2"/>
      <c r="H96" s="2">
        <f t="shared" ref="H96:H97" si="8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-419.05</f>
        <v>-419.05</v>
      </c>
      <c r="Q96" s="2"/>
      <c r="R96" s="19"/>
      <c r="S96" s="2"/>
      <c r="T96" s="2">
        <f>-548.24</f>
        <v>-548.24</v>
      </c>
      <c r="U96" s="2"/>
      <c r="V96" s="19"/>
      <c r="W96" s="2"/>
      <c r="X96" s="2">
        <f t="shared" si="2"/>
        <v>129.19</v>
      </c>
      <c r="Y96" s="2"/>
      <c r="Z96" s="19">
        <f t="shared" si="3"/>
        <v>-0.23564497300452356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 t="shared" si="7"/>
        <v>0</v>
      </c>
      <c r="E97" s="2"/>
      <c r="F97" s="19"/>
      <c r="G97" s="2"/>
      <c r="H97" s="2">
        <f t="shared" si="8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>
        <f>-126.72</f>
        <v>-126.72</v>
      </c>
      <c r="U97" s="2"/>
      <c r="V97" s="19"/>
      <c r="W97" s="2"/>
      <c r="X97" s="2">
        <f t="shared" si="2"/>
        <v>127.71</v>
      </c>
      <c r="Y97" s="2"/>
      <c r="Z97" s="19">
        <f t="shared" si="3"/>
        <v>-1.0078125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>-2910.64</f>
        <v>-2910.64</v>
      </c>
      <c r="E98" s="2"/>
      <c r="F98" s="19"/>
      <c r="G98" s="2"/>
      <c r="H98" s="2">
        <f>-4939.03</f>
        <v>-4939.03</v>
      </c>
      <c r="I98" s="2"/>
      <c r="J98" s="19"/>
      <c r="K98" s="2"/>
      <c r="L98" s="2">
        <f t="shared" si="0"/>
        <v>2028.3899999999999</v>
      </c>
      <c r="M98" s="2"/>
      <c r="N98" s="19">
        <f t="shared" si="1"/>
        <v>-0.41068590391230664</v>
      </c>
      <c r="O98" s="11"/>
      <c r="P98" s="2">
        <f>-15221.62</f>
        <v>-15221.62</v>
      </c>
      <c r="Q98" s="2"/>
      <c r="R98" s="19"/>
      <c r="S98" s="2"/>
      <c r="T98" s="2">
        <f>-35074.1</f>
        <v>-35074.1</v>
      </c>
      <c r="U98" s="2"/>
      <c r="V98" s="19"/>
      <c r="W98" s="2"/>
      <c r="X98" s="2">
        <f t="shared" si="2"/>
        <v>19852.479999999996</v>
      </c>
      <c r="Y98" s="2"/>
      <c r="Z98" s="19">
        <f t="shared" si="3"/>
        <v>-0.56601537886930808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-614.47</f>
        <v>-614.47</v>
      </c>
      <c r="E99" s="2"/>
      <c r="F99" s="19"/>
      <c r="G99" s="2"/>
      <c r="H99" s="2">
        <f>-1055.72</f>
        <v>-1055.72</v>
      </c>
      <c r="I99" s="2"/>
      <c r="J99" s="19"/>
      <c r="K99" s="2"/>
      <c r="L99" s="2">
        <f t="shared" si="0"/>
        <v>441.25</v>
      </c>
      <c r="M99" s="2"/>
      <c r="N99" s="19">
        <f t="shared" si="1"/>
        <v>-0.41796120183381957</v>
      </c>
      <c r="O99" s="11"/>
      <c r="P99" s="2">
        <f>-1312.37</f>
        <v>-1312.37</v>
      </c>
      <c r="Q99" s="2"/>
      <c r="R99" s="19"/>
      <c r="S99" s="2"/>
      <c r="T99" s="2">
        <f>-3569.16</f>
        <v>-3569.16</v>
      </c>
      <c r="U99" s="2"/>
      <c r="V99" s="19"/>
      <c r="W99" s="2"/>
      <c r="X99" s="2">
        <f t="shared" si="2"/>
        <v>2256.79</v>
      </c>
      <c r="Y99" s="2"/>
      <c r="Z99" s="19">
        <f t="shared" si="3"/>
        <v>-0.63230283876318238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>
        <f>-509.85</f>
        <v>-509.85</v>
      </c>
      <c r="U100" s="2"/>
      <c r="V100" s="19"/>
      <c r="W100" s="2"/>
      <c r="X100" s="2">
        <f t="shared" si="2"/>
        <v>324.86</v>
      </c>
      <c r="Y100" s="2"/>
      <c r="Z100" s="19">
        <f t="shared" si="3"/>
        <v>-0.63716779444934779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-4312.43</f>
        <v>-4312.43</v>
      </c>
      <c r="E101" s="2"/>
      <c r="F101" s="19"/>
      <c r="G101" s="2"/>
      <c r="H101" s="2">
        <f>-540.96</f>
        <v>-540.96</v>
      </c>
      <c r="I101" s="2"/>
      <c r="J101" s="19"/>
      <c r="K101" s="2"/>
      <c r="L101" s="2">
        <f t="shared" si="0"/>
        <v>-3771.4700000000003</v>
      </c>
      <c r="M101" s="2"/>
      <c r="N101" s="19">
        <f t="shared" si="1"/>
        <v>6.9718093759242832</v>
      </c>
      <c r="O101" s="11"/>
      <c r="P101" s="2">
        <f>-17742.75</f>
        <v>-17742.75</v>
      </c>
      <c r="Q101" s="2"/>
      <c r="R101" s="19"/>
      <c r="S101" s="2"/>
      <c r="T101" s="2">
        <f>-4284.71</f>
        <v>-4284.71</v>
      </c>
      <c r="U101" s="2"/>
      <c r="V101" s="19"/>
      <c r="W101" s="2"/>
      <c r="X101" s="2">
        <f t="shared" si="2"/>
        <v>-13458.04</v>
      </c>
      <c r="Y101" s="2"/>
      <c r="Z101" s="19">
        <f t="shared" si="3"/>
        <v>3.1409453615297185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>-237.35</f>
        <v>-237.35</v>
      </c>
      <c r="E102" s="2"/>
      <c r="F102" s="19"/>
      <c r="G102" s="2"/>
      <c r="H102" s="2">
        <f>-139.77</f>
        <v>-139.77000000000001</v>
      </c>
      <c r="I102" s="2"/>
      <c r="J102" s="19"/>
      <c r="K102" s="2"/>
      <c r="L102" s="2">
        <f t="shared" si="0"/>
        <v>-97.579999999999984</v>
      </c>
      <c r="M102" s="2"/>
      <c r="N102" s="19">
        <f t="shared" si="1"/>
        <v>0.69814695571295682</v>
      </c>
      <c r="O102" s="11"/>
      <c r="P102" s="2">
        <f>-625.31</f>
        <v>-625.30999999999995</v>
      </c>
      <c r="Q102" s="2"/>
      <c r="R102" s="19"/>
      <c r="S102" s="2"/>
      <c r="T102" s="2">
        <f>-749.03</f>
        <v>-749.03</v>
      </c>
      <c r="U102" s="2"/>
      <c r="V102" s="19"/>
      <c r="W102" s="2"/>
      <c r="X102" s="2">
        <f t="shared" si="2"/>
        <v>123.72000000000003</v>
      </c>
      <c r="Y102" s="2"/>
      <c r="Z102" s="19">
        <f t="shared" si="3"/>
        <v>-0.16517362455442378</v>
      </c>
    </row>
    <row r="103" spans="1:26" s="24" customFormat="1" hidden="1" outlineLevel="1" x14ac:dyDescent="0.25">
      <c r="A103" s="44"/>
      <c r="B103" s="11" t="str">
        <f>CONCATENATE("          ", "4326", " - ", "SALES RETURN NON TAXABLE-WRITI")</f>
        <v xml:space="preserve">          4326 - SALES RETURN NON TAXABLE-WRITI</v>
      </c>
      <c r="C103" s="11"/>
      <c r="D103" s="2">
        <f t="shared" ref="D103:D104" si="9">0</f>
        <v>0</v>
      </c>
      <c r="E103" s="2"/>
      <c r="F103" s="19"/>
      <c r="G103" s="2"/>
      <c r="H103" s="2">
        <f>-6.69</f>
        <v>-6.69</v>
      </c>
      <c r="I103" s="2"/>
      <c r="J103" s="19"/>
      <c r="K103" s="2"/>
      <c r="L103" s="2">
        <f t="shared" si="0"/>
        <v>6.69</v>
      </c>
      <c r="M103" s="2"/>
      <c r="N103" s="19">
        <f t="shared" si="1"/>
        <v>-1</v>
      </c>
      <c r="O103" s="11"/>
      <c r="P103" s="2">
        <f>0</f>
        <v>0</v>
      </c>
      <c r="Q103" s="2"/>
      <c r="R103" s="19"/>
      <c r="S103" s="2"/>
      <c r="T103" s="2">
        <f>-14.77</f>
        <v>-14.77</v>
      </c>
      <c r="U103" s="2"/>
      <c r="V103" s="19"/>
      <c r="W103" s="2"/>
      <c r="X103" s="2">
        <f t="shared" si="2"/>
        <v>14.77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9"/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-21.87</f>
        <v>-21.87</v>
      </c>
      <c r="Q104" s="2"/>
      <c r="R104" s="19"/>
      <c r="S104" s="2"/>
      <c r="T104" s="2">
        <f>0</f>
        <v>0</v>
      </c>
      <c r="U104" s="2"/>
      <c r="V104" s="19"/>
      <c r="W104" s="2"/>
      <c r="X104" s="2">
        <f t="shared" si="2"/>
        <v>-21.87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-216.75</f>
        <v>-216.75</v>
      </c>
      <c r="E105" s="2"/>
      <c r="F105" s="19"/>
      <c r="G105" s="2"/>
      <c r="H105" s="2">
        <f>-194.09</f>
        <v>-194.09</v>
      </c>
      <c r="I105" s="2"/>
      <c r="J105" s="19"/>
      <c r="K105" s="2"/>
      <c r="L105" s="2">
        <f t="shared" si="0"/>
        <v>-22.659999999999997</v>
      </c>
      <c r="M105" s="2"/>
      <c r="N105" s="19">
        <f t="shared" si="1"/>
        <v>0.1167499613581328</v>
      </c>
      <c r="O105" s="11"/>
      <c r="P105" s="2">
        <f>-931.65</f>
        <v>-931.65</v>
      </c>
      <c r="Q105" s="2"/>
      <c r="R105" s="19"/>
      <c r="S105" s="2"/>
      <c r="T105" s="2">
        <f>-495.68</f>
        <v>-495.68</v>
      </c>
      <c r="U105" s="2"/>
      <c r="V105" s="19"/>
      <c r="W105" s="2"/>
      <c r="X105" s="2">
        <f t="shared" si="2"/>
        <v>-435.96999999999997</v>
      </c>
      <c r="Y105" s="2"/>
      <c r="Z105" s="19">
        <f t="shared" si="3"/>
        <v>0.8795392188508715</v>
      </c>
    </row>
    <row r="106" spans="1:26" s="24" customFormat="1" hidden="1" outlineLevel="1" x14ac:dyDescent="0.25">
      <c r="A106" s="44"/>
      <c r="B106" s="11" t="str">
        <f>CONCATENATE("          ", "4341", " - ", "SALES RETURN NON TAXABLE-LOGO")</f>
        <v xml:space="preserve">          4341 - SALES RETURN NON TAXABLE-LOGO</v>
      </c>
      <c r="C106" s="11"/>
      <c r="D106" s="2">
        <f>-9.95</f>
        <v>-9.9499999999999993</v>
      </c>
      <c r="E106" s="2"/>
      <c r="F106" s="19"/>
      <c r="G106" s="2"/>
      <c r="H106" s="2">
        <f>-23.9</f>
        <v>-23.9</v>
      </c>
      <c r="I106" s="2"/>
      <c r="J106" s="19"/>
      <c r="K106" s="2"/>
      <c r="L106" s="2">
        <f t="shared" si="0"/>
        <v>13.95</v>
      </c>
      <c r="M106" s="2"/>
      <c r="N106" s="19">
        <f t="shared" si="1"/>
        <v>-0.58368200836820083</v>
      </c>
      <c r="O106" s="11"/>
      <c r="P106" s="2">
        <f>-30.8</f>
        <v>-30.8</v>
      </c>
      <c r="Q106" s="2"/>
      <c r="R106" s="19"/>
      <c r="S106" s="2"/>
      <c r="T106" s="2">
        <f>-142.75</f>
        <v>-142.75</v>
      </c>
      <c r="U106" s="2"/>
      <c r="V106" s="19"/>
      <c r="W106" s="2"/>
      <c r="X106" s="2">
        <f t="shared" si="2"/>
        <v>111.95</v>
      </c>
      <c r="Y106" s="2"/>
      <c r="Z106" s="19">
        <f t="shared" si="3"/>
        <v>-0.78423817863397549</v>
      </c>
    </row>
    <row r="107" spans="1:26" s="24" customFormat="1" hidden="1" outlineLevel="1" x14ac:dyDescent="0.25">
      <c r="A107" s="44"/>
      <c r="B107" s="11" t="str">
        <f>CONCATENATE("          ", "4342", " - ", "SALES RETURN NON TAXABLE-EVERY")</f>
        <v xml:space="preserve">          4342 - SALES RETURN NON TAXABLE-EVERY</v>
      </c>
      <c r="C107" s="11"/>
      <c r="D107" s="2">
        <f>-39.42</f>
        <v>-39.42</v>
      </c>
      <c r="E107" s="2"/>
      <c r="F107" s="19"/>
      <c r="G107" s="2"/>
      <c r="H107" s="2">
        <f>-14.95</f>
        <v>-14.95</v>
      </c>
      <c r="I107" s="2"/>
      <c r="J107" s="19"/>
      <c r="K107" s="2"/>
      <c r="L107" s="2">
        <f t="shared" si="0"/>
        <v>-24.470000000000002</v>
      </c>
      <c r="M107" s="2"/>
      <c r="N107" s="19">
        <f t="shared" si="1"/>
        <v>1.6367892976588632</v>
      </c>
      <c r="O107" s="11"/>
      <c r="P107" s="2">
        <f>-149.22</f>
        <v>-149.22</v>
      </c>
      <c r="Q107" s="2"/>
      <c r="R107" s="19"/>
      <c r="S107" s="2"/>
      <c r="T107" s="2">
        <f>-83.7</f>
        <v>-83.7</v>
      </c>
      <c r="U107" s="2"/>
      <c r="V107" s="19"/>
      <c r="W107" s="2"/>
      <c r="X107" s="2">
        <f t="shared" si="2"/>
        <v>-65.52</v>
      </c>
      <c r="Y107" s="2"/>
      <c r="Z107" s="19">
        <f t="shared" si="3"/>
        <v>0.78279569892473111</v>
      </c>
    </row>
    <row r="108" spans="1:26" s="24" customFormat="1" hidden="1" outlineLevel="1" x14ac:dyDescent="0.25">
      <c r="A108" s="44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>0</f>
        <v>0</v>
      </c>
      <c r="E108" s="2"/>
      <c r="F108" s="19"/>
      <c r="G108" s="2"/>
      <c r="H108" s="2">
        <f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-8.15</f>
        <v>-8.15</v>
      </c>
      <c r="Q108" s="2"/>
      <c r="R108" s="19"/>
      <c r="S108" s="2"/>
      <c r="T108" s="2">
        <f>0</f>
        <v>0</v>
      </c>
      <c r="U108" s="2"/>
      <c r="V108" s="19"/>
      <c r="W108" s="2"/>
      <c r="X108" s="2">
        <f t="shared" si="2"/>
        <v>-8.15</v>
      </c>
      <c r="Y108" s="2"/>
      <c r="Z108" s="19">
        <f t="shared" si="3"/>
        <v>0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collapsed="1" x14ac:dyDescent="0.25">
      <c r="A110" s="10"/>
      <c r="B110" s="29" t="s">
        <v>8</v>
      </c>
      <c r="C110" s="10"/>
      <c r="D110" s="4">
        <f>SUM(OSRRefD16x_0)</f>
        <v>1277484.9499999995</v>
      </c>
      <c r="E110" s="4"/>
      <c r="F110" s="12">
        <f t="shared" ref="F110:F162" si="10">IF(D$12=0,0,D110/D$12)</f>
        <v>0.54254371749864705</v>
      </c>
      <c r="G110" s="4"/>
      <c r="H110" s="4">
        <f>SUM(OSRRefH16x_0)</f>
        <v>1771187.9799999995</v>
      </c>
      <c r="I110" s="4"/>
      <c r="J110" s="12">
        <f t="shared" ref="J110:J162" si="11">IF(H$12=0,0,H110/H$12)</f>
        <v>0.63791966215326423</v>
      </c>
      <c r="K110" s="4"/>
      <c r="L110" s="4">
        <f t="shared" ref="L110:L162" si="12">+D110-H110</f>
        <v>-493703.03</v>
      </c>
      <c r="M110" s="4"/>
      <c r="N110" s="12">
        <f t="shared" ref="N110:N162" si="13">IF(H110=0,0,L110/H110)</f>
        <v>-0.27874118138493698</v>
      </c>
      <c r="O110" s="10"/>
      <c r="P110" s="4">
        <f>SUM(OSRRefP16x_0)</f>
        <v>5272170.450000003</v>
      </c>
      <c r="Q110" s="4"/>
      <c r="R110" s="12">
        <f t="shared" ref="R110:R162" si="14">IF(P$12=0,0,P110/P$12)</f>
        <v>0.55516409725804672</v>
      </c>
      <c r="S110" s="4"/>
      <c r="T110" s="4">
        <f>SUM(OSRRefT16x_0)</f>
        <v>6060806.8500000006</v>
      </c>
      <c r="U110" s="4"/>
      <c r="V110" s="12">
        <f t="shared" ref="V110:V162" si="15">IF(T$12=0,0,T110/T$12)</f>
        <v>0.59166858378538489</v>
      </c>
      <c r="W110" s="4"/>
      <c r="X110" s="4">
        <f t="shared" ref="X110:X162" si="16">+P110-T110</f>
        <v>-788636.39999999758</v>
      </c>
      <c r="Y110" s="4"/>
      <c r="Z110" s="12">
        <f t="shared" ref="Z110:Z162" si="17">IF(T110=0,0,X110/T110)</f>
        <v>-0.13012069506884177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890224.90999999992</v>
      </c>
      <c r="E111" s="2"/>
      <c r="F111" s="19">
        <f t="shared" si="10"/>
        <v>0.37807563375310105</v>
      </c>
      <c r="G111" s="2"/>
      <c r="H111" s="2">
        <v>795267.40999999992</v>
      </c>
      <c r="I111" s="2"/>
      <c r="J111" s="19">
        <f t="shared" si="11"/>
        <v>0.28642737148018671</v>
      </c>
      <c r="K111" s="2"/>
      <c r="L111" s="2">
        <f t="shared" si="12"/>
        <v>94957.5</v>
      </c>
      <c r="M111" s="2"/>
      <c r="N111" s="19">
        <f t="shared" si="13"/>
        <v>0.11940323318416884</v>
      </c>
      <c r="O111" s="11"/>
      <c r="P111" s="2">
        <v>2627294.66</v>
      </c>
      <c r="Q111" s="2"/>
      <c r="R111" s="19">
        <f t="shared" si="14"/>
        <v>0.27665639454994972</v>
      </c>
      <c r="S111" s="2"/>
      <c r="T111" s="2">
        <v>2950999.91</v>
      </c>
      <c r="U111" s="2"/>
      <c r="V111" s="19">
        <f t="shared" si="15"/>
        <v>0.28808275543387396</v>
      </c>
      <c r="W111" s="2"/>
      <c r="X111" s="2">
        <f t="shared" si="16"/>
        <v>-323705.25</v>
      </c>
      <c r="Y111" s="2"/>
      <c r="Z111" s="19">
        <f t="shared" si="17"/>
        <v>-0.10969341235933823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260084.68000000002</v>
      </c>
      <c r="E112" s="2"/>
      <c r="F112" s="19">
        <f t="shared" si="10"/>
        <v>0.11045712057245456</v>
      </c>
      <c r="G112" s="2"/>
      <c r="H112" s="2">
        <v>169941.1</v>
      </c>
      <c r="I112" s="2"/>
      <c r="J112" s="19">
        <f t="shared" si="11"/>
        <v>6.1206811655279025E-2</v>
      </c>
      <c r="K112" s="2"/>
      <c r="L112" s="2">
        <f t="shared" si="12"/>
        <v>90143.580000000016</v>
      </c>
      <c r="M112" s="2"/>
      <c r="N112" s="19">
        <f t="shared" si="13"/>
        <v>0.53044013484672048</v>
      </c>
      <c r="O112" s="11"/>
      <c r="P112" s="2">
        <v>512607.53</v>
      </c>
      <c r="Q112" s="2"/>
      <c r="R112" s="19">
        <f t="shared" si="14"/>
        <v>5.3978015191092119E-2</v>
      </c>
      <c r="S112" s="2"/>
      <c r="T112" s="2">
        <v>422304.25</v>
      </c>
      <c r="U112" s="2"/>
      <c r="V112" s="19">
        <f t="shared" si="15"/>
        <v>4.1226220156487761E-2</v>
      </c>
      <c r="W112" s="2"/>
      <c r="X112" s="2">
        <f t="shared" si="16"/>
        <v>90303.280000000028</v>
      </c>
      <c r="Y112" s="2"/>
      <c r="Z112" s="19">
        <f t="shared" si="17"/>
        <v>0.21383464646638065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10"/>
        <v>0</v>
      </c>
      <c r="G113" s="2"/>
      <c r="H113" s="2">
        <v>45275.65</v>
      </c>
      <c r="I113" s="2"/>
      <c r="J113" s="19">
        <f t="shared" si="11"/>
        <v>1.6306697921340593E-2</v>
      </c>
      <c r="K113" s="2"/>
      <c r="L113" s="2">
        <f t="shared" si="12"/>
        <v>-45275.65</v>
      </c>
      <c r="M113" s="2"/>
      <c r="N113" s="19">
        <f t="shared" si="13"/>
        <v>-1</v>
      </c>
      <c r="O113" s="11"/>
      <c r="P113" s="2">
        <v>-78.400000000000006</v>
      </c>
      <c r="Q113" s="2"/>
      <c r="R113" s="19">
        <f t="shared" si="14"/>
        <v>-8.2555876441799867E-6</v>
      </c>
      <c r="S113" s="2"/>
      <c r="T113" s="2">
        <v>53419.4</v>
      </c>
      <c r="U113" s="2"/>
      <c r="V113" s="19">
        <f t="shared" si="15"/>
        <v>5.2149130514965985E-3</v>
      </c>
      <c r="W113" s="2"/>
      <c r="X113" s="2">
        <f t="shared" si="16"/>
        <v>-53497.8</v>
      </c>
      <c r="Y113" s="2"/>
      <c r="Z113" s="19">
        <f t="shared" si="17"/>
        <v>-1.0014676316094901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119541.49999999999</v>
      </c>
      <c r="E114" s="2"/>
      <c r="F114" s="19">
        <f t="shared" si="10"/>
        <v>5.0768887575046995E-2</v>
      </c>
      <c r="G114" s="2"/>
      <c r="H114" s="2">
        <v>121328.07999999999</v>
      </c>
      <c r="I114" s="2"/>
      <c r="J114" s="19">
        <f t="shared" si="11"/>
        <v>4.3698110351507821E-2</v>
      </c>
      <c r="K114" s="2"/>
      <c r="L114" s="2">
        <f t="shared" si="12"/>
        <v>-1786.5800000000017</v>
      </c>
      <c r="M114" s="2"/>
      <c r="N114" s="19">
        <f t="shared" si="13"/>
        <v>-1.4725197992088905E-2</v>
      </c>
      <c r="O114" s="11"/>
      <c r="P114" s="2">
        <v>473893.77</v>
      </c>
      <c r="Q114" s="2"/>
      <c r="R114" s="19">
        <f t="shared" si="14"/>
        <v>4.9901422860534089E-2</v>
      </c>
      <c r="S114" s="2"/>
      <c r="T114" s="2">
        <v>453923.02</v>
      </c>
      <c r="U114" s="2"/>
      <c r="V114" s="19">
        <f t="shared" si="15"/>
        <v>4.4312910316715491E-2</v>
      </c>
      <c r="W114" s="2"/>
      <c r="X114" s="2">
        <f t="shared" si="16"/>
        <v>19970.75</v>
      </c>
      <c r="Y114" s="2"/>
      <c r="Z114" s="19">
        <f t="shared" si="17"/>
        <v>4.3995896044223534E-2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>
        <v>573</v>
      </c>
      <c r="E115" s="2"/>
      <c r="F115" s="19">
        <f t="shared" si="10"/>
        <v>2.4335124271070659E-4</v>
      </c>
      <c r="G115" s="2"/>
      <c r="H115" s="2">
        <v>357</v>
      </c>
      <c r="I115" s="2"/>
      <c r="J115" s="19">
        <f t="shared" si="11"/>
        <v>1.2857885326701199E-4</v>
      </c>
      <c r="K115" s="2"/>
      <c r="L115" s="2">
        <f t="shared" si="12"/>
        <v>216</v>
      </c>
      <c r="M115" s="2"/>
      <c r="N115" s="19">
        <f t="shared" si="13"/>
        <v>0.60504201680672265</v>
      </c>
      <c r="O115" s="11"/>
      <c r="P115" s="2">
        <v>5475</v>
      </c>
      <c r="Q115" s="2"/>
      <c r="R115" s="19">
        <f t="shared" si="14"/>
        <v>5.7652222387608964E-4</v>
      </c>
      <c r="S115" s="2"/>
      <c r="T115" s="2">
        <v>2931</v>
      </c>
      <c r="U115" s="2"/>
      <c r="V115" s="19">
        <f t="shared" si="15"/>
        <v>2.8613032257824927E-4</v>
      </c>
      <c r="W115" s="2"/>
      <c r="X115" s="2">
        <f t="shared" si="16"/>
        <v>2544</v>
      </c>
      <c r="Y115" s="2"/>
      <c r="Z115" s="19">
        <f t="shared" si="17"/>
        <v>0.86796315250767653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-276.85000000000002</v>
      </c>
      <c r="E116" s="2"/>
      <c r="F116" s="19">
        <f t="shared" si="10"/>
        <v>-1.1757729763430911E-4</v>
      </c>
      <c r="G116" s="2"/>
      <c r="H116" s="2">
        <v>-29.05</v>
      </c>
      <c r="I116" s="2"/>
      <c r="J116" s="19">
        <f t="shared" si="11"/>
        <v>-1.0462789040354898E-5</v>
      </c>
      <c r="K116" s="2"/>
      <c r="L116" s="2">
        <f t="shared" si="12"/>
        <v>-247.8</v>
      </c>
      <c r="M116" s="2"/>
      <c r="N116" s="19">
        <f t="shared" si="13"/>
        <v>8.5301204819277103</v>
      </c>
      <c r="O116" s="11"/>
      <c r="P116" s="2">
        <v>458.46</v>
      </c>
      <c r="Q116" s="2"/>
      <c r="R116" s="19">
        <f t="shared" si="14"/>
        <v>4.8276233563147403E-5</v>
      </c>
      <c r="S116" s="2"/>
      <c r="T116" s="2">
        <v>1377.89</v>
      </c>
      <c r="U116" s="2"/>
      <c r="V116" s="19">
        <f t="shared" si="15"/>
        <v>1.3451249067804297E-4</v>
      </c>
      <c r="W116" s="2"/>
      <c r="X116" s="2">
        <f t="shared" si="16"/>
        <v>-919.43000000000006</v>
      </c>
      <c r="Y116" s="2"/>
      <c r="Z116" s="19">
        <f t="shared" si="17"/>
        <v>-0.66727387527306248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>
        <v>69.599999999999994</v>
      </c>
      <c r="E117" s="2"/>
      <c r="F117" s="19">
        <f t="shared" si="10"/>
        <v>2.9558894402557029E-5</v>
      </c>
      <c r="G117" s="2"/>
      <c r="H117" s="2">
        <v>166.6</v>
      </c>
      <c r="I117" s="2"/>
      <c r="J117" s="19">
        <f t="shared" si="11"/>
        <v>6.0003464857938927E-5</v>
      </c>
      <c r="K117" s="2"/>
      <c r="L117" s="2">
        <f t="shared" si="12"/>
        <v>-97</v>
      </c>
      <c r="M117" s="2"/>
      <c r="N117" s="19">
        <f t="shared" si="13"/>
        <v>-0.5822328931572629</v>
      </c>
      <c r="O117" s="11"/>
      <c r="P117" s="2">
        <v>583.39</v>
      </c>
      <c r="Q117" s="2"/>
      <c r="R117" s="19">
        <f t="shared" si="14"/>
        <v>6.1431470353803095E-5</v>
      </c>
      <c r="S117" s="2"/>
      <c r="T117" s="2">
        <v>954.56</v>
      </c>
      <c r="U117" s="2"/>
      <c r="V117" s="19">
        <f t="shared" si="15"/>
        <v>9.3186134670861009E-5</v>
      </c>
      <c r="W117" s="2"/>
      <c r="X117" s="2">
        <f t="shared" si="16"/>
        <v>-371.16999999999996</v>
      </c>
      <c r="Y117" s="2"/>
      <c r="Z117" s="19">
        <f t="shared" si="17"/>
        <v>-0.38883883674153535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10"/>
        <v>0</v>
      </c>
      <c r="G118" s="2"/>
      <c r="H118" s="2"/>
      <c r="I118" s="2"/>
      <c r="J118" s="19">
        <f t="shared" si="11"/>
        <v>0</v>
      </c>
      <c r="K118" s="2"/>
      <c r="L118" s="2">
        <f t="shared" si="12"/>
        <v>0</v>
      </c>
      <c r="M118" s="2"/>
      <c r="N118" s="19">
        <f t="shared" si="13"/>
        <v>0</v>
      </c>
      <c r="O118" s="11"/>
      <c r="P118" s="2">
        <v>0</v>
      </c>
      <c r="Q118" s="2"/>
      <c r="R118" s="19">
        <f t="shared" si="14"/>
        <v>0</v>
      </c>
      <c r="S118" s="2"/>
      <c r="T118" s="2">
        <v>239.9</v>
      </c>
      <c r="U118" s="2"/>
      <c r="V118" s="19">
        <f t="shared" si="15"/>
        <v>2.3419537491136814E-5</v>
      </c>
      <c r="W118" s="2"/>
      <c r="X118" s="2">
        <f t="shared" si="16"/>
        <v>-239.9</v>
      </c>
      <c r="Y118" s="2"/>
      <c r="Z118" s="19">
        <f t="shared" si="17"/>
        <v>-1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1032.75</v>
      </c>
      <c r="E119" s="2"/>
      <c r="F119" s="19">
        <f t="shared" si="10"/>
        <v>4.3860557750345939E-4</v>
      </c>
      <c r="G119" s="2"/>
      <c r="H119" s="2">
        <v>-1051.22</v>
      </c>
      <c r="I119" s="2"/>
      <c r="J119" s="19">
        <f t="shared" si="11"/>
        <v>-3.7861249896736234E-4</v>
      </c>
      <c r="K119" s="2"/>
      <c r="L119" s="2">
        <f t="shared" si="12"/>
        <v>2083.9700000000003</v>
      </c>
      <c r="M119" s="2"/>
      <c r="N119" s="19">
        <f t="shared" si="13"/>
        <v>-1.9824299385475925</v>
      </c>
      <c r="O119" s="11"/>
      <c r="P119" s="2">
        <v>2031.15</v>
      </c>
      <c r="Q119" s="2"/>
      <c r="R119" s="19">
        <f t="shared" si="14"/>
        <v>2.1388184749331863E-4</v>
      </c>
      <c r="S119" s="2"/>
      <c r="T119" s="2">
        <v>1034.55</v>
      </c>
      <c r="U119" s="2"/>
      <c r="V119" s="19">
        <f t="shared" si="15"/>
        <v>1.009949250164885E-4</v>
      </c>
      <c r="W119" s="2"/>
      <c r="X119" s="2">
        <f t="shared" si="16"/>
        <v>996.60000000000014</v>
      </c>
      <c r="Y119" s="2"/>
      <c r="Z119" s="19">
        <f t="shared" si="17"/>
        <v>0.96331738437001613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>
        <v>880</v>
      </c>
      <c r="E120" s="2"/>
      <c r="F120" s="19">
        <f t="shared" si="10"/>
        <v>3.7373314761853719E-4</v>
      </c>
      <c r="G120" s="2"/>
      <c r="H120" s="2">
        <v>1316.92</v>
      </c>
      <c r="I120" s="2"/>
      <c r="J120" s="19">
        <f t="shared" si="11"/>
        <v>4.7430830096468752E-4</v>
      </c>
      <c r="K120" s="2"/>
      <c r="L120" s="2">
        <f t="shared" si="12"/>
        <v>-436.92000000000007</v>
      </c>
      <c r="M120" s="2"/>
      <c r="N120" s="19">
        <f t="shared" si="13"/>
        <v>-0.33177413965920483</v>
      </c>
      <c r="O120" s="11"/>
      <c r="P120" s="2">
        <v>22978.390000000003</v>
      </c>
      <c r="Q120" s="2"/>
      <c r="R120" s="19">
        <f t="shared" si="14"/>
        <v>2.4196442929483291E-3</v>
      </c>
      <c r="S120" s="2"/>
      <c r="T120" s="2">
        <v>16316.070000000002</v>
      </c>
      <c r="U120" s="2"/>
      <c r="V120" s="19">
        <f t="shared" si="15"/>
        <v>1.592808724772875E-3</v>
      </c>
      <c r="W120" s="2"/>
      <c r="X120" s="2">
        <f t="shared" si="16"/>
        <v>6662.3200000000015</v>
      </c>
      <c r="Y120" s="2"/>
      <c r="Z120" s="19">
        <f t="shared" si="17"/>
        <v>0.40832872131585612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9201.3799999999992</v>
      </c>
      <c r="E121" s="2"/>
      <c r="F121" s="19">
        <f t="shared" si="10"/>
        <v>3.9077962611752904E-3</v>
      </c>
      <c r="G121" s="2"/>
      <c r="H121" s="2">
        <v>9855.14</v>
      </c>
      <c r="I121" s="2"/>
      <c r="J121" s="19">
        <f t="shared" si="11"/>
        <v>3.5494750699884047E-3</v>
      </c>
      <c r="K121" s="2"/>
      <c r="L121" s="2">
        <f t="shared" si="12"/>
        <v>-653.76000000000022</v>
      </c>
      <c r="M121" s="2"/>
      <c r="N121" s="19">
        <f t="shared" si="13"/>
        <v>-6.6336957161440654E-2</v>
      </c>
      <c r="O121" s="11"/>
      <c r="P121" s="2">
        <v>43496.15</v>
      </c>
      <c r="Q121" s="2"/>
      <c r="R121" s="19">
        <f t="shared" si="14"/>
        <v>4.5801821238443795E-3</v>
      </c>
      <c r="S121" s="2"/>
      <c r="T121" s="2">
        <v>41629.360000000001</v>
      </c>
      <c r="U121" s="2"/>
      <c r="V121" s="19">
        <f t="shared" si="15"/>
        <v>4.0639447988829978E-3</v>
      </c>
      <c r="W121" s="2"/>
      <c r="X121" s="2">
        <f t="shared" si="16"/>
        <v>1866.7900000000009</v>
      </c>
      <c r="Y121" s="2"/>
      <c r="Z121" s="19">
        <f t="shared" si="17"/>
        <v>4.4843110727621101E-2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>
        <v>42814.02</v>
      </c>
      <c r="E122" s="2"/>
      <c r="F122" s="19">
        <f t="shared" si="10"/>
        <v>1.818297551909432E-2</v>
      </c>
      <c r="G122" s="2"/>
      <c r="H122" s="2">
        <v>15619.089999999998</v>
      </c>
      <c r="I122" s="2"/>
      <c r="J122" s="19">
        <f t="shared" si="11"/>
        <v>5.6254472864825048E-3</v>
      </c>
      <c r="K122" s="2"/>
      <c r="L122" s="2">
        <f t="shared" si="12"/>
        <v>27194.93</v>
      </c>
      <c r="M122" s="2"/>
      <c r="N122" s="19">
        <f t="shared" si="13"/>
        <v>1.7411340865568994</v>
      </c>
      <c r="O122" s="11"/>
      <c r="P122" s="2">
        <v>120814.02</v>
      </c>
      <c r="Q122" s="2"/>
      <c r="R122" s="19">
        <f t="shared" si="14"/>
        <v>1.2721820545353493E-2</v>
      </c>
      <c r="S122" s="2"/>
      <c r="T122" s="2">
        <v>113525.58</v>
      </c>
      <c r="U122" s="2"/>
      <c r="V122" s="19">
        <f t="shared" si="15"/>
        <v>1.1082603489008136E-2</v>
      </c>
      <c r="W122" s="2"/>
      <c r="X122" s="2">
        <f t="shared" si="16"/>
        <v>7288.4400000000023</v>
      </c>
      <c r="Y122" s="2"/>
      <c r="Z122" s="19">
        <f t="shared" si="17"/>
        <v>6.4200861162744136E-2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>
        <v>32126.68</v>
      </c>
      <c r="E123" s="2"/>
      <c r="F123" s="19">
        <f t="shared" si="10"/>
        <v>1.3644096862424439E-2</v>
      </c>
      <c r="G123" s="2"/>
      <c r="H123" s="2">
        <v>38426.899999999994</v>
      </c>
      <c r="I123" s="2"/>
      <c r="J123" s="19">
        <f t="shared" si="11"/>
        <v>1.3840018870045217E-2</v>
      </c>
      <c r="K123" s="2"/>
      <c r="L123" s="2">
        <f t="shared" si="12"/>
        <v>-6300.2199999999939</v>
      </c>
      <c r="M123" s="2"/>
      <c r="N123" s="19">
        <f t="shared" si="13"/>
        <v>-0.16395337641079544</v>
      </c>
      <c r="O123" s="11"/>
      <c r="P123" s="2">
        <v>135127.5</v>
      </c>
      <c r="Q123" s="2"/>
      <c r="R123" s="19">
        <f t="shared" si="14"/>
        <v>1.4229042339144531E-2</v>
      </c>
      <c r="S123" s="2"/>
      <c r="T123" s="2">
        <v>136220.42000000001</v>
      </c>
      <c r="U123" s="2"/>
      <c r="V123" s="19">
        <f t="shared" si="15"/>
        <v>1.3298121022294303E-2</v>
      </c>
      <c r="W123" s="2"/>
      <c r="X123" s="2">
        <f t="shared" si="16"/>
        <v>-1092.9200000000128</v>
      </c>
      <c r="Y123" s="2"/>
      <c r="Z123" s="19">
        <f t="shared" si="17"/>
        <v>-8.0231730308863575E-3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2390.66</v>
      </c>
      <c r="E124" s="2"/>
      <c r="F124" s="19">
        <f t="shared" si="10"/>
        <v>1.0153055530519681E-3</v>
      </c>
      <c r="G124" s="2"/>
      <c r="H124" s="2">
        <v>3763.6</v>
      </c>
      <c r="I124" s="2"/>
      <c r="J124" s="19">
        <f t="shared" si="11"/>
        <v>1.35551644861548E-3</v>
      </c>
      <c r="K124" s="2"/>
      <c r="L124" s="2">
        <f t="shared" si="12"/>
        <v>-1372.94</v>
      </c>
      <c r="M124" s="2"/>
      <c r="N124" s="19">
        <f t="shared" si="13"/>
        <v>-0.36479434583909026</v>
      </c>
      <c r="O124" s="11"/>
      <c r="P124" s="2">
        <v>24900.390000000003</v>
      </c>
      <c r="Q124" s="2"/>
      <c r="R124" s="19">
        <f t="shared" si="14"/>
        <v>2.6220325512661086E-3</v>
      </c>
      <c r="S124" s="2"/>
      <c r="T124" s="2">
        <v>22897.390000000003</v>
      </c>
      <c r="U124" s="2"/>
      <c r="V124" s="19">
        <f t="shared" si="15"/>
        <v>2.2352908860115935E-3</v>
      </c>
      <c r="W124" s="2"/>
      <c r="X124" s="2">
        <f t="shared" si="16"/>
        <v>2003</v>
      </c>
      <c r="Y124" s="2"/>
      <c r="Z124" s="19">
        <f t="shared" si="17"/>
        <v>8.7477219019285596E-2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>
        <v>371.03</v>
      </c>
      <c r="E125" s="2"/>
      <c r="F125" s="19">
        <f t="shared" si="10"/>
        <v>1.5757523836466573E-4</v>
      </c>
      <c r="G125" s="2"/>
      <c r="H125" s="2">
        <v>423.28</v>
      </c>
      <c r="I125" s="2"/>
      <c r="J125" s="19">
        <f t="shared" si="11"/>
        <v>1.5245057986235528E-4</v>
      </c>
      <c r="K125" s="2"/>
      <c r="L125" s="2">
        <f t="shared" si="12"/>
        <v>-52.25</v>
      </c>
      <c r="M125" s="2"/>
      <c r="N125" s="19">
        <f t="shared" si="13"/>
        <v>-0.12344074844074845</v>
      </c>
      <c r="O125" s="11"/>
      <c r="P125" s="2">
        <v>5392.51</v>
      </c>
      <c r="Q125" s="2"/>
      <c r="R125" s="19">
        <f t="shared" si="14"/>
        <v>5.6783595570302327E-4</v>
      </c>
      <c r="S125" s="2"/>
      <c r="T125" s="2">
        <v>5993.53</v>
      </c>
      <c r="U125" s="2"/>
      <c r="V125" s="19">
        <f t="shared" si="15"/>
        <v>5.8510087761256039E-4</v>
      </c>
      <c r="W125" s="2"/>
      <c r="X125" s="2">
        <f t="shared" si="16"/>
        <v>-601.01999999999953</v>
      </c>
      <c r="Y125" s="2"/>
      <c r="Z125" s="19">
        <f t="shared" si="17"/>
        <v>-0.10027813325369182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>
        <v>805.69</v>
      </c>
      <c r="E126" s="2"/>
      <c r="F126" s="19">
        <f t="shared" si="10"/>
        <v>3.4217393148270366E-4</v>
      </c>
      <c r="G126" s="2"/>
      <c r="H126" s="2">
        <v>1164.18</v>
      </c>
      <c r="I126" s="2"/>
      <c r="J126" s="19">
        <f t="shared" si="11"/>
        <v>4.1929672099829139E-4</v>
      </c>
      <c r="K126" s="2"/>
      <c r="L126" s="2">
        <f t="shared" si="12"/>
        <v>-358.49</v>
      </c>
      <c r="M126" s="2"/>
      <c r="N126" s="19">
        <f t="shared" si="13"/>
        <v>-0.3079334810768094</v>
      </c>
      <c r="O126" s="11"/>
      <c r="P126" s="2">
        <v>7003.62</v>
      </c>
      <c r="Q126" s="2"/>
      <c r="R126" s="19">
        <f t="shared" si="14"/>
        <v>7.3748722878229389E-4</v>
      </c>
      <c r="S126" s="2"/>
      <c r="T126" s="2">
        <v>5746.05</v>
      </c>
      <c r="U126" s="2"/>
      <c r="V126" s="19">
        <f t="shared" si="15"/>
        <v>5.609413647392526E-4</v>
      </c>
      <c r="W126" s="2"/>
      <c r="X126" s="2">
        <f t="shared" si="16"/>
        <v>1257.5699999999997</v>
      </c>
      <c r="Y126" s="2"/>
      <c r="Z126" s="19">
        <f t="shared" si="17"/>
        <v>0.21885817213564096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/>
      <c r="E127" s="2"/>
      <c r="F127" s="19">
        <f t="shared" si="10"/>
        <v>0</v>
      </c>
      <c r="G127" s="2"/>
      <c r="H127" s="2">
        <v>243.38</v>
      </c>
      <c r="I127" s="2"/>
      <c r="J127" s="19">
        <f t="shared" si="11"/>
        <v>8.7656922431723753E-5</v>
      </c>
      <c r="K127" s="2"/>
      <c r="L127" s="2">
        <f t="shared" si="12"/>
        <v>-243.38</v>
      </c>
      <c r="M127" s="2"/>
      <c r="N127" s="19">
        <f t="shared" si="13"/>
        <v>-1</v>
      </c>
      <c r="O127" s="11"/>
      <c r="P127" s="2">
        <v>2124.16</v>
      </c>
      <c r="Q127" s="2"/>
      <c r="R127" s="19">
        <f t="shared" si="14"/>
        <v>2.2367588074312958E-4</v>
      </c>
      <c r="S127" s="2"/>
      <c r="T127" s="2">
        <v>2305.7199999999998</v>
      </c>
      <c r="U127" s="2"/>
      <c r="V127" s="19">
        <f t="shared" si="15"/>
        <v>2.2508918709488943E-4</v>
      </c>
      <c r="W127" s="2"/>
      <c r="X127" s="2">
        <f t="shared" si="16"/>
        <v>-181.55999999999995</v>
      </c>
      <c r="Y127" s="2"/>
      <c r="Z127" s="19">
        <f t="shared" si="17"/>
        <v>-7.8743299273112063E-2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>
        <v>32.82</v>
      </c>
      <c r="E128" s="2"/>
      <c r="F128" s="19">
        <f t="shared" si="10"/>
        <v>1.3938547619136807E-5</v>
      </c>
      <c r="G128" s="2"/>
      <c r="H128" s="2">
        <v>74.38</v>
      </c>
      <c r="I128" s="2"/>
      <c r="J128" s="19">
        <f t="shared" si="11"/>
        <v>2.6789061921569611E-5</v>
      </c>
      <c r="K128" s="2"/>
      <c r="L128" s="2">
        <f t="shared" si="12"/>
        <v>-41.559999999999995</v>
      </c>
      <c r="M128" s="2"/>
      <c r="N128" s="19">
        <f t="shared" si="13"/>
        <v>-0.55875235278300617</v>
      </c>
      <c r="O128" s="11"/>
      <c r="P128" s="2">
        <v>857.2</v>
      </c>
      <c r="Q128" s="2"/>
      <c r="R128" s="19">
        <f t="shared" si="14"/>
        <v>9.0263899599376084E-5</v>
      </c>
      <c r="S128" s="2"/>
      <c r="T128" s="2">
        <v>674.73</v>
      </c>
      <c r="U128" s="2"/>
      <c r="V128" s="19">
        <f t="shared" si="15"/>
        <v>6.5868547442245697E-5</v>
      </c>
      <c r="W128" s="2"/>
      <c r="X128" s="2">
        <f t="shared" si="16"/>
        <v>182.47000000000003</v>
      </c>
      <c r="Y128" s="2"/>
      <c r="Z128" s="19">
        <f t="shared" si="17"/>
        <v>0.27043409956575226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/>
      <c r="E129" s="2"/>
      <c r="F129" s="19">
        <f t="shared" si="10"/>
        <v>0</v>
      </c>
      <c r="G129" s="2"/>
      <c r="H129" s="2">
        <v>216.7</v>
      </c>
      <c r="I129" s="2"/>
      <c r="J129" s="19">
        <f t="shared" si="11"/>
        <v>7.8047724097931361E-5</v>
      </c>
      <c r="K129" s="2"/>
      <c r="L129" s="2">
        <f t="shared" si="12"/>
        <v>-216.7</v>
      </c>
      <c r="M129" s="2"/>
      <c r="N129" s="19">
        <f t="shared" si="13"/>
        <v>-1</v>
      </c>
      <c r="O129" s="11"/>
      <c r="P129" s="2">
        <v>3759.27</v>
      </c>
      <c r="Q129" s="2"/>
      <c r="R129" s="19">
        <f t="shared" si="14"/>
        <v>3.9585437452980225E-4</v>
      </c>
      <c r="S129" s="2"/>
      <c r="T129" s="2">
        <v>4112.79</v>
      </c>
      <c r="U129" s="2"/>
      <c r="V129" s="19">
        <f t="shared" si="15"/>
        <v>4.0149912296028587E-4</v>
      </c>
      <c r="W129" s="2"/>
      <c r="X129" s="2">
        <f t="shared" si="16"/>
        <v>-353.52</v>
      </c>
      <c r="Y129" s="2"/>
      <c r="Z129" s="19">
        <f t="shared" si="17"/>
        <v>-8.5956248677904773E-2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94500.17</v>
      </c>
      <c r="E130" s="2"/>
      <c r="F130" s="19">
        <f t="shared" si="10"/>
        <v>4.0133915891575972E-2</v>
      </c>
      <c r="G130" s="2"/>
      <c r="H130" s="2">
        <v>107805.70999999999</v>
      </c>
      <c r="I130" s="2"/>
      <c r="J130" s="19">
        <f t="shared" si="11"/>
        <v>3.8827827919988928E-2</v>
      </c>
      <c r="K130" s="2"/>
      <c r="L130" s="2">
        <f t="shared" si="12"/>
        <v>-13305.539999999994</v>
      </c>
      <c r="M130" s="2"/>
      <c r="N130" s="19">
        <f t="shared" si="13"/>
        <v>-0.12342147739669813</v>
      </c>
      <c r="O130" s="11"/>
      <c r="P130" s="2">
        <v>810739.01</v>
      </c>
      <c r="Q130" s="2"/>
      <c r="R130" s="19">
        <f t="shared" si="14"/>
        <v>8.5371517265442787E-2</v>
      </c>
      <c r="S130" s="2"/>
      <c r="T130" s="2">
        <v>718263.82</v>
      </c>
      <c r="U130" s="2"/>
      <c r="V130" s="19">
        <f t="shared" si="15"/>
        <v>7.0118409591567912E-2</v>
      </c>
      <c r="W130" s="2"/>
      <c r="X130" s="2">
        <f t="shared" si="16"/>
        <v>92475.190000000061</v>
      </c>
      <c r="Y130" s="2"/>
      <c r="Z130" s="19">
        <f t="shared" si="17"/>
        <v>0.12874822234537731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14612.2</v>
      </c>
      <c r="E131" s="2"/>
      <c r="F131" s="19">
        <f t="shared" si="10"/>
        <v>6.205753976854079E-3</v>
      </c>
      <c r="G131" s="2"/>
      <c r="H131" s="2">
        <v>9492.9599999999991</v>
      </c>
      <c r="I131" s="2"/>
      <c r="J131" s="19">
        <f t="shared" si="11"/>
        <v>3.4190305627720282E-3</v>
      </c>
      <c r="K131" s="2"/>
      <c r="L131" s="2">
        <f t="shared" si="12"/>
        <v>5119.2400000000016</v>
      </c>
      <c r="M131" s="2"/>
      <c r="N131" s="19">
        <f t="shared" si="13"/>
        <v>0.53926699364581776</v>
      </c>
      <c r="O131" s="11"/>
      <c r="P131" s="2">
        <v>124015.87000000001</v>
      </c>
      <c r="Q131" s="2"/>
      <c r="R131" s="19">
        <f t="shared" si="14"/>
        <v>1.3058978112936628E-2</v>
      </c>
      <c r="S131" s="2"/>
      <c r="T131" s="2">
        <v>114936.31</v>
      </c>
      <c r="U131" s="2"/>
      <c r="V131" s="19">
        <f t="shared" si="15"/>
        <v>1.1220321888861705E-2</v>
      </c>
      <c r="W131" s="2"/>
      <c r="X131" s="2">
        <f t="shared" si="16"/>
        <v>9079.5600000000122</v>
      </c>
      <c r="Y131" s="2"/>
      <c r="Z131" s="19">
        <f t="shared" si="17"/>
        <v>7.8996445944715055E-2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2972.86</v>
      </c>
      <c r="E132" s="2"/>
      <c r="F132" s="19">
        <f t="shared" si="10"/>
        <v>1.2625640059423233E-3</v>
      </c>
      <c r="G132" s="2"/>
      <c r="H132" s="2">
        <v>18027.329999999998</v>
      </c>
      <c r="I132" s="2"/>
      <c r="J132" s="19">
        <f t="shared" si="11"/>
        <v>6.4928106971036499E-3</v>
      </c>
      <c r="K132" s="2"/>
      <c r="L132" s="2">
        <f t="shared" si="12"/>
        <v>-15054.469999999998</v>
      </c>
      <c r="M132" s="2"/>
      <c r="N132" s="19">
        <f t="shared" si="13"/>
        <v>-0.83509149718788078</v>
      </c>
      <c r="O132" s="11"/>
      <c r="P132" s="2">
        <v>91360.97</v>
      </c>
      <c r="Q132" s="2"/>
      <c r="R132" s="19">
        <f t="shared" si="14"/>
        <v>9.6203889680140115E-3</v>
      </c>
      <c r="S132" s="2"/>
      <c r="T132" s="2">
        <v>98601.319999999992</v>
      </c>
      <c r="U132" s="2"/>
      <c r="V132" s="19">
        <f t="shared" si="15"/>
        <v>9.6256661542958658E-3</v>
      </c>
      <c r="W132" s="2"/>
      <c r="X132" s="2">
        <f t="shared" si="16"/>
        <v>-7240.3499999999913</v>
      </c>
      <c r="Y132" s="2"/>
      <c r="Z132" s="19">
        <f t="shared" si="17"/>
        <v>-7.3430558536133103E-2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3909.52</v>
      </c>
      <c r="E133" s="2"/>
      <c r="F133" s="19">
        <f t="shared" si="10"/>
        <v>1.6603604719063903E-3</v>
      </c>
      <c r="G133" s="2"/>
      <c r="H133" s="2">
        <v>150.46</v>
      </c>
      <c r="I133" s="2"/>
      <c r="J133" s="19">
        <f t="shared" si="11"/>
        <v>5.4190404096791668E-5</v>
      </c>
      <c r="K133" s="2"/>
      <c r="L133" s="2">
        <f t="shared" si="12"/>
        <v>3759.06</v>
      </c>
      <c r="M133" s="2"/>
      <c r="N133" s="19">
        <f t="shared" si="13"/>
        <v>24.983783065266515</v>
      </c>
      <c r="O133" s="11"/>
      <c r="P133" s="2">
        <v>10694.41</v>
      </c>
      <c r="Q133" s="2"/>
      <c r="R133" s="19">
        <f t="shared" si="14"/>
        <v>1.1261306002269757E-3</v>
      </c>
      <c r="S133" s="2"/>
      <c r="T133" s="2">
        <v>2694.52</v>
      </c>
      <c r="U133" s="2"/>
      <c r="V133" s="19">
        <f t="shared" si="15"/>
        <v>2.6304465260782811E-4</v>
      </c>
      <c r="W133" s="2"/>
      <c r="X133" s="2">
        <f t="shared" si="16"/>
        <v>7999.8899999999994</v>
      </c>
      <c r="Y133" s="2"/>
      <c r="Z133" s="19">
        <f t="shared" si="17"/>
        <v>2.968948087228894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3179.63</v>
      </c>
      <c r="E134" s="2"/>
      <c r="F134" s="19">
        <f t="shared" si="10"/>
        <v>1.3503785547299197E-3</v>
      </c>
      <c r="G134" s="2"/>
      <c r="H134" s="2">
        <v>4714.93</v>
      </c>
      <c r="I134" s="2"/>
      <c r="J134" s="19">
        <f t="shared" si="11"/>
        <v>1.6981520802079354E-3</v>
      </c>
      <c r="K134" s="2"/>
      <c r="L134" s="2">
        <f t="shared" si="12"/>
        <v>-1535.3000000000002</v>
      </c>
      <c r="M134" s="2"/>
      <c r="N134" s="19">
        <f t="shared" si="13"/>
        <v>-0.32562519485973285</v>
      </c>
      <c r="O134" s="11"/>
      <c r="P134" s="2">
        <v>20867.21</v>
      </c>
      <c r="Q134" s="2"/>
      <c r="R134" s="19">
        <f t="shared" si="14"/>
        <v>2.1973352174044524E-3</v>
      </c>
      <c r="S134" s="2"/>
      <c r="T134" s="2">
        <v>25689.96</v>
      </c>
      <c r="U134" s="2"/>
      <c r="V134" s="19">
        <f t="shared" si="15"/>
        <v>2.5079073837674243E-3</v>
      </c>
      <c r="W134" s="2"/>
      <c r="X134" s="2">
        <f t="shared" si="16"/>
        <v>-4822.75</v>
      </c>
      <c r="Y134" s="2"/>
      <c r="Z134" s="19">
        <f t="shared" si="17"/>
        <v>-0.18772898050444611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6835.65</v>
      </c>
      <c r="E135" s="2"/>
      <c r="F135" s="19">
        <f t="shared" si="10"/>
        <v>2.9030783983166517E-3</v>
      </c>
      <c r="G135" s="2"/>
      <c r="H135" s="2">
        <v>3857.1</v>
      </c>
      <c r="I135" s="2"/>
      <c r="J135" s="19">
        <f t="shared" si="11"/>
        <v>1.3891918625663639E-3</v>
      </c>
      <c r="K135" s="2"/>
      <c r="L135" s="2">
        <f t="shared" si="12"/>
        <v>2978.5499999999997</v>
      </c>
      <c r="M135" s="2"/>
      <c r="N135" s="19">
        <f t="shared" si="13"/>
        <v>0.7722252469471883</v>
      </c>
      <c r="O135" s="11"/>
      <c r="P135" s="2">
        <v>48016.23</v>
      </c>
      <c r="Q135" s="2"/>
      <c r="R135" s="19">
        <f t="shared" si="14"/>
        <v>5.0561504478074549E-3</v>
      </c>
      <c r="S135" s="2"/>
      <c r="T135" s="2">
        <v>55529.409999999996</v>
      </c>
      <c r="U135" s="2"/>
      <c r="V135" s="19">
        <f t="shared" si="15"/>
        <v>5.4208966209074927E-3</v>
      </c>
      <c r="W135" s="2"/>
      <c r="X135" s="2">
        <f t="shared" si="16"/>
        <v>-7513.179999999993</v>
      </c>
      <c r="Y135" s="2"/>
      <c r="Z135" s="19">
        <f t="shared" si="17"/>
        <v>-0.13530091531676627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115854.20000000001</v>
      </c>
      <c r="E136" s="2"/>
      <c r="F136" s="19">
        <f t="shared" si="10"/>
        <v>4.9202903216849468E-2</v>
      </c>
      <c r="G136" s="2"/>
      <c r="H136" s="2">
        <v>124542.18000000001</v>
      </c>
      <c r="I136" s="2"/>
      <c r="J136" s="19">
        <f t="shared" si="11"/>
        <v>4.4855716212251533E-2</v>
      </c>
      <c r="K136" s="2"/>
      <c r="L136" s="2">
        <f t="shared" si="12"/>
        <v>-8687.9799999999959</v>
      </c>
      <c r="M136" s="2"/>
      <c r="N136" s="19">
        <f t="shared" si="13"/>
        <v>-6.9759337760106621E-2</v>
      </c>
      <c r="O136" s="11"/>
      <c r="P136" s="2">
        <v>899726.58</v>
      </c>
      <c r="Q136" s="2"/>
      <c r="R136" s="19">
        <f t="shared" si="14"/>
        <v>9.47419851656673E-2</v>
      </c>
      <c r="S136" s="2"/>
      <c r="T136" s="2">
        <v>829489.69</v>
      </c>
      <c r="U136" s="2"/>
      <c r="V136" s="19">
        <f t="shared" si="15"/>
        <v>8.0976510602194463E-2</v>
      </c>
      <c r="W136" s="2"/>
      <c r="X136" s="2">
        <f t="shared" si="16"/>
        <v>70236.890000000014</v>
      </c>
      <c r="Y136" s="2"/>
      <c r="Z136" s="19">
        <f t="shared" si="17"/>
        <v>8.4674819767802084E-2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>
        <v>-27891.68</v>
      </c>
      <c r="E137" s="2"/>
      <c r="F137" s="19">
        <f t="shared" si="10"/>
        <v>-1.1845506089510228E-2</v>
      </c>
      <c r="G137" s="2"/>
      <c r="H137" s="2">
        <v>-35969.11</v>
      </c>
      <c r="I137" s="2"/>
      <c r="J137" s="19">
        <f t="shared" si="11"/>
        <v>-1.2954809290854382E-2</v>
      </c>
      <c r="K137" s="2"/>
      <c r="L137" s="2">
        <f t="shared" si="12"/>
        <v>8077.43</v>
      </c>
      <c r="M137" s="2"/>
      <c r="N137" s="19">
        <f t="shared" si="13"/>
        <v>-0.2245657454410187</v>
      </c>
      <c r="O137" s="11"/>
      <c r="P137" s="2">
        <v>-37505.519999999997</v>
      </c>
      <c r="Q137" s="2"/>
      <c r="R137" s="19">
        <f t="shared" si="14"/>
        <v>-3.9493636160783845E-3</v>
      </c>
      <c r="S137" s="2"/>
      <c r="T137" s="2">
        <v>-13662.83</v>
      </c>
      <c r="U137" s="2"/>
      <c r="V137" s="19">
        <f t="shared" si="15"/>
        <v>-1.333793911713334E-3</v>
      </c>
      <c r="W137" s="2"/>
      <c r="X137" s="2">
        <f t="shared" si="16"/>
        <v>-23842.689999999995</v>
      </c>
      <c r="Y137" s="2"/>
      <c r="Z137" s="19">
        <f t="shared" si="17"/>
        <v>1.7450769716083707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>
        <v>119.66</v>
      </c>
      <c r="E138" s="2"/>
      <c r="F138" s="19">
        <f t="shared" si="10"/>
        <v>5.0819214140947903E-5</v>
      </c>
      <c r="G138" s="2"/>
      <c r="H138" s="2">
        <v>224.16</v>
      </c>
      <c r="I138" s="2"/>
      <c r="J138" s="19">
        <f t="shared" si="11"/>
        <v>8.0734553916900307E-5</v>
      </c>
      <c r="K138" s="2"/>
      <c r="L138" s="2">
        <f t="shared" si="12"/>
        <v>-104.5</v>
      </c>
      <c r="M138" s="2"/>
      <c r="N138" s="19">
        <f t="shared" si="13"/>
        <v>-0.46618486795146324</v>
      </c>
      <c r="O138" s="11"/>
      <c r="P138" s="2">
        <v>1891.21</v>
      </c>
      <c r="Q138" s="2"/>
      <c r="R138" s="19">
        <f t="shared" si="14"/>
        <v>1.9914604475190859E-4</v>
      </c>
      <c r="S138" s="2"/>
      <c r="T138" s="2">
        <v>2153.04</v>
      </c>
      <c r="U138" s="2"/>
      <c r="V138" s="19">
        <f t="shared" si="15"/>
        <v>2.1018424760282288E-4</v>
      </c>
      <c r="W138" s="2"/>
      <c r="X138" s="2">
        <f t="shared" si="16"/>
        <v>-261.82999999999993</v>
      </c>
      <c r="Y138" s="2"/>
      <c r="Z138" s="19">
        <f t="shared" si="17"/>
        <v>-0.12160944524950765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/>
      <c r="E139" s="2"/>
      <c r="F139" s="19">
        <f t="shared" si="10"/>
        <v>0</v>
      </c>
      <c r="G139" s="2"/>
      <c r="H139" s="2">
        <v>174</v>
      </c>
      <c r="I139" s="2"/>
      <c r="J139" s="19">
        <f t="shared" si="11"/>
        <v>6.2668684785602481E-5</v>
      </c>
      <c r="K139" s="2"/>
      <c r="L139" s="2">
        <f t="shared" si="12"/>
        <v>-174</v>
      </c>
      <c r="M139" s="2"/>
      <c r="N139" s="19">
        <f t="shared" si="13"/>
        <v>-1</v>
      </c>
      <c r="O139" s="11"/>
      <c r="P139" s="2">
        <v>349.6</v>
      </c>
      <c r="Q139" s="2"/>
      <c r="R139" s="19">
        <f t="shared" si="14"/>
        <v>3.6813181637823002E-5</v>
      </c>
      <c r="S139" s="2"/>
      <c r="T139" s="2">
        <v>857</v>
      </c>
      <c r="U139" s="2"/>
      <c r="V139" s="19">
        <f t="shared" si="15"/>
        <v>8.3662124343077325E-5</v>
      </c>
      <c r="W139" s="2"/>
      <c r="X139" s="2">
        <f t="shared" si="16"/>
        <v>-507.4</v>
      </c>
      <c r="Y139" s="2"/>
      <c r="Z139" s="19">
        <f t="shared" si="17"/>
        <v>-0.59206534422403734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>
        <v>83.36</v>
      </c>
      <c r="E140" s="2"/>
      <c r="F140" s="19">
        <f t="shared" si="10"/>
        <v>3.5402721801683247E-5</v>
      </c>
      <c r="G140" s="2"/>
      <c r="H140" s="2">
        <v>146.15</v>
      </c>
      <c r="I140" s="2"/>
      <c r="J140" s="19">
        <f t="shared" si="11"/>
        <v>5.2638093571355193E-5</v>
      </c>
      <c r="K140" s="2"/>
      <c r="L140" s="2">
        <f t="shared" si="12"/>
        <v>-62.790000000000006</v>
      </c>
      <c r="M140" s="2"/>
      <c r="N140" s="19">
        <f t="shared" si="13"/>
        <v>-0.42962709544988026</v>
      </c>
      <c r="O140" s="11"/>
      <c r="P140" s="2">
        <v>462.71</v>
      </c>
      <c r="Q140" s="2"/>
      <c r="R140" s="19">
        <f t="shared" si="14"/>
        <v>4.8723762230083183E-5</v>
      </c>
      <c r="S140" s="2"/>
      <c r="T140" s="2">
        <v>679.99</v>
      </c>
      <c r="U140" s="2"/>
      <c r="V140" s="19">
        <f t="shared" si="15"/>
        <v>6.638203959398967E-5</v>
      </c>
      <c r="W140" s="2"/>
      <c r="X140" s="2">
        <f t="shared" si="16"/>
        <v>-217.28000000000003</v>
      </c>
      <c r="Y140" s="2"/>
      <c r="Z140" s="19">
        <f t="shared" si="17"/>
        <v>-0.31953411079574706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>
        <v>36.979999999999997</v>
      </c>
      <c r="E141" s="2"/>
      <c r="F141" s="19">
        <f t="shared" si="10"/>
        <v>1.5705286135151708E-5</v>
      </c>
      <c r="G141" s="2"/>
      <c r="H141" s="2">
        <v>62.91</v>
      </c>
      <c r="I141" s="2"/>
      <c r="J141" s="19">
        <f t="shared" si="11"/>
        <v>2.2657971033691104E-5</v>
      </c>
      <c r="K141" s="2"/>
      <c r="L141" s="2">
        <f t="shared" si="12"/>
        <v>-25.93</v>
      </c>
      <c r="M141" s="2"/>
      <c r="N141" s="19">
        <f t="shared" si="13"/>
        <v>-0.41217612462247655</v>
      </c>
      <c r="O141" s="11"/>
      <c r="P141" s="2">
        <v>416.24</v>
      </c>
      <c r="Q141" s="2"/>
      <c r="R141" s="19">
        <f t="shared" si="14"/>
        <v>4.3830431135375995E-5</v>
      </c>
      <c r="S141" s="2"/>
      <c r="T141" s="2">
        <v>698.09</v>
      </c>
      <c r="U141" s="2"/>
      <c r="V141" s="19">
        <f t="shared" si="15"/>
        <v>6.8148999279648597E-5</v>
      </c>
      <c r="W141" s="2"/>
      <c r="X141" s="2">
        <f t="shared" si="16"/>
        <v>-281.85000000000002</v>
      </c>
      <c r="Y141" s="2"/>
      <c r="Z141" s="19">
        <f t="shared" si="17"/>
        <v>-0.40374450285779773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>
        <v>122.72</v>
      </c>
      <c r="E142" s="2"/>
      <c r="F142" s="19">
        <f t="shared" si="10"/>
        <v>5.2118786222439636E-5</v>
      </c>
      <c r="G142" s="2"/>
      <c r="H142" s="2">
        <v>-820</v>
      </c>
      <c r="I142" s="2"/>
      <c r="J142" s="19">
        <f t="shared" si="11"/>
        <v>-2.9533518117352896E-4</v>
      </c>
      <c r="K142" s="2"/>
      <c r="L142" s="2">
        <f t="shared" si="12"/>
        <v>942.72</v>
      </c>
      <c r="M142" s="2"/>
      <c r="N142" s="19">
        <f t="shared" si="13"/>
        <v>-1.149658536585366</v>
      </c>
      <c r="O142" s="11"/>
      <c r="P142" s="2">
        <v>2046.86</v>
      </c>
      <c r="Q142" s="2"/>
      <c r="R142" s="19">
        <f t="shared" si="14"/>
        <v>2.1553612404803885E-4</v>
      </c>
      <c r="S142" s="2"/>
      <c r="T142" s="2">
        <v>-2690.04</v>
      </c>
      <c r="U142" s="2"/>
      <c r="V142" s="19">
        <f t="shared" si="15"/>
        <v>-2.6260730568010703E-4</v>
      </c>
      <c r="W142" s="2"/>
      <c r="X142" s="2">
        <f t="shared" si="16"/>
        <v>4736.8999999999996</v>
      </c>
      <c r="Y142" s="2"/>
      <c r="Z142" s="19">
        <f t="shared" si="17"/>
        <v>-1.7609031835957829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10"/>
        <v>0</v>
      </c>
      <c r="G143" s="2"/>
      <c r="H143" s="2">
        <v>0</v>
      </c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0</v>
      </c>
      <c r="Q143" s="2"/>
      <c r="R143" s="19">
        <f t="shared" si="14"/>
        <v>0</v>
      </c>
      <c r="S143" s="2"/>
      <c r="T143" s="2">
        <v>0</v>
      </c>
      <c r="U143" s="2"/>
      <c r="V143" s="19">
        <f t="shared" si="15"/>
        <v>0</v>
      </c>
      <c r="W143" s="2"/>
      <c r="X143" s="2">
        <f t="shared" si="16"/>
        <v>0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-1039044</v>
      </c>
      <c r="E144" s="2"/>
      <c r="F144" s="19">
        <f t="shared" si="10"/>
        <v>-0.44127861890244924</v>
      </c>
      <c r="G144" s="2"/>
      <c r="H144" s="2">
        <v>-702153</v>
      </c>
      <c r="I144" s="2"/>
      <c r="J144" s="19">
        <f t="shared" si="11"/>
        <v>-0.25289083349577668</v>
      </c>
      <c r="K144" s="2"/>
      <c r="L144" s="2">
        <f t="shared" si="12"/>
        <v>-336891</v>
      </c>
      <c r="M144" s="2"/>
      <c r="N144" s="19">
        <f t="shared" si="13"/>
        <v>0.47979713823055659</v>
      </c>
      <c r="O144" s="11"/>
      <c r="P144" s="2">
        <v>-4025566</v>
      </c>
      <c r="Q144" s="2"/>
      <c r="R144" s="19">
        <f t="shared" si="14"/>
        <v>-0.4238955730922328</v>
      </c>
      <c r="S144" s="2"/>
      <c r="T144" s="2">
        <v>-3897376</v>
      </c>
      <c r="U144" s="2"/>
      <c r="V144" s="19">
        <f t="shared" si="15"/>
        <v>-0.3804699597709747</v>
      </c>
      <c r="W144" s="2"/>
      <c r="X144" s="2">
        <f t="shared" si="16"/>
        <v>-128190</v>
      </c>
      <c r="Y144" s="2"/>
      <c r="Z144" s="19">
        <f t="shared" si="17"/>
        <v>3.2891360751438919E-2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732800</v>
      </c>
      <c r="E145" s="2"/>
      <c r="F145" s="19">
        <f t="shared" si="10"/>
        <v>0.31121778474416367</v>
      </c>
      <c r="G145" s="2"/>
      <c r="H145" s="2">
        <v>1018677.0000000001</v>
      </c>
      <c r="I145" s="2"/>
      <c r="J145" s="19">
        <f t="shared" si="11"/>
        <v>0.36689165408817925</v>
      </c>
      <c r="K145" s="2"/>
      <c r="L145" s="2">
        <f t="shared" si="12"/>
        <v>-285877.00000000012</v>
      </c>
      <c r="M145" s="2"/>
      <c r="N145" s="19">
        <f t="shared" si="13"/>
        <v>-0.28063556946902707</v>
      </c>
      <c r="O145" s="11"/>
      <c r="P145" s="2">
        <v>3245890.47</v>
      </c>
      <c r="Q145" s="2"/>
      <c r="R145" s="19">
        <f t="shared" si="14"/>
        <v>0.34179506707262208</v>
      </c>
      <c r="S145" s="2"/>
      <c r="T145" s="2">
        <v>3791167.9999999995</v>
      </c>
      <c r="U145" s="2"/>
      <c r="V145" s="19">
        <f t="shared" si="15"/>
        <v>0.37010171367735789</v>
      </c>
      <c r="W145" s="2"/>
      <c r="X145" s="2">
        <f t="shared" si="16"/>
        <v>-545277.52999999933</v>
      </c>
      <c r="Y145" s="2"/>
      <c r="Z145" s="19">
        <f t="shared" si="17"/>
        <v>-0.14382837426355133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>
        <v>7.3</v>
      </c>
      <c r="E146" s="2"/>
      <c r="F146" s="19">
        <f t="shared" si="10"/>
        <v>3.1002863381992289E-6</v>
      </c>
      <c r="G146" s="2"/>
      <c r="H146" s="2">
        <v>156.58000000000001</v>
      </c>
      <c r="I146" s="2"/>
      <c r="J146" s="19">
        <f t="shared" si="11"/>
        <v>5.6394613009940446E-5</v>
      </c>
      <c r="K146" s="2"/>
      <c r="L146" s="2">
        <f t="shared" si="12"/>
        <v>-149.28</v>
      </c>
      <c r="M146" s="2"/>
      <c r="N146" s="19">
        <f t="shared" si="13"/>
        <v>-0.95337846468259035</v>
      </c>
      <c r="O146" s="11"/>
      <c r="P146" s="2">
        <v>122.53</v>
      </c>
      <c r="Q146" s="2"/>
      <c r="R146" s="19">
        <f t="shared" si="14"/>
        <v>1.2902514719915483E-5</v>
      </c>
      <c r="S146" s="2"/>
      <c r="T146" s="2">
        <v>167.08</v>
      </c>
      <c r="U146" s="2"/>
      <c r="V146" s="19">
        <f t="shared" si="15"/>
        <v>1.6310697474027259E-5</v>
      </c>
      <c r="W146" s="2"/>
      <c r="X146" s="2">
        <f t="shared" si="16"/>
        <v>-44.550000000000011</v>
      </c>
      <c r="Y146" s="2"/>
      <c r="Z146" s="19">
        <f t="shared" si="17"/>
        <v>-0.26663873593488152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3407.43</v>
      </c>
      <c r="E147" s="2"/>
      <c r="F147" s="19">
        <f t="shared" si="10"/>
        <v>1.4471244763520818E-3</v>
      </c>
      <c r="G147" s="2"/>
      <c r="H147" s="2">
        <v>13385.88</v>
      </c>
      <c r="I147" s="2"/>
      <c r="J147" s="19">
        <f t="shared" si="11"/>
        <v>4.8211235304477041E-3</v>
      </c>
      <c r="K147" s="2"/>
      <c r="L147" s="2">
        <f t="shared" si="12"/>
        <v>-9978.4499999999989</v>
      </c>
      <c r="M147" s="2"/>
      <c r="N147" s="19">
        <f t="shared" si="13"/>
        <v>-0.74544594752082038</v>
      </c>
      <c r="O147" s="11"/>
      <c r="P147" s="2">
        <v>42077.369999999995</v>
      </c>
      <c r="Q147" s="2"/>
      <c r="R147" s="19">
        <f t="shared" si="14"/>
        <v>4.4307833657090514E-3</v>
      </c>
      <c r="S147" s="2"/>
      <c r="T147" s="2">
        <v>52281</v>
      </c>
      <c r="U147" s="2"/>
      <c r="V147" s="19">
        <f t="shared" si="15"/>
        <v>5.1037800732560389E-3</v>
      </c>
      <c r="W147" s="2"/>
      <c r="X147" s="2">
        <f t="shared" si="16"/>
        <v>-10203.630000000005</v>
      </c>
      <c r="Y147" s="2"/>
      <c r="Z147" s="19">
        <f t="shared" si="17"/>
        <v>-0.19516899064669774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4124.8100000000004</v>
      </c>
      <c r="E148" s="2"/>
      <c r="F148" s="19">
        <f t="shared" si="10"/>
        <v>1.7517934370777483E-3</v>
      </c>
      <c r="G148" s="2"/>
      <c r="H148" s="2">
        <v>3187.01</v>
      </c>
      <c r="I148" s="2"/>
      <c r="J148" s="19">
        <f t="shared" si="11"/>
        <v>1.1478489948193275E-3</v>
      </c>
      <c r="K148" s="2"/>
      <c r="L148" s="2">
        <f t="shared" si="12"/>
        <v>937.80000000000018</v>
      </c>
      <c r="M148" s="2"/>
      <c r="N148" s="19">
        <f t="shared" si="13"/>
        <v>0.29425699950737527</v>
      </c>
      <c r="O148" s="11"/>
      <c r="P148" s="2">
        <v>11778.23</v>
      </c>
      <c r="Q148" s="2"/>
      <c r="R148" s="19">
        <f t="shared" si="14"/>
        <v>1.2402577813559953E-3</v>
      </c>
      <c r="S148" s="2"/>
      <c r="T148" s="2">
        <v>11057.1</v>
      </c>
      <c r="U148" s="2"/>
      <c r="V148" s="19">
        <f t="shared" si="15"/>
        <v>1.0794171237734427E-3</v>
      </c>
      <c r="W148" s="2"/>
      <c r="X148" s="2">
        <f t="shared" si="16"/>
        <v>721.1299999999992</v>
      </c>
      <c r="Y148" s="2"/>
      <c r="Z148" s="19">
        <f t="shared" si="17"/>
        <v>6.5218728237964665E-2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10"/>
        <v>0</v>
      </c>
      <c r="G149" s="2"/>
      <c r="H149" s="2">
        <v>77.31</v>
      </c>
      <c r="I149" s="2"/>
      <c r="J149" s="19">
        <f t="shared" si="11"/>
        <v>2.7844344946982348E-5</v>
      </c>
      <c r="K149" s="2"/>
      <c r="L149" s="2">
        <f t="shared" si="12"/>
        <v>-77.31</v>
      </c>
      <c r="M149" s="2"/>
      <c r="N149" s="19">
        <f t="shared" si="13"/>
        <v>-1</v>
      </c>
      <c r="O149" s="11"/>
      <c r="P149" s="2">
        <v>105.97</v>
      </c>
      <c r="Q149" s="2"/>
      <c r="R149" s="19">
        <f t="shared" si="14"/>
        <v>1.1158732431808077E-5</v>
      </c>
      <c r="S149" s="2"/>
      <c r="T149" s="2">
        <v>243.53</v>
      </c>
      <c r="U149" s="2"/>
      <c r="V149" s="19">
        <f t="shared" si="15"/>
        <v>2.3773905649089408E-5</v>
      </c>
      <c r="W149" s="2"/>
      <c r="X149" s="2">
        <f t="shared" si="16"/>
        <v>-137.56</v>
      </c>
      <c r="Y149" s="2"/>
      <c r="Z149" s="19">
        <f t="shared" si="17"/>
        <v>-0.56485853898903626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/>
      <c r="E150" s="2"/>
      <c r="F150" s="19">
        <f t="shared" si="10"/>
        <v>0</v>
      </c>
      <c r="G150" s="2"/>
      <c r="H150" s="2"/>
      <c r="I150" s="2"/>
      <c r="J150" s="19">
        <f t="shared" si="11"/>
        <v>0</v>
      </c>
      <c r="K150" s="2"/>
      <c r="L150" s="2">
        <f t="shared" si="12"/>
        <v>0</v>
      </c>
      <c r="M150" s="2"/>
      <c r="N150" s="19">
        <f t="shared" si="13"/>
        <v>0</v>
      </c>
      <c r="O150" s="11"/>
      <c r="P150" s="2">
        <v>21.41</v>
      </c>
      <c r="Q150" s="2"/>
      <c r="R150" s="19">
        <f t="shared" si="14"/>
        <v>2.2544914727282338E-6</v>
      </c>
      <c r="S150" s="2"/>
      <c r="T150" s="2">
        <v>12.22</v>
      </c>
      <c r="U150" s="2"/>
      <c r="V150" s="19">
        <f t="shared" si="15"/>
        <v>1.1929418430249766E-6</v>
      </c>
      <c r="W150" s="2"/>
      <c r="X150" s="2">
        <f t="shared" si="16"/>
        <v>9.19</v>
      </c>
      <c r="Y150" s="2"/>
      <c r="Z150" s="19">
        <f t="shared" si="17"/>
        <v>0.7520458265139115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/>
      <c r="E151" s="2"/>
      <c r="F151" s="19">
        <f t="shared" si="10"/>
        <v>0</v>
      </c>
      <c r="G151" s="2"/>
      <c r="H151" s="2"/>
      <c r="I151" s="2"/>
      <c r="J151" s="19">
        <f t="shared" si="11"/>
        <v>0</v>
      </c>
      <c r="K151" s="2"/>
      <c r="L151" s="2">
        <f t="shared" si="12"/>
        <v>0</v>
      </c>
      <c r="M151" s="2"/>
      <c r="N151" s="19">
        <f t="shared" si="13"/>
        <v>0</v>
      </c>
      <c r="O151" s="11"/>
      <c r="P151" s="2">
        <v>21.13</v>
      </c>
      <c r="Q151" s="2"/>
      <c r="R151" s="19">
        <f t="shared" si="14"/>
        <v>2.2250072311418763E-6</v>
      </c>
      <c r="S151" s="2"/>
      <c r="T151" s="2"/>
      <c r="U151" s="2"/>
      <c r="V151" s="19">
        <f t="shared" si="15"/>
        <v>0</v>
      </c>
      <c r="W151" s="2"/>
      <c r="X151" s="2">
        <f t="shared" si="16"/>
        <v>21.13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/>
      <c r="E152" s="2"/>
      <c r="F152" s="19">
        <f t="shared" si="10"/>
        <v>0</v>
      </c>
      <c r="G152" s="2"/>
      <c r="H152" s="2">
        <v>232.99</v>
      </c>
      <c r="I152" s="2"/>
      <c r="J152" s="19">
        <f t="shared" si="11"/>
        <v>8.3914809587342095E-5</v>
      </c>
      <c r="K152" s="2"/>
      <c r="L152" s="2">
        <f t="shared" si="12"/>
        <v>-232.99</v>
      </c>
      <c r="M152" s="2"/>
      <c r="N152" s="19">
        <f t="shared" si="13"/>
        <v>-1</v>
      </c>
      <c r="O152" s="11"/>
      <c r="P152" s="2">
        <v>622.41</v>
      </c>
      <c r="Q152" s="2"/>
      <c r="R152" s="19">
        <f t="shared" si="14"/>
        <v>6.554031002058757E-5</v>
      </c>
      <c r="S152" s="2"/>
      <c r="T152" s="2">
        <v>283.91000000000003</v>
      </c>
      <c r="U152" s="2"/>
      <c r="V152" s="19">
        <f t="shared" si="15"/>
        <v>2.7715885323504182E-5</v>
      </c>
      <c r="W152" s="2"/>
      <c r="X152" s="2">
        <f t="shared" si="16"/>
        <v>338.49999999999994</v>
      </c>
      <c r="Y152" s="2"/>
      <c r="Z152" s="19">
        <f t="shared" si="17"/>
        <v>1.1922792434222109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/>
      <c r="E153" s="2"/>
      <c r="F153" s="19">
        <f t="shared" si="10"/>
        <v>0</v>
      </c>
      <c r="G153" s="2"/>
      <c r="H153" s="2">
        <v>16.86</v>
      </c>
      <c r="I153" s="2"/>
      <c r="J153" s="19">
        <f t="shared" si="11"/>
        <v>6.0723794568118265E-6</v>
      </c>
      <c r="K153" s="2"/>
      <c r="L153" s="2">
        <f t="shared" si="12"/>
        <v>-16.86</v>
      </c>
      <c r="M153" s="2"/>
      <c r="N153" s="19">
        <f t="shared" si="13"/>
        <v>-1</v>
      </c>
      <c r="O153" s="11"/>
      <c r="P153" s="2">
        <v>260.35000000000002</v>
      </c>
      <c r="Q153" s="2"/>
      <c r="R153" s="19">
        <f t="shared" si="14"/>
        <v>2.741507963217168E-5</v>
      </c>
      <c r="S153" s="2"/>
      <c r="T153" s="2">
        <v>131.16</v>
      </c>
      <c r="U153" s="2"/>
      <c r="V153" s="19">
        <f t="shared" si="15"/>
        <v>1.2804112285691975E-5</v>
      </c>
      <c r="W153" s="2"/>
      <c r="X153" s="2">
        <f t="shared" si="16"/>
        <v>129.19000000000003</v>
      </c>
      <c r="Y153" s="2"/>
      <c r="Z153" s="19">
        <f t="shared" si="17"/>
        <v>0.98498017688319628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>
        <v>321.92</v>
      </c>
      <c r="E154" s="2"/>
      <c r="F154" s="19">
        <f t="shared" si="10"/>
        <v>1.3671838054699943E-4</v>
      </c>
      <c r="G154" s="2"/>
      <c r="H154" s="2">
        <v>105.31</v>
      </c>
      <c r="I154" s="2"/>
      <c r="J154" s="19">
        <f t="shared" si="11"/>
        <v>3.7928960889493089E-5</v>
      </c>
      <c r="K154" s="2"/>
      <c r="L154" s="2">
        <f t="shared" si="12"/>
        <v>216.61</v>
      </c>
      <c r="M154" s="2"/>
      <c r="N154" s="19">
        <f t="shared" si="13"/>
        <v>2.0568796885386003</v>
      </c>
      <c r="O154" s="11"/>
      <c r="P154" s="2">
        <v>1219.8399999999999</v>
      </c>
      <c r="Q154" s="2"/>
      <c r="R154" s="19">
        <f t="shared" si="14"/>
        <v>1.2845020448822085E-4</v>
      </c>
      <c r="S154" s="2"/>
      <c r="T154" s="2">
        <v>1330.96</v>
      </c>
      <c r="U154" s="2"/>
      <c r="V154" s="19">
        <f t="shared" si="15"/>
        <v>1.2993108636600022E-4</v>
      </c>
      <c r="W154" s="2"/>
      <c r="X154" s="2">
        <f t="shared" si="16"/>
        <v>-111.12000000000012</v>
      </c>
      <c r="Y154" s="2"/>
      <c r="Z154" s="19">
        <f t="shared" si="17"/>
        <v>-8.3488609725311136E-2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220.82</v>
      </c>
      <c r="E155" s="2"/>
      <c r="F155" s="19">
        <f t="shared" si="10"/>
        <v>9.3781538246733386E-5</v>
      </c>
      <c r="G155" s="2"/>
      <c r="H155" s="2">
        <v>537.45000000000005</v>
      </c>
      <c r="I155" s="2"/>
      <c r="J155" s="19">
        <f t="shared" si="11"/>
        <v>1.9357060136794286E-4</v>
      </c>
      <c r="K155" s="2"/>
      <c r="L155" s="2">
        <f t="shared" si="12"/>
        <v>-316.63000000000005</v>
      </c>
      <c r="M155" s="2"/>
      <c r="N155" s="19">
        <f t="shared" si="13"/>
        <v>-0.58913387291841102</v>
      </c>
      <c r="O155" s="11"/>
      <c r="P155" s="2">
        <v>1331.46</v>
      </c>
      <c r="Q155" s="2"/>
      <c r="R155" s="19">
        <f t="shared" si="14"/>
        <v>1.4020388679489651E-4</v>
      </c>
      <c r="S155" s="2"/>
      <c r="T155" s="2">
        <v>5194.9799999999996</v>
      </c>
      <c r="U155" s="2"/>
      <c r="V155" s="19">
        <f t="shared" si="15"/>
        <v>5.0714476396709429E-4</v>
      </c>
      <c r="W155" s="2"/>
      <c r="X155" s="2">
        <f t="shared" si="16"/>
        <v>-3863.5199999999995</v>
      </c>
      <c r="Y155" s="2"/>
      <c r="Z155" s="19">
        <f t="shared" si="17"/>
        <v>-0.74370257440837118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1400.5</v>
      </c>
      <c r="E156" s="2"/>
      <c r="F156" s="19">
        <f t="shared" si="10"/>
        <v>5.947878104997288E-4</v>
      </c>
      <c r="G156" s="2"/>
      <c r="H156" s="2">
        <v>1692.94</v>
      </c>
      <c r="I156" s="2"/>
      <c r="J156" s="19">
        <f t="shared" si="11"/>
        <v>6.0973748977550504E-4</v>
      </c>
      <c r="K156" s="2"/>
      <c r="L156" s="2">
        <f t="shared" si="12"/>
        <v>-292.44000000000005</v>
      </c>
      <c r="M156" s="2"/>
      <c r="N156" s="19">
        <f t="shared" si="13"/>
        <v>-0.17274091225914684</v>
      </c>
      <c r="O156" s="11"/>
      <c r="P156" s="2">
        <v>25677.89</v>
      </c>
      <c r="Q156" s="2"/>
      <c r="R156" s="19">
        <f t="shared" si="14"/>
        <v>2.7039039720996535E-3</v>
      </c>
      <c r="S156" s="2"/>
      <c r="T156" s="2">
        <v>17945.27</v>
      </c>
      <c r="U156" s="2"/>
      <c r="V156" s="19">
        <f t="shared" si="15"/>
        <v>1.7518546208985942E-3</v>
      </c>
      <c r="W156" s="2"/>
      <c r="X156" s="2">
        <f t="shared" si="16"/>
        <v>7732.619999999999</v>
      </c>
      <c r="Y156" s="2"/>
      <c r="Z156" s="19">
        <f t="shared" si="17"/>
        <v>0.43090017592379487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24.8</v>
      </c>
      <c r="E157" s="2"/>
      <c r="F157" s="19">
        <f t="shared" si="10"/>
        <v>1.0532479614704229E-5</v>
      </c>
      <c r="G157" s="2"/>
      <c r="H157" s="2">
        <v>72.37</v>
      </c>
      <c r="I157" s="2"/>
      <c r="J157" s="19">
        <f t="shared" si="11"/>
        <v>2.6065130562839381E-5</v>
      </c>
      <c r="K157" s="2"/>
      <c r="L157" s="2">
        <f t="shared" si="12"/>
        <v>-47.570000000000007</v>
      </c>
      <c r="M157" s="2"/>
      <c r="N157" s="19">
        <f t="shared" si="13"/>
        <v>-0.65731656763852431</v>
      </c>
      <c r="O157" s="11"/>
      <c r="P157" s="2">
        <v>3587.57</v>
      </c>
      <c r="Q157" s="2"/>
      <c r="R157" s="19">
        <f t="shared" si="14"/>
        <v>3.7777421638559688E-4</v>
      </c>
      <c r="S157" s="2"/>
      <c r="T157" s="2">
        <v>4828.58</v>
      </c>
      <c r="U157" s="2"/>
      <c r="V157" s="19">
        <f t="shared" si="15"/>
        <v>4.7137603309276114E-4</v>
      </c>
      <c r="W157" s="2"/>
      <c r="X157" s="2">
        <f t="shared" si="16"/>
        <v>-1241.0099999999998</v>
      </c>
      <c r="Y157" s="2"/>
      <c r="Z157" s="19">
        <f t="shared" si="17"/>
        <v>-0.25701344908855189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/>
      <c r="E158" s="2"/>
      <c r="F158" s="19">
        <f t="shared" si="10"/>
        <v>0</v>
      </c>
      <c r="G158" s="2"/>
      <c r="H158" s="2">
        <v>120.49</v>
      </c>
      <c r="I158" s="2"/>
      <c r="J158" s="19">
        <f t="shared" si="11"/>
        <v>4.3396263389754271E-5</v>
      </c>
      <c r="K158" s="2"/>
      <c r="L158" s="2">
        <f t="shared" si="12"/>
        <v>-120.49</v>
      </c>
      <c r="M158" s="2"/>
      <c r="N158" s="19">
        <f t="shared" si="13"/>
        <v>-1</v>
      </c>
      <c r="O158" s="11"/>
      <c r="P158" s="2">
        <v>1708.33</v>
      </c>
      <c r="Q158" s="2"/>
      <c r="R158" s="19">
        <f t="shared" si="14"/>
        <v>1.7988862296150506E-4</v>
      </c>
      <c r="S158" s="2"/>
      <c r="T158" s="2">
        <v>1342.04</v>
      </c>
      <c r="U158" s="2"/>
      <c r="V158" s="19">
        <f t="shared" si="15"/>
        <v>1.3101273903545332E-4</v>
      </c>
      <c r="W158" s="2"/>
      <c r="X158" s="2">
        <f t="shared" si="16"/>
        <v>366.28999999999996</v>
      </c>
      <c r="Y158" s="2"/>
      <c r="Z158" s="19">
        <f t="shared" si="17"/>
        <v>0.27293523292897376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/>
      <c r="E159" s="2"/>
      <c r="F159" s="19">
        <f t="shared" si="10"/>
        <v>0</v>
      </c>
      <c r="G159" s="2"/>
      <c r="H159" s="2">
        <v>44.71</v>
      </c>
      <c r="I159" s="2"/>
      <c r="J159" s="19">
        <f t="shared" si="11"/>
        <v>1.6102970671059121E-5</v>
      </c>
      <c r="K159" s="2"/>
      <c r="L159" s="2">
        <f t="shared" si="12"/>
        <v>-44.71</v>
      </c>
      <c r="M159" s="2"/>
      <c r="N159" s="19">
        <f t="shared" si="13"/>
        <v>-1</v>
      </c>
      <c r="O159" s="11"/>
      <c r="P159" s="2">
        <v>121.35</v>
      </c>
      <c r="Q159" s="2"/>
      <c r="R159" s="19">
        <f t="shared" si="14"/>
        <v>1.2778259701801548E-5</v>
      </c>
      <c r="S159" s="2"/>
      <c r="T159" s="2">
        <v>57.18</v>
      </c>
      <c r="U159" s="2"/>
      <c r="V159" s="19">
        <f t="shared" si="15"/>
        <v>5.5820306533689161E-6</v>
      </c>
      <c r="W159" s="2"/>
      <c r="X159" s="2">
        <f t="shared" si="16"/>
        <v>64.169999999999987</v>
      </c>
      <c r="Y159" s="2"/>
      <c r="Z159" s="19">
        <f t="shared" si="17"/>
        <v>1.1222455403987406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/>
      <c r="E160" s="2"/>
      <c r="F160" s="19">
        <f t="shared" si="10"/>
        <v>0</v>
      </c>
      <c r="G160" s="2"/>
      <c r="H160" s="2">
        <v>145.19999999999999</v>
      </c>
      <c r="I160" s="2"/>
      <c r="J160" s="19">
        <f t="shared" si="11"/>
        <v>5.229593695902E-5</v>
      </c>
      <c r="K160" s="2"/>
      <c r="L160" s="2">
        <f t="shared" si="12"/>
        <v>-145.19999999999999</v>
      </c>
      <c r="M160" s="2"/>
      <c r="N160" s="19">
        <f t="shared" si="13"/>
        <v>-1</v>
      </c>
      <c r="O160" s="11"/>
      <c r="P160" s="2">
        <v>442.31</v>
      </c>
      <c r="Q160" s="2"/>
      <c r="R160" s="19">
        <f t="shared" si="14"/>
        <v>4.6575624628791453E-5</v>
      </c>
      <c r="S160" s="2"/>
      <c r="T160" s="2">
        <v>735.65</v>
      </c>
      <c r="U160" s="2"/>
      <c r="V160" s="19">
        <f t="shared" si="15"/>
        <v>7.1815684682596077E-5</v>
      </c>
      <c r="W160" s="2"/>
      <c r="X160" s="2">
        <f t="shared" si="16"/>
        <v>-293.33999999999997</v>
      </c>
      <c r="Y160" s="2"/>
      <c r="Z160" s="19">
        <f t="shared" si="17"/>
        <v>-0.39874940528784064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14.23</v>
      </c>
      <c r="E161" s="2"/>
      <c r="F161" s="19">
        <f t="shared" si="10"/>
        <v>6.0434348756952091E-6</v>
      </c>
      <c r="G161" s="2"/>
      <c r="H161" s="2">
        <v>120.96</v>
      </c>
      <c r="I161" s="2"/>
      <c r="J161" s="19">
        <f t="shared" si="11"/>
        <v>4.3565540871646414E-5</v>
      </c>
      <c r="K161" s="2"/>
      <c r="L161" s="2">
        <f t="shared" si="12"/>
        <v>-106.72999999999999</v>
      </c>
      <c r="M161" s="2"/>
      <c r="N161" s="19">
        <f t="shared" si="13"/>
        <v>-0.88235780423280419</v>
      </c>
      <c r="O161" s="11"/>
      <c r="P161" s="2">
        <v>841.9</v>
      </c>
      <c r="Q161" s="2"/>
      <c r="R161" s="19">
        <f t="shared" si="14"/>
        <v>8.8652796398407281E-5</v>
      </c>
      <c r="S161" s="2"/>
      <c r="T161" s="2">
        <v>1443.49</v>
      </c>
      <c r="U161" s="2"/>
      <c r="V161" s="19">
        <f t="shared" si="15"/>
        <v>1.4091649926253056E-4</v>
      </c>
      <c r="W161" s="2"/>
      <c r="X161" s="2">
        <f t="shared" si="16"/>
        <v>-601.59</v>
      </c>
      <c r="Y161" s="2"/>
      <c r="Z161" s="19">
        <f t="shared" si="17"/>
        <v>-0.41676076730701289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10"/>
        <v>0</v>
      </c>
      <c r="G162" s="2"/>
      <c r="H162" s="2"/>
      <c r="I162" s="2"/>
      <c r="J162" s="19">
        <f t="shared" si="11"/>
        <v>0</v>
      </c>
      <c r="K162" s="2"/>
      <c r="L162" s="2">
        <f t="shared" si="12"/>
        <v>0</v>
      </c>
      <c r="M162" s="2"/>
      <c r="N162" s="19">
        <f t="shared" si="13"/>
        <v>0</v>
      </c>
      <c r="O162" s="11"/>
      <c r="P162" s="2">
        <v>105.78</v>
      </c>
      <c r="Q162" s="2"/>
      <c r="R162" s="19">
        <f t="shared" si="14"/>
        <v>1.1138725267874477E-5</v>
      </c>
      <c r="S162" s="2"/>
      <c r="T162" s="2">
        <v>114.3</v>
      </c>
      <c r="U162" s="2"/>
      <c r="V162" s="19">
        <f t="shared" si="15"/>
        <v>1.1158203981812997E-5</v>
      </c>
      <c r="W162" s="2"/>
      <c r="X162" s="2">
        <f t="shared" si="16"/>
        <v>-8.519999999999996</v>
      </c>
      <c r="Y162" s="2"/>
      <c r="Z162" s="19">
        <f t="shared" si="17"/>
        <v>-7.4540682414698134E-2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8" t="s">
        <v>6</v>
      </c>
      <c r="C164" s="28"/>
      <c r="D164" s="21">
        <f>D12-D110</f>
        <v>1077136.2700000003</v>
      </c>
      <c r="E164" s="14"/>
      <c r="F164" s="22">
        <f>IF(D$12=0,0,D164/D$12)</f>
        <v>0.45745628250135295</v>
      </c>
      <c r="G164" s="14"/>
      <c r="H164" s="21">
        <f>H12-H110</f>
        <v>1005318.3500000006</v>
      </c>
      <c r="I164" s="14"/>
      <c r="J164" s="22">
        <f>IF(H$12=0,0,H164/H$12)</f>
        <v>0.36208033784673582</v>
      </c>
      <c r="K164" s="16"/>
      <c r="L164" s="21">
        <f>+D164-H164</f>
        <v>71817.919999999693</v>
      </c>
      <c r="M164" s="16"/>
      <c r="N164" s="22">
        <f>IF(H164=0,0,L164/H164)</f>
        <v>7.1437987777702106E-2</v>
      </c>
      <c r="O164" s="29"/>
      <c r="P164" s="21">
        <f>P12-P110</f>
        <v>4224427.8999999911</v>
      </c>
      <c r="Q164" s="14"/>
      <c r="R164" s="22">
        <f>IF(P$12=0,0,P164/P$12)</f>
        <v>0.44483590274195323</v>
      </c>
      <c r="S164" s="14"/>
      <c r="T164" s="21">
        <f>T12-T110</f>
        <v>4182777.1700000009</v>
      </c>
      <c r="U164" s="14"/>
      <c r="V164" s="22">
        <f>IF(T$12=0,0,T164/T$12)</f>
        <v>0.40833141621461511</v>
      </c>
      <c r="W164" s="16"/>
      <c r="X164" s="21">
        <f>+P164-T164</f>
        <v>41650.729999990202</v>
      </c>
      <c r="Y164" s="16"/>
      <c r="Z164" s="22">
        <f>IF(T164=0,0,X164/T164)</f>
        <v>9.9576736477191286E-3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7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9" t="s">
        <v>9</v>
      </c>
      <c r="C166" s="10"/>
      <c r="D166" s="20">
        <f>SUM(OSRRefD22x_0)</f>
        <v>564341.85</v>
      </c>
      <c r="E166" s="20"/>
      <c r="F166" s="32">
        <f t="shared" ref="F166:F176" si="18">IF(D$12=0,0,D166/D$12)</f>
        <v>0.23967415446973678</v>
      </c>
      <c r="G166" s="20"/>
      <c r="H166" s="20">
        <f>SUM(OSRRefH22x_0)</f>
        <v>592090.8600000001</v>
      </c>
      <c r="I166" s="20"/>
      <c r="J166" s="32">
        <f t="shared" ref="J166:J176" si="19">IF(H$12=0,0,H166/H$12)</f>
        <v>0.2132503187918178</v>
      </c>
      <c r="K166" s="4"/>
      <c r="L166" s="20">
        <f t="shared" ref="L166:L176" si="20">+D166-H166</f>
        <v>-27749.010000000126</v>
      </c>
      <c r="M166" s="4"/>
      <c r="N166" s="32">
        <f t="shared" ref="N166:N176" si="21">IF(H166=0,0,L166/H166)</f>
        <v>-4.686613470101552E-2</v>
      </c>
      <c r="O166" s="10"/>
      <c r="P166" s="20">
        <f>SUM(OSRRefP22x_0)</f>
        <v>3443102.7400000012</v>
      </c>
      <c r="Q166" s="20"/>
      <c r="R166" s="32">
        <f t="shared" ref="R166:R176" si="22">IF(P$12=0,0,P166/P$12)</f>
        <v>0.36256168926002891</v>
      </c>
      <c r="S166" s="20"/>
      <c r="T166" s="20">
        <f>SUM(OSRRefT22x_0)</f>
        <v>3534029.7400000007</v>
      </c>
      <c r="U166" s="20"/>
      <c r="V166" s="32">
        <f t="shared" ref="V166:V176" si="23">IF(T$12=0,0,T166/T$12)</f>
        <v>0.34499934135357441</v>
      </c>
      <c r="W166" s="4"/>
      <c r="X166" s="20">
        <f t="shared" ref="X166:X176" si="24">+P166-T166</f>
        <v>-90926.999999999534</v>
      </c>
      <c r="Y166" s="4"/>
      <c r="Z166" s="32">
        <f t="shared" ref="Z166:Z176" si="25">IF(T166=0,0,X166/T166)</f>
        <v>-2.5728985517818399E-2</v>
      </c>
    </row>
    <row r="167" spans="1:26" s="26" customFormat="1" outlineLevel="1" collapsed="1" x14ac:dyDescent="0.25">
      <c r="A167" s="27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59198.140000000007</v>
      </c>
      <c r="E167" s="1"/>
      <c r="F167" s="5">
        <f t="shared" si="18"/>
        <v>2.5141258176548675E-2</v>
      </c>
      <c r="G167" s="1"/>
      <c r="H167" s="1">
        <f>SUM(OSRRefH22_0x_0)</f>
        <v>69092.19</v>
      </c>
      <c r="I167" s="1"/>
      <c r="J167" s="5">
        <f t="shared" si="19"/>
        <v>2.488457859917791E-2</v>
      </c>
      <c r="K167" s="1"/>
      <c r="L167" s="1">
        <f t="shared" si="20"/>
        <v>-9894.0499999999956</v>
      </c>
      <c r="M167" s="1"/>
      <c r="N167" s="5">
        <f t="shared" si="21"/>
        <v>-0.14320070039754124</v>
      </c>
      <c r="O167" s="13"/>
      <c r="P167" s="1">
        <f>SUM(OSRRefP22_0x_0)</f>
        <v>444989</v>
      </c>
      <c r="Q167" s="1"/>
      <c r="R167" s="5">
        <f t="shared" si="22"/>
        <v>4.6857725640255206E-2</v>
      </c>
      <c r="S167" s="1"/>
      <c r="T167" s="1">
        <f>SUM(OSRRefT22_0x_0)</f>
        <v>462648.56999999995</v>
      </c>
      <c r="U167" s="1"/>
      <c r="V167" s="5">
        <f t="shared" si="23"/>
        <v>4.51647166750139E-2</v>
      </c>
      <c r="W167" s="1"/>
      <c r="X167" s="1">
        <f t="shared" si="24"/>
        <v>-17659.569999999949</v>
      </c>
      <c r="Y167" s="1"/>
      <c r="Z167" s="5">
        <f t="shared" si="25"/>
        <v>-3.8170592421802901E-2</v>
      </c>
    </row>
    <row r="168" spans="1:26" s="24" customFormat="1" hidden="1" outlineLevel="2" x14ac:dyDescent="0.25">
      <c r="A168" s="25"/>
      <c r="B168" s="11" t="str">
        <f>CONCATENATE("          ", "6111", " - ", "F.I.C.A.")</f>
        <v xml:space="preserve">          6111 - F.I.C.A.</v>
      </c>
      <c r="C168" s="11"/>
      <c r="D168" s="6">
        <v>8714.94</v>
      </c>
      <c r="E168" s="2"/>
      <c r="F168" s="7">
        <f t="shared" si="18"/>
        <v>3.7012067698939709E-3</v>
      </c>
      <c r="G168" s="2"/>
      <c r="H168" s="6">
        <v>9541.35</v>
      </c>
      <c r="I168" s="2"/>
      <c r="J168" s="7">
        <f t="shared" si="19"/>
        <v>3.436458940109818E-3</v>
      </c>
      <c r="K168" s="2"/>
      <c r="L168" s="6">
        <f t="shared" si="20"/>
        <v>-826.40999999999985</v>
      </c>
      <c r="M168" s="2"/>
      <c r="N168" s="7">
        <f t="shared" si="21"/>
        <v>-8.6613529531984451E-2</v>
      </c>
      <c r="O168" s="11"/>
      <c r="P168" s="6">
        <v>83643.02</v>
      </c>
      <c r="Q168" s="2"/>
      <c r="R168" s="7">
        <f t="shared" si="22"/>
        <v>8.8076821739017791E-3</v>
      </c>
      <c r="S168" s="2"/>
      <c r="T168" s="6">
        <v>85256.38</v>
      </c>
      <c r="U168" s="2"/>
      <c r="V168" s="7">
        <f t="shared" si="23"/>
        <v>8.322905326255136E-3</v>
      </c>
      <c r="W168" s="2"/>
      <c r="X168" s="6">
        <f t="shared" si="24"/>
        <v>-1613.3600000000006</v>
      </c>
      <c r="Y168" s="2"/>
      <c r="Z168" s="7">
        <f t="shared" si="25"/>
        <v>-1.8923627768385198E-2</v>
      </c>
    </row>
    <row r="169" spans="1:26" s="24" customFormat="1" hidden="1" outlineLevel="2" x14ac:dyDescent="0.25">
      <c r="A169" s="25"/>
      <c r="B169" s="11" t="str">
        <f>CONCATENATE("          ", "6112", " - ", "COMPENSATION INSURANCE")</f>
        <v xml:space="preserve">          6112 - COMPENSATION INSURANCE</v>
      </c>
      <c r="C169" s="11"/>
      <c r="D169" s="6">
        <v>4176.58</v>
      </c>
      <c r="E169" s="2"/>
      <c r="F169" s="7">
        <f t="shared" si="18"/>
        <v>1.7737799882734432E-3</v>
      </c>
      <c r="G169" s="2"/>
      <c r="H169" s="6">
        <v>2576.94</v>
      </c>
      <c r="I169" s="2"/>
      <c r="J169" s="7">
        <f t="shared" si="19"/>
        <v>9.2812322167477282E-4</v>
      </c>
      <c r="K169" s="2"/>
      <c r="L169" s="6">
        <f t="shared" si="20"/>
        <v>1599.6399999999999</v>
      </c>
      <c r="M169" s="2"/>
      <c r="N169" s="7">
        <f t="shared" si="21"/>
        <v>0.62075174431690294</v>
      </c>
      <c r="O169" s="11"/>
      <c r="P169" s="6">
        <v>23012.16</v>
      </c>
      <c r="Q169" s="2"/>
      <c r="R169" s="7">
        <f t="shared" si="22"/>
        <v>2.4232003030853688E-3</v>
      </c>
      <c r="S169" s="2"/>
      <c r="T169" s="6">
        <v>17885.150000000001</v>
      </c>
      <c r="U169" s="2"/>
      <c r="V169" s="7">
        <f t="shared" si="23"/>
        <v>1.7459855813239085E-3</v>
      </c>
      <c r="W169" s="2"/>
      <c r="X169" s="6">
        <f t="shared" si="24"/>
        <v>5127.0099999999984</v>
      </c>
      <c r="Y169" s="2"/>
      <c r="Z169" s="7">
        <f t="shared" si="25"/>
        <v>0.28666295781695977</v>
      </c>
    </row>
    <row r="170" spans="1:26" s="24" customFormat="1" hidden="1" outlineLevel="2" x14ac:dyDescent="0.25">
      <c r="A170" s="25"/>
      <c r="B170" s="11" t="str">
        <f>CONCATENATE("          ", "6113", " - ", "GROUP INSURANCE")</f>
        <v xml:space="preserve">          6113 - GROUP INSURANCE</v>
      </c>
      <c r="C170" s="11"/>
      <c r="D170" s="6">
        <v>22055.759999999998</v>
      </c>
      <c r="E170" s="2"/>
      <c r="F170" s="7">
        <f t="shared" si="18"/>
        <v>9.3670097817261672E-3</v>
      </c>
      <c r="G170" s="2"/>
      <c r="H170" s="6">
        <v>26087.14</v>
      </c>
      <c r="I170" s="2"/>
      <c r="J170" s="7">
        <f t="shared" si="19"/>
        <v>9.3956709978039194E-3</v>
      </c>
      <c r="K170" s="2"/>
      <c r="L170" s="6">
        <f t="shared" si="20"/>
        <v>-4031.380000000001</v>
      </c>
      <c r="M170" s="2"/>
      <c r="N170" s="7">
        <f t="shared" si="21"/>
        <v>-0.15453514643613678</v>
      </c>
      <c r="O170" s="11"/>
      <c r="P170" s="6">
        <v>169811.12000000002</v>
      </c>
      <c r="Q170" s="2"/>
      <c r="R170" s="7">
        <f t="shared" si="22"/>
        <v>1.7881257450463841E-2</v>
      </c>
      <c r="S170" s="2"/>
      <c r="T170" s="6">
        <v>177359.83</v>
      </c>
      <c r="U170" s="2"/>
      <c r="V170" s="7">
        <f t="shared" si="23"/>
        <v>1.7314235882061907E-2</v>
      </c>
      <c r="W170" s="2"/>
      <c r="X170" s="6">
        <f t="shared" si="24"/>
        <v>-7548.7099999999627</v>
      </c>
      <c r="Y170" s="2"/>
      <c r="Z170" s="7">
        <f t="shared" si="25"/>
        <v>-4.2561554101624724E-2</v>
      </c>
    </row>
    <row r="171" spans="1:26" s="24" customFormat="1" hidden="1" outlineLevel="2" x14ac:dyDescent="0.25">
      <c r="A171" s="25"/>
      <c r="B171" s="11" t="str">
        <f>CONCATENATE("          ", "6114", " - ", "STATE UNEMPLOYMENT INSURANCE")</f>
        <v xml:space="preserve">          6114 - STATE UNEMPLOYMENT INSURANCE</v>
      </c>
      <c r="C171" s="11"/>
      <c r="D171" s="6">
        <v>647.87</v>
      </c>
      <c r="E171" s="2"/>
      <c r="F171" s="7">
        <f t="shared" si="18"/>
        <v>2.7514828903138825E-4</v>
      </c>
      <c r="G171" s="2"/>
      <c r="H171" s="6">
        <v>657.34</v>
      </c>
      <c r="I171" s="2"/>
      <c r="J171" s="7">
        <f t="shared" si="19"/>
        <v>2.3675076584464333E-4</v>
      </c>
      <c r="K171" s="2"/>
      <c r="L171" s="6">
        <f t="shared" si="20"/>
        <v>-9.4700000000000273</v>
      </c>
      <c r="M171" s="2"/>
      <c r="N171" s="7">
        <f t="shared" si="21"/>
        <v>-1.4406547600937151E-2</v>
      </c>
      <c r="O171" s="11"/>
      <c r="P171" s="6">
        <v>4475.29</v>
      </c>
      <c r="Q171" s="2"/>
      <c r="R171" s="7">
        <f t="shared" si="22"/>
        <v>4.7125189831788585E-4</v>
      </c>
      <c r="S171" s="2"/>
      <c r="T171" s="6">
        <v>4583.62</v>
      </c>
      <c r="U171" s="2"/>
      <c r="V171" s="7">
        <f t="shared" si="23"/>
        <v>4.474625278662965E-4</v>
      </c>
      <c r="W171" s="2"/>
      <c r="X171" s="6">
        <f t="shared" si="24"/>
        <v>-108.32999999999993</v>
      </c>
      <c r="Y171" s="2"/>
      <c r="Z171" s="7">
        <f t="shared" si="25"/>
        <v>-2.3634158154471778E-2</v>
      </c>
    </row>
    <row r="172" spans="1:26" s="24" customFormat="1" hidden="1" outlineLevel="2" x14ac:dyDescent="0.25">
      <c r="A172" s="25"/>
      <c r="B172" s="11" t="str">
        <f>CONCATENATE("          ", "6115", " - ", "P.E.R.S.")</f>
        <v xml:space="preserve">          6115 - P.E.R.S.</v>
      </c>
      <c r="C172" s="11"/>
      <c r="D172" s="6">
        <v>10804.34</v>
      </c>
      <c r="E172" s="2"/>
      <c r="F172" s="7">
        <f t="shared" si="18"/>
        <v>4.5885681774328023E-3</v>
      </c>
      <c r="G172" s="2"/>
      <c r="H172" s="6">
        <v>10417.81</v>
      </c>
      <c r="I172" s="2"/>
      <c r="J172" s="7">
        <f t="shared" si="19"/>
        <v>3.7521290290017093E-3</v>
      </c>
      <c r="K172" s="2"/>
      <c r="L172" s="6">
        <f t="shared" si="20"/>
        <v>386.53000000000065</v>
      </c>
      <c r="M172" s="2"/>
      <c r="N172" s="7">
        <f t="shared" si="21"/>
        <v>3.7102807595838345E-2</v>
      </c>
      <c r="O172" s="11"/>
      <c r="P172" s="6">
        <v>62223.049999999996</v>
      </c>
      <c r="Q172" s="2"/>
      <c r="R172" s="7">
        <f t="shared" si="22"/>
        <v>6.5521408515713453E-3</v>
      </c>
      <c r="S172" s="2"/>
      <c r="T172" s="6">
        <v>60913.810000000005</v>
      </c>
      <c r="U172" s="2"/>
      <c r="V172" s="7">
        <f t="shared" si="23"/>
        <v>5.9465329596622958E-3</v>
      </c>
      <c r="W172" s="2"/>
      <c r="X172" s="6">
        <f t="shared" si="24"/>
        <v>1309.2399999999907</v>
      </c>
      <c r="Y172" s="2"/>
      <c r="Z172" s="7">
        <f t="shared" si="25"/>
        <v>2.1493319823534116E-2</v>
      </c>
    </row>
    <row r="173" spans="1:26" s="24" customFormat="1" hidden="1" outlineLevel="2" x14ac:dyDescent="0.25">
      <c r="A173" s="25"/>
      <c r="B173" s="11" t="str">
        <f>CONCATENATE("          ", "6117", " - ", "RETIREMENT STAFF HOURLY")</f>
        <v xml:space="preserve">          6117 - RETIREMENT STAFF HOURLY</v>
      </c>
      <c r="C173" s="11"/>
      <c r="D173" s="6">
        <v>213.49</v>
      </c>
      <c r="E173" s="2"/>
      <c r="F173" s="7">
        <f t="shared" si="18"/>
        <v>9.0668511005774431E-5</v>
      </c>
      <c r="G173" s="2"/>
      <c r="H173" s="6">
        <v>279.47000000000003</v>
      </c>
      <c r="I173" s="2"/>
      <c r="J173" s="7">
        <f t="shared" si="19"/>
        <v>1.0065527205190993E-4</v>
      </c>
      <c r="K173" s="2"/>
      <c r="L173" s="6">
        <f t="shared" si="20"/>
        <v>-65.980000000000018</v>
      </c>
      <c r="M173" s="2"/>
      <c r="N173" s="7">
        <f t="shared" si="21"/>
        <v>-0.23608974129602467</v>
      </c>
      <c r="O173" s="11"/>
      <c r="P173" s="6">
        <v>952.23</v>
      </c>
      <c r="Q173" s="2"/>
      <c r="R173" s="7">
        <f t="shared" si="22"/>
        <v>1.0027064059206006E-4</v>
      </c>
      <c r="S173" s="2"/>
      <c r="T173" s="6">
        <v>2022.1</v>
      </c>
      <c r="U173" s="2"/>
      <c r="V173" s="7">
        <f t="shared" si="23"/>
        <v>1.9740161217518862E-4</v>
      </c>
      <c r="W173" s="2"/>
      <c r="X173" s="6">
        <f t="shared" si="24"/>
        <v>-1069.8699999999999</v>
      </c>
      <c r="Y173" s="2"/>
      <c r="Z173" s="7">
        <f t="shared" si="25"/>
        <v>-0.5290885712872756</v>
      </c>
    </row>
    <row r="174" spans="1:26" s="24" customFormat="1" hidden="1" outlineLevel="2" x14ac:dyDescent="0.25">
      <c r="A174" s="25"/>
      <c r="B174" s="11" t="str">
        <f>CONCATENATE("          ", "6118", " - ", "VACATION")</f>
        <v xml:space="preserve">          6118 - VACATION</v>
      </c>
      <c r="C174" s="11"/>
      <c r="D174" s="6">
        <v>5268.48</v>
      </c>
      <c r="E174" s="2"/>
      <c r="F174" s="7">
        <f t="shared" si="18"/>
        <v>2.2375063790514892E-3</v>
      </c>
      <c r="G174" s="2"/>
      <c r="H174" s="6">
        <v>8286.57</v>
      </c>
      <c r="I174" s="2"/>
      <c r="J174" s="7">
        <f t="shared" si="19"/>
        <v>2.984531283240402E-3</v>
      </c>
      <c r="K174" s="2"/>
      <c r="L174" s="6">
        <f t="shared" si="20"/>
        <v>-3018.09</v>
      </c>
      <c r="M174" s="2"/>
      <c r="N174" s="7">
        <f t="shared" si="21"/>
        <v>-0.36421462679974953</v>
      </c>
      <c r="O174" s="11"/>
      <c r="P174" s="6">
        <v>46707.360000000001</v>
      </c>
      <c r="Q174" s="2"/>
      <c r="R174" s="7">
        <f t="shared" si="22"/>
        <v>4.9183253075033998E-3</v>
      </c>
      <c r="S174" s="2"/>
      <c r="T174" s="6">
        <v>53366.67</v>
      </c>
      <c r="U174" s="2"/>
      <c r="V174" s="7">
        <f t="shared" si="23"/>
        <v>5.2097654391084882E-3</v>
      </c>
      <c r="W174" s="2"/>
      <c r="X174" s="6">
        <f t="shared" si="24"/>
        <v>-6659.3099999999977</v>
      </c>
      <c r="Y174" s="2"/>
      <c r="Z174" s="7">
        <f t="shared" si="25"/>
        <v>-0.12478406466058306</v>
      </c>
    </row>
    <row r="175" spans="1:26" s="24" customFormat="1" hidden="1" outlineLevel="2" x14ac:dyDescent="0.25">
      <c r="A175" s="25"/>
      <c r="B175" s="11" t="str">
        <f>CONCATENATE("          ", "6119", " - ", "SICK LEAVE")</f>
        <v xml:space="preserve">          6119 - SICK LEAVE</v>
      </c>
      <c r="C175" s="11"/>
      <c r="D175" s="6">
        <v>4016.85</v>
      </c>
      <c r="E175" s="2"/>
      <c r="F175" s="7">
        <f t="shared" si="18"/>
        <v>1.705943175013092E-3</v>
      </c>
      <c r="G175" s="2"/>
      <c r="H175" s="6">
        <v>8425.6</v>
      </c>
      <c r="I175" s="2"/>
      <c r="J175" s="7">
        <f t="shared" si="19"/>
        <v>3.0346050030435191E-3</v>
      </c>
      <c r="K175" s="2"/>
      <c r="L175" s="6">
        <f t="shared" si="20"/>
        <v>-4408.75</v>
      </c>
      <c r="M175" s="2"/>
      <c r="N175" s="7">
        <f t="shared" si="21"/>
        <v>-0.52325650398784651</v>
      </c>
      <c r="O175" s="11"/>
      <c r="P175" s="6">
        <v>35556.18</v>
      </c>
      <c r="Q175" s="2"/>
      <c r="R175" s="7">
        <f t="shared" si="22"/>
        <v>3.7440964321714229E-3</v>
      </c>
      <c r="S175" s="2"/>
      <c r="T175" s="6">
        <v>43035.57</v>
      </c>
      <c r="U175" s="2"/>
      <c r="V175" s="7">
        <f t="shared" si="23"/>
        <v>4.2012219469255638E-3</v>
      </c>
      <c r="W175" s="2"/>
      <c r="X175" s="6">
        <f t="shared" si="24"/>
        <v>-7479.3899999999994</v>
      </c>
      <c r="Y175" s="2"/>
      <c r="Z175" s="7">
        <f t="shared" si="25"/>
        <v>-0.17379553704063869</v>
      </c>
    </row>
    <row r="176" spans="1:26" s="24" customFormat="1" hidden="1" outlineLevel="2" x14ac:dyDescent="0.25">
      <c r="A176" s="25"/>
      <c r="B176" s="11" t="str">
        <f>CONCATENATE("          ", "6156", " - ", "EMPLOYEE MEALS")</f>
        <v xml:space="preserve">          6156 - EMPLOYEE MEALS</v>
      </c>
      <c r="C176" s="11"/>
      <c r="D176" s="6">
        <v>3299.83</v>
      </c>
      <c r="E176" s="2"/>
      <c r="F176" s="7">
        <f t="shared" si="18"/>
        <v>1.4014271051205427E-3</v>
      </c>
      <c r="G176" s="2"/>
      <c r="H176" s="6">
        <v>2819.97</v>
      </c>
      <c r="I176" s="2"/>
      <c r="J176" s="7">
        <f t="shared" si="19"/>
        <v>1.0156540864072151E-3</v>
      </c>
      <c r="K176" s="2"/>
      <c r="L176" s="6">
        <f t="shared" si="20"/>
        <v>479.86000000000013</v>
      </c>
      <c r="M176" s="2"/>
      <c r="N176" s="7">
        <f t="shared" si="21"/>
        <v>0.17016493083259757</v>
      </c>
      <c r="O176" s="11"/>
      <c r="P176" s="6">
        <v>18608.59</v>
      </c>
      <c r="Q176" s="2"/>
      <c r="R176" s="7">
        <f t="shared" si="22"/>
        <v>1.9595005826481028E-3</v>
      </c>
      <c r="S176" s="2"/>
      <c r="T176" s="6">
        <v>18225.439999999999</v>
      </c>
      <c r="U176" s="2"/>
      <c r="V176" s="7">
        <f t="shared" si="23"/>
        <v>1.7792053996351167E-3</v>
      </c>
      <c r="W176" s="2"/>
      <c r="X176" s="6">
        <f t="shared" si="24"/>
        <v>383.15000000000146</v>
      </c>
      <c r="Y176" s="2"/>
      <c r="Z176" s="7">
        <f t="shared" si="25"/>
        <v>2.1022812069283456E-2</v>
      </c>
    </row>
    <row r="177" spans="1:26" s="26" customFormat="1" outlineLevel="1" collapsed="1" x14ac:dyDescent="0.25">
      <c r="A177" s="27"/>
      <c r="B177" s="13" t="str">
        <f>CONCATENATE("     ","*Payroll                                          ")</f>
        <v xml:space="preserve">     *Payroll                                          </v>
      </c>
      <c r="C177" s="13"/>
      <c r="D177" s="1">
        <f>SUM(OSRRefD22_1x_0)</f>
        <v>317239.62</v>
      </c>
      <c r="E177" s="1"/>
      <c r="F177" s="5">
        <f t="shared" ref="F177:F184" si="26">IF(D$12=0,0,D177/D$12)</f>
        <v>0.13473063833171436</v>
      </c>
      <c r="G177" s="1"/>
      <c r="H177" s="1">
        <f>SUM(OSRRefH22_1x_0)</f>
        <v>316516.38</v>
      </c>
      <c r="I177" s="1"/>
      <c r="J177" s="5">
        <f t="shared" ref="J177:J184" si="27">IF(H$12=0,0,H177/H$12)</f>
        <v>0.11399807613620676</v>
      </c>
      <c r="K177" s="1"/>
      <c r="L177" s="1">
        <f t="shared" ref="L177:L184" si="28">+D177-H177</f>
        <v>723.23999999999069</v>
      </c>
      <c r="M177" s="1"/>
      <c r="N177" s="5">
        <f t="shared" ref="N177:N184" si="29">IF(H177=0,0,L177/H177)</f>
        <v>2.2850002265285313E-3</v>
      </c>
      <c r="O177" s="13"/>
      <c r="P177" s="1">
        <f>SUM(OSRRefP22_1x_0)</f>
        <v>1669048.91</v>
      </c>
      <c r="Q177" s="1"/>
      <c r="R177" s="5">
        <f t="shared" ref="R177:R184" si="30">IF(P$12=0,0,P177/P$12)</f>
        <v>0.17575229029244993</v>
      </c>
      <c r="S177" s="1"/>
      <c r="T177" s="1">
        <f>SUM(OSRRefT22_1x_0)</f>
        <v>1616368.28</v>
      </c>
      <c r="U177" s="1"/>
      <c r="V177" s="5">
        <f t="shared" ref="V177:V184" si="31">IF(T$12=0,0,T177/T$12)</f>
        <v>0.15779323690264413</v>
      </c>
      <c r="W177" s="1"/>
      <c r="X177" s="1">
        <f t="shared" ref="X177:X184" si="32">+P177-T177</f>
        <v>52680.629999999888</v>
      </c>
      <c r="Y177" s="1"/>
      <c r="Z177" s="5">
        <f t="shared" ref="Z177:Z184" si="33">IF(T177=0,0,X177/T177)</f>
        <v>3.2591972171094503E-2</v>
      </c>
    </row>
    <row r="178" spans="1:26" s="24" customFormat="1" hidden="1" outlineLevel="2" x14ac:dyDescent="0.25">
      <c r="A178" s="25"/>
      <c r="B178" s="11" t="str">
        <f>CONCATENATE("          ", "6001", " - ", "ADMINISTRATIVE SALARIES")</f>
        <v xml:space="preserve">          6001 - ADMINISTRATIVE SALARIES</v>
      </c>
      <c r="C178" s="11"/>
      <c r="D178" s="6">
        <v>12324.43</v>
      </c>
      <c r="E178" s="2"/>
      <c r="F178" s="7">
        <f t="shared" si="26"/>
        <v>5.2341454733003728E-3</v>
      </c>
      <c r="G178" s="2"/>
      <c r="H178" s="6">
        <v>10925</v>
      </c>
      <c r="I178" s="2"/>
      <c r="J178" s="7">
        <f t="shared" si="27"/>
        <v>3.9348010418546386E-3</v>
      </c>
      <c r="K178" s="2"/>
      <c r="L178" s="6">
        <f t="shared" si="28"/>
        <v>1399.4300000000003</v>
      </c>
      <c r="M178" s="2"/>
      <c r="N178" s="7">
        <f t="shared" si="29"/>
        <v>0.12809427917620139</v>
      </c>
      <c r="O178" s="11"/>
      <c r="P178" s="6">
        <v>79306.540000000008</v>
      </c>
      <c r="Q178" s="2"/>
      <c r="R178" s="7">
        <f t="shared" si="30"/>
        <v>8.3510470883503309E-3</v>
      </c>
      <c r="S178" s="2"/>
      <c r="T178" s="6">
        <v>78037.25</v>
      </c>
      <c r="U178" s="2"/>
      <c r="V178" s="7">
        <f t="shared" si="31"/>
        <v>7.6181588248445866E-3</v>
      </c>
      <c r="W178" s="2"/>
      <c r="X178" s="6">
        <f t="shared" si="32"/>
        <v>1269.2900000000081</v>
      </c>
      <c r="Y178" s="2"/>
      <c r="Z178" s="7">
        <f t="shared" si="33"/>
        <v>1.6265181051356988E-2</v>
      </c>
    </row>
    <row r="179" spans="1:26" s="24" customFormat="1" hidden="1" outlineLevel="2" x14ac:dyDescent="0.25">
      <c r="A179" s="25"/>
      <c r="B179" s="11" t="str">
        <f>CONCATENATE("          ", "6002", " - ", "STAFF SALARIES")</f>
        <v xml:space="preserve">          6002 - STAFF SALARIES</v>
      </c>
      <c r="C179" s="11"/>
      <c r="D179" s="6">
        <v>83155.53</v>
      </c>
      <c r="E179" s="2"/>
      <c r="F179" s="7">
        <f t="shared" si="26"/>
        <v>3.5315884055440561E-2</v>
      </c>
      <c r="G179" s="2"/>
      <c r="H179" s="6">
        <v>89564.24</v>
      </c>
      <c r="I179" s="2"/>
      <c r="J179" s="7">
        <f t="shared" si="27"/>
        <v>3.225789152081638E-2</v>
      </c>
      <c r="K179" s="2"/>
      <c r="L179" s="6">
        <f t="shared" si="28"/>
        <v>-6408.7100000000064</v>
      </c>
      <c r="M179" s="2"/>
      <c r="N179" s="7">
        <f t="shared" si="29"/>
        <v>-7.1554339097836442E-2</v>
      </c>
      <c r="O179" s="11"/>
      <c r="P179" s="6">
        <v>531284.98</v>
      </c>
      <c r="Q179" s="2"/>
      <c r="R179" s="7">
        <f t="shared" si="30"/>
        <v>5.5944766791153205E-2</v>
      </c>
      <c r="S179" s="2"/>
      <c r="T179" s="6">
        <v>516104.96000000002</v>
      </c>
      <c r="U179" s="2"/>
      <c r="V179" s="7">
        <f t="shared" si="31"/>
        <v>5.0383240767326663E-2</v>
      </c>
      <c r="W179" s="2"/>
      <c r="X179" s="6">
        <f t="shared" si="32"/>
        <v>15180.01999999996</v>
      </c>
      <c r="Y179" s="2"/>
      <c r="Z179" s="7">
        <f t="shared" si="33"/>
        <v>2.9412660556488276E-2</v>
      </c>
    </row>
    <row r="180" spans="1:26" s="24" customFormat="1" hidden="1" outlineLevel="2" x14ac:dyDescent="0.25">
      <c r="A180" s="25"/>
      <c r="B180" s="11" t="str">
        <f>CONCATENATE("          ", "6004", " - ", "STAFF HOURLY")</f>
        <v xml:space="preserve">          6004 - STAFF HOURLY</v>
      </c>
      <c r="C180" s="11"/>
      <c r="D180" s="6">
        <v>4901.03</v>
      </c>
      <c r="E180" s="2"/>
      <c r="F180" s="7">
        <f t="shared" si="26"/>
        <v>2.0814515550828172E-3</v>
      </c>
      <c r="G180" s="2"/>
      <c r="H180" s="6">
        <v>6782.19</v>
      </c>
      <c r="I180" s="2"/>
      <c r="J180" s="7">
        <f t="shared" si="27"/>
        <v>2.4427064785406054E-3</v>
      </c>
      <c r="K180" s="2"/>
      <c r="L180" s="6">
        <f t="shared" si="28"/>
        <v>-1881.1599999999999</v>
      </c>
      <c r="M180" s="2"/>
      <c r="N180" s="7">
        <f t="shared" si="29"/>
        <v>-0.27736763493797728</v>
      </c>
      <c r="O180" s="11"/>
      <c r="P180" s="6">
        <v>21099.91</v>
      </c>
      <c r="Q180" s="2"/>
      <c r="R180" s="7">
        <f t="shared" si="30"/>
        <v>2.221838728179971E-3</v>
      </c>
      <c r="S180" s="2"/>
      <c r="T180" s="6">
        <v>42650.990000000005</v>
      </c>
      <c r="U180" s="2"/>
      <c r="V180" s="7">
        <f t="shared" si="31"/>
        <v>4.1636784465990057E-3</v>
      </c>
      <c r="W180" s="2"/>
      <c r="X180" s="6">
        <f t="shared" si="32"/>
        <v>-21551.080000000005</v>
      </c>
      <c r="Y180" s="2"/>
      <c r="Z180" s="7">
        <f t="shared" si="33"/>
        <v>-0.50528909176551362</v>
      </c>
    </row>
    <row r="181" spans="1:26" s="24" customFormat="1" hidden="1" outlineLevel="2" x14ac:dyDescent="0.25">
      <c r="A181" s="25"/>
      <c r="B181" s="11" t="str">
        <f>CONCATENATE("          ", "6005", " - ", "TEMPORARY WAGES-HOURLY")</f>
        <v xml:space="preserve">          6005 - TEMPORARY WAGES-HOURLY</v>
      </c>
      <c r="C181" s="11"/>
      <c r="D181" s="6">
        <v>26795.57</v>
      </c>
      <c r="E181" s="2"/>
      <c r="F181" s="7">
        <f t="shared" si="26"/>
        <v>1.1379991725378234E-2</v>
      </c>
      <c r="G181" s="2"/>
      <c r="H181" s="6">
        <v>28178.560000000001</v>
      </c>
      <c r="I181" s="2"/>
      <c r="J181" s="7">
        <f t="shared" si="27"/>
        <v>1.0148926979035557E-2</v>
      </c>
      <c r="K181" s="2"/>
      <c r="L181" s="6">
        <f t="shared" si="28"/>
        <v>-1382.9900000000016</v>
      </c>
      <c r="M181" s="2"/>
      <c r="N181" s="7">
        <f t="shared" si="29"/>
        <v>-4.907951293465676E-2</v>
      </c>
      <c r="O181" s="11"/>
      <c r="P181" s="6">
        <v>174453.56999999998</v>
      </c>
      <c r="Q181" s="2"/>
      <c r="R181" s="7">
        <f t="shared" si="30"/>
        <v>1.837011144100878E-2</v>
      </c>
      <c r="S181" s="2"/>
      <c r="T181" s="6">
        <v>175970</v>
      </c>
      <c r="U181" s="2"/>
      <c r="V181" s="7">
        <f t="shared" si="31"/>
        <v>1.7178557783723822E-2</v>
      </c>
      <c r="W181" s="2"/>
      <c r="X181" s="6">
        <f t="shared" si="32"/>
        <v>-1516.4300000000221</v>
      </c>
      <c r="Y181" s="2"/>
      <c r="Z181" s="7">
        <f t="shared" si="33"/>
        <v>-8.6175484457579245E-3</v>
      </c>
    </row>
    <row r="182" spans="1:26" s="24" customFormat="1" hidden="1" outlineLevel="2" x14ac:dyDescent="0.25">
      <c r="A182" s="25"/>
      <c r="B182" s="11" t="str">
        <f>CONCATENATE("          ", "6006", " - ", "TEMPORARY PART TIME")</f>
        <v xml:space="preserve">          6006 - TEMPORARY PART TIME</v>
      </c>
      <c r="C182" s="11"/>
      <c r="D182" s="6">
        <v>1614.68</v>
      </c>
      <c r="E182" s="2"/>
      <c r="F182" s="7">
        <f t="shared" si="26"/>
        <v>6.857493622689769E-4</v>
      </c>
      <c r="G182" s="2"/>
      <c r="H182" s="6">
        <v>4524.0600000000004</v>
      </c>
      <c r="I182" s="2"/>
      <c r="J182" s="7">
        <f t="shared" si="27"/>
        <v>1.6294074143169701E-3</v>
      </c>
      <c r="K182" s="2"/>
      <c r="L182" s="6">
        <f t="shared" si="28"/>
        <v>-2909.38</v>
      </c>
      <c r="M182" s="2"/>
      <c r="N182" s="7">
        <f t="shared" si="29"/>
        <v>-0.64309049835766985</v>
      </c>
      <c r="O182" s="11"/>
      <c r="P182" s="6">
        <v>32155.859999999997</v>
      </c>
      <c r="Q182" s="2"/>
      <c r="R182" s="7">
        <f t="shared" si="30"/>
        <v>3.3860398023467021E-3</v>
      </c>
      <c r="S182" s="2"/>
      <c r="T182" s="6">
        <v>65924.850000000006</v>
      </c>
      <c r="U182" s="2"/>
      <c r="V182" s="7">
        <f t="shared" si="31"/>
        <v>6.4357211178514839E-3</v>
      </c>
      <c r="W182" s="2"/>
      <c r="X182" s="6">
        <f t="shared" si="32"/>
        <v>-33768.990000000005</v>
      </c>
      <c r="Y182" s="2"/>
      <c r="Z182" s="7">
        <f t="shared" si="33"/>
        <v>-0.5122346125929752</v>
      </c>
    </row>
    <row r="183" spans="1:26" s="24" customFormat="1" hidden="1" outlineLevel="2" x14ac:dyDescent="0.25">
      <c r="A183" s="25"/>
      <c r="B183" s="11" t="str">
        <f>CONCATENATE("          ", "6007", " - ", "STUDENT HOURLY")</f>
        <v xml:space="preserve">          6007 - STUDENT HOURLY</v>
      </c>
      <c r="C183" s="11"/>
      <c r="D183" s="6">
        <v>183736.24000000002</v>
      </c>
      <c r="E183" s="2"/>
      <c r="F183" s="7">
        <f t="shared" si="26"/>
        <v>7.8032185575903384E-2</v>
      </c>
      <c r="G183" s="2"/>
      <c r="H183" s="6">
        <v>170415.82</v>
      </c>
      <c r="I183" s="2"/>
      <c r="J183" s="7">
        <f t="shared" si="27"/>
        <v>6.1377789115287198E-2</v>
      </c>
      <c r="K183" s="2"/>
      <c r="L183" s="6">
        <f t="shared" si="28"/>
        <v>13320.420000000013</v>
      </c>
      <c r="M183" s="2"/>
      <c r="N183" s="7">
        <f t="shared" si="29"/>
        <v>7.8164222077504383E-2</v>
      </c>
      <c r="O183" s="11"/>
      <c r="P183" s="6">
        <v>810761.87</v>
      </c>
      <c r="Q183" s="2"/>
      <c r="R183" s="7">
        <f t="shared" si="30"/>
        <v>8.5373924443166591E-2</v>
      </c>
      <c r="S183" s="2"/>
      <c r="T183" s="6">
        <v>706420.39</v>
      </c>
      <c r="U183" s="2"/>
      <c r="V183" s="7">
        <f t="shared" si="31"/>
        <v>6.8962229295992036E-2</v>
      </c>
      <c r="W183" s="2"/>
      <c r="X183" s="6">
        <f t="shared" si="32"/>
        <v>104341.47999999998</v>
      </c>
      <c r="Y183" s="2"/>
      <c r="Z183" s="7">
        <f t="shared" si="33"/>
        <v>0.14770451345550767</v>
      </c>
    </row>
    <row r="184" spans="1:26" s="24" customFormat="1" hidden="1" outlineLevel="2" x14ac:dyDescent="0.25">
      <c r="A184" s="25"/>
      <c r="B184" s="11" t="str">
        <f>CONCATENATE("          ", "6008", " - ", "STUDENT HOURLY-FICA EXEMPT")</f>
        <v xml:space="preserve">          6008 - STUDENT HOURLY-FICA EXEMPT</v>
      </c>
      <c r="C184" s="11"/>
      <c r="D184" s="6">
        <v>4712.1400000000003</v>
      </c>
      <c r="E184" s="2"/>
      <c r="F184" s="7">
        <f t="shared" si="26"/>
        <v>2.0012305843400157E-3</v>
      </c>
      <c r="G184" s="2"/>
      <c r="H184" s="6">
        <v>6126.51</v>
      </c>
      <c r="I184" s="2"/>
      <c r="J184" s="7">
        <f t="shared" si="27"/>
        <v>2.2065535863554108E-3</v>
      </c>
      <c r="K184" s="2"/>
      <c r="L184" s="6">
        <f t="shared" si="28"/>
        <v>-1414.37</v>
      </c>
      <c r="M184" s="2"/>
      <c r="N184" s="7">
        <f t="shared" si="29"/>
        <v>-0.23086063680627303</v>
      </c>
      <c r="O184" s="11"/>
      <c r="P184" s="6">
        <v>19986.18</v>
      </c>
      <c r="Q184" s="2"/>
      <c r="R184" s="7">
        <f t="shared" si="30"/>
        <v>2.1045619982443518E-3</v>
      </c>
      <c r="S184" s="2"/>
      <c r="T184" s="6">
        <v>31259.84</v>
      </c>
      <c r="U184" s="2"/>
      <c r="V184" s="7">
        <f t="shared" si="31"/>
        <v>3.0516506663065372E-3</v>
      </c>
      <c r="W184" s="2"/>
      <c r="X184" s="6">
        <f t="shared" si="32"/>
        <v>-11273.66</v>
      </c>
      <c r="Y184" s="2"/>
      <c r="Z184" s="7">
        <f t="shared" si="33"/>
        <v>-0.36064356055565222</v>
      </c>
    </row>
    <row r="185" spans="1:26" s="26" customFormat="1" outlineLevel="1" collapsed="1" x14ac:dyDescent="0.25">
      <c r="A185" s="27"/>
      <c r="B185" s="13" t="str">
        <f>CONCATENATE("     ","Advertising/Promo                                 ")</f>
        <v xml:space="preserve">     Advertising/Promo                                 </v>
      </c>
      <c r="C185" s="13"/>
      <c r="D185" s="1">
        <f>SUM(OSRRefD22_2x_0)</f>
        <v>3634.07</v>
      </c>
      <c r="E185" s="1"/>
      <c r="F185" s="5">
        <f t="shared" ref="F185:F189" si="34">IF(D$12=0,0,D185/D$12)</f>
        <v>1.5433777497342017E-3</v>
      </c>
      <c r="G185" s="1"/>
      <c r="H185" s="1">
        <f>SUM(OSRRefH22_2x_0)</f>
        <v>9180.7999999999993</v>
      </c>
      <c r="I185" s="1"/>
      <c r="J185" s="5">
        <f t="shared" ref="J185:J189" si="35">IF(H$12=0,0,H185/H$12)</f>
        <v>3.3066015016072372E-3</v>
      </c>
      <c r="K185" s="1"/>
      <c r="L185" s="1">
        <f t="shared" ref="L185:L189" si="36">+D185-H185</f>
        <v>-5546.73</v>
      </c>
      <c r="M185" s="1"/>
      <c r="N185" s="5">
        <f t="shared" ref="N185:N189" si="37">IF(H185=0,0,L185/H185)</f>
        <v>-0.60416630359010104</v>
      </c>
      <c r="O185" s="13"/>
      <c r="P185" s="1">
        <f>SUM(OSRRefP22_2x_0)</f>
        <v>43369.009999999995</v>
      </c>
      <c r="Q185" s="1"/>
      <c r="R185" s="5">
        <f t="shared" ref="R185:R189" si="38">IF(P$12=0,0,P185/P$12)</f>
        <v>4.5667941721469164E-3</v>
      </c>
      <c r="S185" s="1"/>
      <c r="T185" s="1">
        <f>SUM(OSRRefT22_2x_0)</f>
        <v>53077.89</v>
      </c>
      <c r="U185" s="1"/>
      <c r="V185" s="5">
        <f t="shared" ref="V185:V189" si="39">IF(T$12=0,0,T185/T$12)</f>
        <v>5.1815741342452516E-3</v>
      </c>
      <c r="W185" s="1"/>
      <c r="X185" s="1">
        <f t="shared" ref="X185:X189" si="40">+P185-T185</f>
        <v>-9708.8800000000047</v>
      </c>
      <c r="Y185" s="1"/>
      <c r="Z185" s="5">
        <f t="shared" ref="Z185:Z189" si="41">IF(T185=0,0,X185/T185)</f>
        <v>-0.18291759525482276</v>
      </c>
    </row>
    <row r="186" spans="1:26" s="24" customFormat="1" hidden="1" outlineLevel="2" x14ac:dyDescent="0.25">
      <c r="A186" s="25"/>
      <c r="B186" s="11" t="str">
        <f>CONCATENATE("          ", "6362", " - ", "ADVERTISING EXPENSE")</f>
        <v xml:space="preserve">          6362 - ADVERTISING EXPENSE</v>
      </c>
      <c r="C186" s="11"/>
      <c r="D186" s="6">
        <v>3634.07</v>
      </c>
      <c r="E186" s="2"/>
      <c r="F186" s="7">
        <f t="shared" si="34"/>
        <v>1.5433777497342017E-3</v>
      </c>
      <c r="G186" s="2"/>
      <c r="H186" s="6">
        <v>9180.7999999999993</v>
      </c>
      <c r="I186" s="2"/>
      <c r="J186" s="7">
        <f t="shared" si="35"/>
        <v>3.3066015016072372E-3</v>
      </c>
      <c r="K186" s="2"/>
      <c r="L186" s="6">
        <f t="shared" si="36"/>
        <v>-5546.73</v>
      </c>
      <c r="M186" s="2"/>
      <c r="N186" s="7">
        <f t="shared" si="37"/>
        <v>-0.60416630359010104</v>
      </c>
      <c r="O186" s="11"/>
      <c r="P186" s="6">
        <v>43369.009999999995</v>
      </c>
      <c r="Q186" s="2"/>
      <c r="R186" s="7">
        <f t="shared" si="38"/>
        <v>4.5667941721469164E-3</v>
      </c>
      <c r="S186" s="2"/>
      <c r="T186" s="6">
        <v>53077.89</v>
      </c>
      <c r="U186" s="2"/>
      <c r="V186" s="7">
        <f t="shared" si="39"/>
        <v>5.1815741342452516E-3</v>
      </c>
      <c r="W186" s="2"/>
      <c r="X186" s="6">
        <f t="shared" si="40"/>
        <v>-9708.8800000000047</v>
      </c>
      <c r="Y186" s="2"/>
      <c r="Z186" s="7">
        <f t="shared" si="41"/>
        <v>-0.18291759525482276</v>
      </c>
    </row>
    <row r="187" spans="1:26" s="26" customFormat="1" outlineLevel="1" collapsed="1" x14ac:dyDescent="0.25">
      <c r="A187" s="27"/>
      <c r="B187" s="13" t="str">
        <f>CONCATENATE("     ","Bad Debts/Over/Short                              ")</f>
        <v xml:space="preserve">     Bad Debts/Over/Short                              </v>
      </c>
      <c r="C187" s="13"/>
      <c r="D187" s="1">
        <f>SUM(OSRRefD22_3x_0)</f>
        <v>-130.44</v>
      </c>
      <c r="E187" s="1"/>
      <c r="F187" s="5">
        <f t="shared" si="34"/>
        <v>-5.5397445199274986E-5</v>
      </c>
      <c r="G187" s="1"/>
      <c r="H187" s="1">
        <f>SUM(OSRRefH22_3x_0)</f>
        <v>353.46</v>
      </c>
      <c r="I187" s="1"/>
      <c r="J187" s="5">
        <f t="shared" si="35"/>
        <v>1.2730386967999455E-4</v>
      </c>
      <c r="K187" s="1"/>
      <c r="L187" s="1">
        <f t="shared" si="36"/>
        <v>-483.9</v>
      </c>
      <c r="M187" s="1"/>
      <c r="N187" s="5">
        <f t="shared" si="37"/>
        <v>-1.3690375148531659</v>
      </c>
      <c r="O187" s="13"/>
      <c r="P187" s="1">
        <f>SUM(OSRRefP22_3x_0)</f>
        <v>-263.3</v>
      </c>
      <c r="Q187" s="1"/>
      <c r="R187" s="5">
        <f t="shared" si="38"/>
        <v>-2.7725717177456514E-5</v>
      </c>
      <c r="S187" s="1"/>
      <c r="T187" s="1">
        <f>SUM(OSRRefT22_3x_0)</f>
        <v>793.8</v>
      </c>
      <c r="U187" s="1"/>
      <c r="V187" s="5">
        <f t="shared" si="39"/>
        <v>7.7492408755583169E-5</v>
      </c>
      <c r="W187" s="1"/>
      <c r="X187" s="1">
        <f t="shared" si="40"/>
        <v>-1057.0999999999999</v>
      </c>
      <c r="Y187" s="1"/>
      <c r="Z187" s="5">
        <f t="shared" si="41"/>
        <v>-1.3316956412194507</v>
      </c>
    </row>
    <row r="188" spans="1:26" s="24" customFormat="1" hidden="1" outlineLevel="2" x14ac:dyDescent="0.25">
      <c r="A188" s="25"/>
      <c r="B188" s="11" t="str">
        <f>CONCATENATE("          ", "6272", " - ", "CASH (OVER/SHORT)")</f>
        <v xml:space="preserve">          6272 - CASH (OVER/SHORT)</v>
      </c>
      <c r="C188" s="11"/>
      <c r="D188" s="6">
        <v>-130.44</v>
      </c>
      <c r="E188" s="2"/>
      <c r="F188" s="7">
        <f t="shared" si="34"/>
        <v>-5.5397445199274986E-5</v>
      </c>
      <c r="G188" s="2"/>
      <c r="H188" s="6">
        <v>353.46</v>
      </c>
      <c r="I188" s="2"/>
      <c r="J188" s="7">
        <f t="shared" si="35"/>
        <v>1.2730386967999455E-4</v>
      </c>
      <c r="K188" s="2"/>
      <c r="L188" s="6">
        <f t="shared" si="36"/>
        <v>-483.9</v>
      </c>
      <c r="M188" s="2"/>
      <c r="N188" s="7">
        <f t="shared" si="37"/>
        <v>-1.3690375148531659</v>
      </c>
      <c r="O188" s="11"/>
      <c r="P188" s="6">
        <v>-308.10000000000002</v>
      </c>
      <c r="Q188" s="2"/>
      <c r="R188" s="7">
        <f t="shared" si="38"/>
        <v>-3.244319583127365E-5</v>
      </c>
      <c r="S188" s="2"/>
      <c r="T188" s="6">
        <v>793.8</v>
      </c>
      <c r="U188" s="2"/>
      <c r="V188" s="7">
        <f t="shared" si="39"/>
        <v>7.7492408755583169E-5</v>
      </c>
      <c r="W188" s="2"/>
      <c r="X188" s="6">
        <f t="shared" si="40"/>
        <v>-1101.9000000000001</v>
      </c>
      <c r="Y188" s="2"/>
      <c r="Z188" s="7">
        <f t="shared" si="41"/>
        <v>-1.388133030990174</v>
      </c>
    </row>
    <row r="189" spans="1:26" s="24" customFormat="1" hidden="1" outlineLevel="2" x14ac:dyDescent="0.25">
      <c r="A189" s="25"/>
      <c r="B189" s="11" t="str">
        <f>CONCATENATE("          ", "6342", " - ", "BAD DEBT")</f>
        <v xml:space="preserve">          6342 - BAD DEBT</v>
      </c>
      <c r="C189" s="11"/>
      <c r="D189" s="6"/>
      <c r="E189" s="2"/>
      <c r="F189" s="7">
        <f t="shared" si="34"/>
        <v>0</v>
      </c>
      <c r="G189" s="2"/>
      <c r="H189" s="6"/>
      <c r="I189" s="2"/>
      <c r="J189" s="7">
        <f t="shared" si="35"/>
        <v>0</v>
      </c>
      <c r="K189" s="2"/>
      <c r="L189" s="6">
        <f t="shared" si="36"/>
        <v>0</v>
      </c>
      <c r="M189" s="2"/>
      <c r="N189" s="7">
        <f t="shared" si="37"/>
        <v>0</v>
      </c>
      <c r="O189" s="11"/>
      <c r="P189" s="6">
        <v>44.8</v>
      </c>
      <c r="Q189" s="2"/>
      <c r="R189" s="7">
        <f t="shared" si="38"/>
        <v>4.7174786538171349E-6</v>
      </c>
      <c r="S189" s="2"/>
      <c r="T189" s="6"/>
      <c r="U189" s="2"/>
      <c r="V189" s="7">
        <f t="shared" si="39"/>
        <v>0</v>
      </c>
      <c r="W189" s="2"/>
      <c r="X189" s="6">
        <f t="shared" si="40"/>
        <v>44.8</v>
      </c>
      <c r="Y189" s="2"/>
      <c r="Z189" s="7">
        <f t="shared" si="41"/>
        <v>0</v>
      </c>
    </row>
    <row r="190" spans="1:26" s="26" customFormat="1" outlineLevel="1" collapsed="1" x14ac:dyDescent="0.25">
      <c r="A190" s="27"/>
      <c r="B190" s="13" t="str">
        <f>CONCATENATE("     ","Bank/card Fees                                    ")</f>
        <v xml:space="preserve">     Bank/card Fees                                    </v>
      </c>
      <c r="C190" s="13"/>
      <c r="D190" s="1">
        <f>SUM(OSRRefD22_4x_0)</f>
        <v>33095.75</v>
      </c>
      <c r="E190" s="1"/>
      <c r="F190" s="5">
        <f t="shared" ref="F190:F194" si="42">IF(D$12=0,0,D190/D$12)</f>
        <v>1.4055657750336592E-2</v>
      </c>
      <c r="G190" s="1"/>
      <c r="H190" s="1">
        <f>SUM(OSRRefH22_4x_0)</f>
        <v>32976.199999999997</v>
      </c>
      <c r="I190" s="1"/>
      <c r="J190" s="5">
        <f t="shared" ref="J190:J194" si="43">IF(H$12=0,0,H190/H$12)</f>
        <v>1.1876868294407957E-2</v>
      </c>
      <c r="K190" s="1"/>
      <c r="L190" s="1">
        <f t="shared" ref="L190:L194" si="44">+D190-H190</f>
        <v>119.55000000000291</v>
      </c>
      <c r="M190" s="1"/>
      <c r="N190" s="5">
        <f t="shared" ref="N190:N194" si="45">IF(H190=0,0,L190/H190)</f>
        <v>3.6253419132587419E-3</v>
      </c>
      <c r="O190" s="13"/>
      <c r="P190" s="1">
        <f>SUM(OSRRefP22_4x_0)</f>
        <v>181478.93</v>
      </c>
      <c r="Q190" s="1"/>
      <c r="R190" s="5">
        <f t="shared" ref="R190:R194" si="46">IF(P$12=0,0,P190/P$12)</f>
        <v>1.9109887910548528E-2</v>
      </c>
      <c r="S190" s="1"/>
      <c r="T190" s="1">
        <f>SUM(OSRRefT22_4x_0)</f>
        <v>174931.89</v>
      </c>
      <c r="U190" s="1"/>
      <c r="V190" s="5">
        <f t="shared" ref="V190:V194" si="47">IF(T$12=0,0,T190/T$12)</f>
        <v>1.7077215324095129E-2</v>
      </c>
      <c r="W190" s="1"/>
      <c r="X190" s="1">
        <f t="shared" ref="X190:X194" si="48">+P190-T190</f>
        <v>6547.039999999979</v>
      </c>
      <c r="Y190" s="1"/>
      <c r="Z190" s="5">
        <f t="shared" ref="Z190:Z194" si="49">IF(T190=0,0,X190/T190)</f>
        <v>3.7426223429015595E-2</v>
      </c>
    </row>
    <row r="191" spans="1:26" s="24" customFormat="1" hidden="1" outlineLevel="2" x14ac:dyDescent="0.25">
      <c r="A191" s="25"/>
      <c r="B191" s="11" t="str">
        <f>CONCATENATE("          ", "6381", " - ", "BANK/CREDIT CARD FEES")</f>
        <v xml:space="preserve">          6381 - BANK/CREDIT CARD FEES</v>
      </c>
      <c r="C191" s="11"/>
      <c r="D191" s="6">
        <v>33095.75</v>
      </c>
      <c r="E191" s="2"/>
      <c r="F191" s="7">
        <f t="shared" si="42"/>
        <v>1.4055657750336592E-2</v>
      </c>
      <c r="G191" s="2"/>
      <c r="H191" s="6">
        <v>32976.199999999997</v>
      </c>
      <c r="I191" s="2"/>
      <c r="J191" s="7">
        <f t="shared" si="43"/>
        <v>1.1876868294407957E-2</v>
      </c>
      <c r="K191" s="2"/>
      <c r="L191" s="6">
        <f t="shared" si="44"/>
        <v>119.55000000000291</v>
      </c>
      <c r="M191" s="2"/>
      <c r="N191" s="7">
        <f t="shared" si="45"/>
        <v>3.6253419132587419E-3</v>
      </c>
      <c r="O191" s="11"/>
      <c r="P191" s="6">
        <v>181478.93</v>
      </c>
      <c r="Q191" s="2"/>
      <c r="R191" s="7">
        <f t="shared" si="46"/>
        <v>1.9109887910548528E-2</v>
      </c>
      <c r="S191" s="2"/>
      <c r="T191" s="6">
        <v>174931.89</v>
      </c>
      <c r="U191" s="2"/>
      <c r="V191" s="7">
        <f t="shared" si="47"/>
        <v>1.7077215324095129E-2</v>
      </c>
      <c r="W191" s="2"/>
      <c r="X191" s="6">
        <f t="shared" si="48"/>
        <v>6547.039999999979</v>
      </c>
      <c r="Y191" s="2"/>
      <c r="Z191" s="7">
        <f t="shared" si="49"/>
        <v>3.7426223429015595E-2</v>
      </c>
    </row>
    <row r="192" spans="1:26" s="26" customFormat="1" outlineLevel="1" collapsed="1" x14ac:dyDescent="0.25">
      <c r="A192" s="27"/>
      <c r="B192" s="13" t="str">
        <f>CONCATENATE("     ","Depreciation                                      ")</f>
        <v xml:space="preserve">     Depreciation                                      </v>
      </c>
      <c r="C192" s="13"/>
      <c r="D192" s="1">
        <f>SUM(OSRRefD22_5x_0)</f>
        <v>38324.210000000006</v>
      </c>
      <c r="E192" s="1"/>
      <c r="F192" s="5">
        <f t="shared" si="42"/>
        <v>1.6276167765106615E-2</v>
      </c>
      <c r="G192" s="1"/>
      <c r="H192" s="1">
        <f>SUM(OSRRefH22_5x_0)</f>
        <v>37694.15</v>
      </c>
      <c r="I192" s="1"/>
      <c r="J192" s="5">
        <f t="shared" si="43"/>
        <v>1.3576108072478265E-2</v>
      </c>
      <c r="K192" s="1"/>
      <c r="L192" s="1">
        <f t="shared" si="44"/>
        <v>630.06000000000495</v>
      </c>
      <c r="M192" s="1"/>
      <c r="N192" s="5">
        <f t="shared" si="45"/>
        <v>1.6715060559795217E-2</v>
      </c>
      <c r="O192" s="13"/>
      <c r="P192" s="1">
        <f>SUM(OSRRefP22_5x_0)</f>
        <v>266702.97000000003</v>
      </c>
      <c r="Q192" s="1"/>
      <c r="R192" s="5">
        <f t="shared" si="46"/>
        <v>2.8084052854567679E-2</v>
      </c>
      <c r="S192" s="1"/>
      <c r="T192" s="1">
        <f>SUM(OSRRefT22_5x_0)</f>
        <v>263859.05</v>
      </c>
      <c r="U192" s="1"/>
      <c r="V192" s="5">
        <f t="shared" si="47"/>
        <v>2.5758469836810099E-2</v>
      </c>
      <c r="W192" s="1"/>
      <c r="X192" s="1">
        <f t="shared" si="48"/>
        <v>2843.9200000000419</v>
      </c>
      <c r="Y192" s="1"/>
      <c r="Z192" s="5">
        <f t="shared" si="49"/>
        <v>1.0778178728378057E-2</v>
      </c>
    </row>
    <row r="193" spans="1:26" s="24" customFormat="1" hidden="1" outlineLevel="2" x14ac:dyDescent="0.25">
      <c r="A193" s="25"/>
      <c r="B193" s="11" t="str">
        <f>CONCATENATE("          ", "6321", " - ", "BUILDING DEPRECIATION")</f>
        <v xml:space="preserve">          6321 - BUILDING DEPRECIATION</v>
      </c>
      <c r="C193" s="11"/>
      <c r="D193" s="6">
        <v>21477.030000000002</v>
      </c>
      <c r="E193" s="2"/>
      <c r="F193" s="7">
        <f t="shared" si="42"/>
        <v>9.1212250265883549E-3</v>
      </c>
      <c r="G193" s="2"/>
      <c r="H193" s="6">
        <v>21533.89</v>
      </c>
      <c r="I193" s="2"/>
      <c r="J193" s="7">
        <f t="shared" si="43"/>
        <v>7.7557503713668822E-3</v>
      </c>
      <c r="K193" s="2"/>
      <c r="L193" s="6">
        <f t="shared" si="44"/>
        <v>-56.859999999996944</v>
      </c>
      <c r="M193" s="2"/>
      <c r="N193" s="7">
        <f t="shared" si="45"/>
        <v>-2.6404890152219103E-3</v>
      </c>
      <c r="O193" s="11"/>
      <c r="P193" s="6">
        <v>150339.21000000002</v>
      </c>
      <c r="Q193" s="2"/>
      <c r="R193" s="7">
        <f t="shared" si="46"/>
        <v>1.5830848526935976E-2</v>
      </c>
      <c r="S193" s="2"/>
      <c r="T193" s="6">
        <v>150737.22999999998</v>
      </c>
      <c r="U193" s="2"/>
      <c r="V193" s="7">
        <f t="shared" si="47"/>
        <v>1.4715282239662829E-2</v>
      </c>
      <c r="W193" s="2"/>
      <c r="X193" s="6">
        <f t="shared" si="48"/>
        <v>-398.01999999996042</v>
      </c>
      <c r="Y193" s="2"/>
      <c r="Z193" s="7">
        <f t="shared" si="49"/>
        <v>-2.6404890152217902E-3</v>
      </c>
    </row>
    <row r="194" spans="1:26" s="24" customFormat="1" hidden="1" outlineLevel="2" x14ac:dyDescent="0.25">
      <c r="A194" s="25"/>
      <c r="B194" s="11" t="str">
        <f>CONCATENATE("          ", "6322", " - ", "EQUIPMENT DEPRECIATION EXPENSE")</f>
        <v xml:space="preserve">          6322 - EQUIPMENT DEPRECIATION EXPENSE</v>
      </c>
      <c r="C194" s="11"/>
      <c r="D194" s="6">
        <v>16847.18</v>
      </c>
      <c r="E194" s="2"/>
      <c r="F194" s="7">
        <f t="shared" si="42"/>
        <v>7.1549427385182579E-3</v>
      </c>
      <c r="G194" s="2"/>
      <c r="H194" s="6">
        <v>16160.26</v>
      </c>
      <c r="I194" s="2"/>
      <c r="J194" s="7">
        <f t="shared" si="43"/>
        <v>5.8203577011113816E-3</v>
      </c>
      <c r="K194" s="2"/>
      <c r="L194" s="6">
        <f t="shared" si="44"/>
        <v>686.92000000000007</v>
      </c>
      <c r="M194" s="2"/>
      <c r="N194" s="7">
        <f t="shared" si="45"/>
        <v>4.2506741846975241E-2</v>
      </c>
      <c r="O194" s="11"/>
      <c r="P194" s="6">
        <v>116363.76</v>
      </c>
      <c r="Q194" s="2"/>
      <c r="R194" s="7">
        <f t="shared" si="46"/>
        <v>1.2253204327631701E-2</v>
      </c>
      <c r="S194" s="2"/>
      <c r="T194" s="6">
        <v>113121.82</v>
      </c>
      <c r="U194" s="2"/>
      <c r="V194" s="7">
        <f t="shared" si="47"/>
        <v>1.1043187597147272E-2</v>
      </c>
      <c r="W194" s="2"/>
      <c r="X194" s="6">
        <f t="shared" si="48"/>
        <v>3241.9399999999878</v>
      </c>
      <c r="Y194" s="2"/>
      <c r="Z194" s="7">
        <f t="shared" si="49"/>
        <v>2.865883876337905E-2</v>
      </c>
    </row>
    <row r="195" spans="1:26" s="26" customFormat="1" outlineLevel="1" collapsed="1" x14ac:dyDescent="0.25">
      <c r="A195" s="27"/>
      <c r="B195" s="13" t="str">
        <f>CONCATENATE("     ","Discounts and Markdowns                           ")</f>
        <v xml:space="preserve">     Discounts and Markdowns                           </v>
      </c>
      <c r="C195" s="13"/>
      <c r="D195" s="1">
        <f>SUM(OSRRefD22_6x_0)</f>
        <v>36988.130000000005</v>
      </c>
      <c r="E195" s="1"/>
      <c r="F195" s="5">
        <f t="shared" ref="F195:F197" si="50">IF(D$12=0,0,D195/D$12)</f>
        <v>1.5708738919799597E-2</v>
      </c>
      <c r="G195" s="1"/>
      <c r="H195" s="1">
        <f>SUM(OSRRefH22_6x_0)</f>
        <v>42480.750000000007</v>
      </c>
      <c r="I195" s="1"/>
      <c r="J195" s="5">
        <f t="shared" ref="J195:J197" si="51">IF(H$12=0,0,H195/H$12)</f>
        <v>1.5300073167850479E-2</v>
      </c>
      <c r="K195" s="1"/>
      <c r="L195" s="1">
        <f t="shared" ref="L195:L197" si="52">+D195-H195</f>
        <v>-5492.6200000000026</v>
      </c>
      <c r="M195" s="1"/>
      <c r="N195" s="5">
        <f t="shared" ref="N195:N197" si="53">IF(H195=0,0,L195/H195)</f>
        <v>-0.12929668143806317</v>
      </c>
      <c r="O195" s="13"/>
      <c r="P195" s="1">
        <f>SUM(OSRRefP22_6x_0)</f>
        <v>224768.84</v>
      </c>
      <c r="Q195" s="1"/>
      <c r="R195" s="5">
        <f t="shared" ref="R195:R197" si="54">IF(P$12=0,0,P195/P$12)</f>
        <v>2.3668352784447299E-2</v>
      </c>
      <c r="S195" s="1"/>
      <c r="T195" s="1">
        <f>SUM(OSRRefT22_6x_0)</f>
        <v>211910.45999999996</v>
      </c>
      <c r="U195" s="1"/>
      <c r="V195" s="5">
        <f t="shared" ref="V195:V197" si="55">IF(T$12=0,0,T195/T$12)</f>
        <v>2.0687140319858473E-2</v>
      </c>
      <c r="W195" s="1"/>
      <c r="X195" s="1">
        <f t="shared" ref="X195:X197" si="56">+P195-T195</f>
        <v>12858.380000000034</v>
      </c>
      <c r="Y195" s="1"/>
      <c r="Z195" s="5">
        <f t="shared" ref="Z195:Z197" si="57">IF(T195=0,0,X195/T195)</f>
        <v>6.0678363871231447E-2</v>
      </c>
    </row>
    <row r="196" spans="1:26" s="24" customFormat="1" hidden="1" outlineLevel="2" x14ac:dyDescent="0.25">
      <c r="A196" s="25"/>
      <c r="B196" s="11" t="str">
        <f>CONCATENATE("          ", "6382", " - ", "DISCOUNTS/MARK DOWNS")</f>
        <v xml:space="preserve">          6382 - DISCOUNTS/MARK DOWNS</v>
      </c>
      <c r="C196" s="11"/>
      <c r="D196" s="6">
        <v>37408.630000000005</v>
      </c>
      <c r="E196" s="2"/>
      <c r="F196" s="7">
        <f t="shared" si="50"/>
        <v>1.5887323906815045E-2</v>
      </c>
      <c r="G196" s="2"/>
      <c r="H196" s="6">
        <v>43134.950000000004</v>
      </c>
      <c r="I196" s="2"/>
      <c r="J196" s="7">
        <f t="shared" si="51"/>
        <v>1.553569301605014E-2</v>
      </c>
      <c r="K196" s="2"/>
      <c r="L196" s="6">
        <f t="shared" si="52"/>
        <v>-5726.32</v>
      </c>
      <c r="M196" s="2"/>
      <c r="N196" s="7">
        <f t="shared" si="53"/>
        <v>-0.1327536023572532</v>
      </c>
      <c r="O196" s="11"/>
      <c r="P196" s="6">
        <v>227675.84</v>
      </c>
      <c r="Q196" s="2"/>
      <c r="R196" s="7">
        <f t="shared" si="54"/>
        <v>2.397446239263137E-2</v>
      </c>
      <c r="S196" s="2"/>
      <c r="T196" s="6">
        <v>215391.34999999998</v>
      </c>
      <c r="U196" s="2"/>
      <c r="V196" s="7">
        <f t="shared" si="55"/>
        <v>2.1026952049152024E-2</v>
      </c>
      <c r="W196" s="2"/>
      <c r="X196" s="6">
        <f t="shared" si="56"/>
        <v>12284.49000000002</v>
      </c>
      <c r="Y196" s="2"/>
      <c r="Z196" s="7">
        <f t="shared" si="57"/>
        <v>5.7033348832253576E-2</v>
      </c>
    </row>
    <row r="197" spans="1:26" s="24" customFormat="1" hidden="1" outlineLevel="2" x14ac:dyDescent="0.25">
      <c r="A197" s="25"/>
      <c r="B197" s="11" t="str">
        <f>CONCATENATE("          ", "9175", " - ", "EARNED DISCOUNTS")</f>
        <v xml:space="preserve">          9175 - EARNED DISCOUNTS</v>
      </c>
      <c r="C197" s="11"/>
      <c r="D197" s="6">
        <v>-420.5</v>
      </c>
      <c r="E197" s="2"/>
      <c r="F197" s="7">
        <f t="shared" si="50"/>
        <v>-1.7858498701544873E-4</v>
      </c>
      <c r="G197" s="2"/>
      <c r="H197" s="6">
        <v>-654.20000000000005</v>
      </c>
      <c r="I197" s="2"/>
      <c r="J197" s="7">
        <f t="shared" si="51"/>
        <v>-2.3561984819966177E-4</v>
      </c>
      <c r="K197" s="2"/>
      <c r="L197" s="6">
        <f t="shared" si="52"/>
        <v>233.70000000000005</v>
      </c>
      <c r="M197" s="2"/>
      <c r="N197" s="7">
        <f t="shared" si="53"/>
        <v>-0.35723020483032714</v>
      </c>
      <c r="O197" s="11"/>
      <c r="P197" s="6">
        <v>-2907</v>
      </c>
      <c r="Q197" s="2"/>
      <c r="R197" s="7">
        <f t="shared" si="54"/>
        <v>-3.0610960818407173E-4</v>
      </c>
      <c r="S197" s="2"/>
      <c r="T197" s="6">
        <v>-3480.89</v>
      </c>
      <c r="U197" s="2"/>
      <c r="V197" s="7">
        <f t="shared" si="55"/>
        <v>-3.3981172929355239E-4</v>
      </c>
      <c r="W197" s="2"/>
      <c r="X197" s="6">
        <f t="shared" si="56"/>
        <v>573.88999999999987</v>
      </c>
      <c r="Y197" s="2"/>
      <c r="Z197" s="7">
        <f t="shared" si="57"/>
        <v>-0.1648687548299429</v>
      </c>
    </row>
    <row r="198" spans="1:26" s="26" customFormat="1" outlineLevel="1" collapsed="1" x14ac:dyDescent="0.25">
      <c r="A198" s="27"/>
      <c r="B198" s="13" t="str">
        <f>CONCATENATE("     ","Donations                                         ")</f>
        <v xml:space="preserve">     Donations                                         </v>
      </c>
      <c r="C198" s="13"/>
      <c r="D198" s="1">
        <f>SUM(OSRRefD22_7x_0)</f>
        <v>0</v>
      </c>
      <c r="E198" s="1"/>
      <c r="F198" s="5">
        <f t="shared" ref="F198:F206" si="58">IF(D$12=0,0,D198/D$12)</f>
        <v>0</v>
      </c>
      <c r="G198" s="1"/>
      <c r="H198" s="1">
        <f>SUM(OSRRefH22_7x_0)</f>
        <v>760.12</v>
      </c>
      <c r="I198" s="1"/>
      <c r="J198" s="5">
        <f t="shared" ref="J198:J206" si="59">IF(H$12=0,0,H198/H$12)</f>
        <v>2.7376850965075955E-4</v>
      </c>
      <c r="K198" s="1"/>
      <c r="L198" s="1">
        <f t="shared" ref="L198:L206" si="60">+D198-H198</f>
        <v>-760.12</v>
      </c>
      <c r="M198" s="1"/>
      <c r="N198" s="5">
        <f t="shared" ref="N198:N206" si="61">IF(H198=0,0,L198/H198)</f>
        <v>-1</v>
      </c>
      <c r="O198" s="13"/>
      <c r="P198" s="1">
        <f>SUM(OSRRefP22_7x_0)</f>
        <v>9798.2199999999993</v>
      </c>
      <c r="Q198" s="1"/>
      <c r="R198" s="5">
        <f t="shared" ref="R198:R206" si="62">IF(P$12=0,0,P198/P$12)</f>
        <v>1.0317610199866993E-3</v>
      </c>
      <c r="S198" s="1"/>
      <c r="T198" s="1">
        <f>SUM(OSRRefT22_7x_0)</f>
        <v>6160.82</v>
      </c>
      <c r="U198" s="1"/>
      <c r="V198" s="5">
        <f t="shared" ref="V198:V206" si="63">IF(T$12=0,0,T198/T$12)</f>
        <v>6.0143207572382451E-4</v>
      </c>
      <c r="W198" s="1"/>
      <c r="X198" s="1">
        <f t="shared" ref="X198:X206" si="64">+P198-T198</f>
        <v>3637.3999999999996</v>
      </c>
      <c r="Y198" s="1"/>
      <c r="Z198" s="5">
        <f t="shared" ref="Z198:Z206" si="65">IF(T198=0,0,X198/T198)</f>
        <v>0.59040841965842206</v>
      </c>
    </row>
    <row r="199" spans="1:26" s="24" customFormat="1" hidden="1" outlineLevel="2" x14ac:dyDescent="0.25">
      <c r="A199" s="25"/>
      <c r="B199" s="11" t="str">
        <f>CONCATENATE("          ", "6399", " - ", "DONATION-ON CAMPUS")</f>
        <v xml:space="preserve">          6399 - DONATION-ON CAMPUS</v>
      </c>
      <c r="C199" s="11"/>
      <c r="D199" s="6"/>
      <c r="E199" s="2"/>
      <c r="F199" s="7">
        <f t="shared" si="58"/>
        <v>0</v>
      </c>
      <c r="G199" s="2"/>
      <c r="H199" s="6">
        <v>760.12</v>
      </c>
      <c r="I199" s="2"/>
      <c r="J199" s="7">
        <f t="shared" si="59"/>
        <v>2.7376850965075955E-4</v>
      </c>
      <c r="K199" s="2"/>
      <c r="L199" s="6">
        <f t="shared" si="60"/>
        <v>-760.12</v>
      </c>
      <c r="M199" s="2"/>
      <c r="N199" s="7">
        <f t="shared" si="61"/>
        <v>-1</v>
      </c>
      <c r="O199" s="11"/>
      <c r="P199" s="6">
        <v>9798.2199999999993</v>
      </c>
      <c r="Q199" s="2"/>
      <c r="R199" s="7">
        <f t="shared" si="62"/>
        <v>1.0317610199866993E-3</v>
      </c>
      <c r="S199" s="2"/>
      <c r="T199" s="6">
        <v>6160.82</v>
      </c>
      <c r="U199" s="2"/>
      <c r="V199" s="7">
        <f t="shared" si="63"/>
        <v>6.0143207572382451E-4</v>
      </c>
      <c r="W199" s="2"/>
      <c r="X199" s="6">
        <f t="shared" si="64"/>
        <v>3637.3999999999996</v>
      </c>
      <c r="Y199" s="2"/>
      <c r="Z199" s="7">
        <f t="shared" si="65"/>
        <v>0.59040841965842206</v>
      </c>
    </row>
    <row r="200" spans="1:26" s="26" customFormat="1" outlineLevel="1" collapsed="1" x14ac:dyDescent="0.25">
      <c r="A200" s="27"/>
      <c r="B200" s="13" t="str">
        <f>CONCATENATE("     ","Employees' Appreciation                           ")</f>
        <v xml:space="preserve">     Employees' Appreciation                           </v>
      </c>
      <c r="C200" s="13"/>
      <c r="D200" s="1">
        <f>SUM(OSRRefD22_8x_0)</f>
        <v>39.909999999999997</v>
      </c>
      <c r="E200" s="1"/>
      <c r="F200" s="5">
        <f t="shared" si="58"/>
        <v>1.6949647638017975E-5</v>
      </c>
      <c r="G200" s="1"/>
      <c r="H200" s="1">
        <f>SUM(OSRRefH22_8x_0)</f>
        <v>789.47</v>
      </c>
      <c r="I200" s="1"/>
      <c r="J200" s="5">
        <f t="shared" si="59"/>
        <v>2.8433934814764135E-4</v>
      </c>
      <c r="K200" s="1"/>
      <c r="L200" s="1">
        <f t="shared" si="60"/>
        <v>-749.56000000000006</v>
      </c>
      <c r="M200" s="1"/>
      <c r="N200" s="5">
        <f t="shared" si="61"/>
        <v>-0.94944709741978806</v>
      </c>
      <c r="O200" s="13"/>
      <c r="P200" s="1">
        <f>SUM(OSRRefP22_8x_0)</f>
        <v>1330.87</v>
      </c>
      <c r="Q200" s="1"/>
      <c r="R200" s="5">
        <f t="shared" si="62"/>
        <v>1.4014175928583951E-4</v>
      </c>
      <c r="S200" s="1"/>
      <c r="T200" s="1">
        <f>SUM(OSRRefT22_8x_0)</f>
        <v>3611.35</v>
      </c>
      <c r="U200" s="1"/>
      <c r="V200" s="5">
        <f t="shared" si="63"/>
        <v>3.5254750612178796E-4</v>
      </c>
      <c r="W200" s="1"/>
      <c r="X200" s="1">
        <f t="shared" si="64"/>
        <v>-2280.48</v>
      </c>
      <c r="Y200" s="1"/>
      <c r="Z200" s="5">
        <f t="shared" si="65"/>
        <v>-0.6314757639110028</v>
      </c>
    </row>
    <row r="201" spans="1:26" s="24" customFormat="1" hidden="1" outlineLevel="2" x14ac:dyDescent="0.25">
      <c r="A201" s="25"/>
      <c r="B201" s="11" t="str">
        <f>CONCATENATE("          ", "6277", " - ", "EMPLOYEE APPRECIATION")</f>
        <v xml:space="preserve">          6277 - EMPLOYEE APPRECIATION</v>
      </c>
      <c r="C201" s="11"/>
      <c r="D201" s="6">
        <v>39.909999999999997</v>
      </c>
      <c r="E201" s="2"/>
      <c r="F201" s="7">
        <f t="shared" si="58"/>
        <v>1.6949647638017975E-5</v>
      </c>
      <c r="G201" s="2"/>
      <c r="H201" s="6">
        <v>789.47</v>
      </c>
      <c r="I201" s="2"/>
      <c r="J201" s="7">
        <f t="shared" si="59"/>
        <v>2.8433934814764135E-4</v>
      </c>
      <c r="K201" s="2"/>
      <c r="L201" s="6">
        <f t="shared" si="60"/>
        <v>-749.56000000000006</v>
      </c>
      <c r="M201" s="2"/>
      <c r="N201" s="7">
        <f t="shared" si="61"/>
        <v>-0.94944709741978806</v>
      </c>
      <c r="O201" s="11"/>
      <c r="P201" s="6">
        <v>1330.87</v>
      </c>
      <c r="Q201" s="2"/>
      <c r="R201" s="7">
        <f t="shared" si="62"/>
        <v>1.4014175928583951E-4</v>
      </c>
      <c r="S201" s="2"/>
      <c r="T201" s="6">
        <v>3611.35</v>
      </c>
      <c r="U201" s="2"/>
      <c r="V201" s="7">
        <f t="shared" si="63"/>
        <v>3.5254750612178796E-4</v>
      </c>
      <c r="W201" s="2"/>
      <c r="X201" s="6">
        <f t="shared" si="64"/>
        <v>-2280.48</v>
      </c>
      <c r="Y201" s="2"/>
      <c r="Z201" s="7">
        <f t="shared" si="65"/>
        <v>-0.6314757639110028</v>
      </c>
    </row>
    <row r="202" spans="1:26" s="26" customFormat="1" outlineLevel="1" collapsed="1" x14ac:dyDescent="0.25">
      <c r="A202" s="27"/>
      <c r="B202" s="13" t="str">
        <f>CONCATENATE("     ","Equipment Rental                                  ")</f>
        <v xml:space="preserve">     Equipment Rental                                  </v>
      </c>
      <c r="C202" s="13"/>
      <c r="D202" s="1">
        <f>SUM(OSRRefD22_9x_0)</f>
        <v>1481.16</v>
      </c>
      <c r="E202" s="1"/>
      <c r="F202" s="5">
        <f t="shared" si="58"/>
        <v>6.2904385105303699E-4</v>
      </c>
      <c r="G202" s="1"/>
      <c r="H202" s="1">
        <f>SUM(OSRRefH22_9x_0)</f>
        <v>3574.81</v>
      </c>
      <c r="I202" s="1"/>
      <c r="J202" s="5">
        <f t="shared" si="59"/>
        <v>1.2875209256231013E-3</v>
      </c>
      <c r="K202" s="1"/>
      <c r="L202" s="1">
        <f t="shared" si="60"/>
        <v>-2093.6499999999996</v>
      </c>
      <c r="M202" s="1"/>
      <c r="N202" s="5">
        <f t="shared" si="61"/>
        <v>-0.5856674900204486</v>
      </c>
      <c r="O202" s="13"/>
      <c r="P202" s="1">
        <f>SUM(OSRRefP22_9x_0)</f>
        <v>13252.27</v>
      </c>
      <c r="Q202" s="1"/>
      <c r="R202" s="5">
        <f t="shared" si="62"/>
        <v>1.3954754651701164E-3</v>
      </c>
      <c r="S202" s="1"/>
      <c r="T202" s="1">
        <f>SUM(OSRRefT22_9x_0)</f>
        <v>24801.91</v>
      </c>
      <c r="U202" s="1"/>
      <c r="V202" s="5">
        <f t="shared" si="63"/>
        <v>2.4212140937757442E-3</v>
      </c>
      <c r="W202" s="1"/>
      <c r="X202" s="1">
        <f t="shared" si="64"/>
        <v>-11549.64</v>
      </c>
      <c r="Y202" s="1"/>
      <c r="Z202" s="5">
        <f t="shared" si="65"/>
        <v>-0.46567542580389976</v>
      </c>
    </row>
    <row r="203" spans="1:26" s="24" customFormat="1" hidden="1" outlineLevel="2" x14ac:dyDescent="0.25">
      <c r="A203" s="25"/>
      <c r="B203" s="11" t="str">
        <f>CONCATENATE("          ", "6351", " - ", "EQUIPMENT RENTAL")</f>
        <v xml:space="preserve">          6351 - EQUIPMENT RENTAL</v>
      </c>
      <c r="C203" s="11"/>
      <c r="D203" s="6">
        <v>1481.16</v>
      </c>
      <c r="E203" s="2"/>
      <c r="F203" s="7">
        <f t="shared" si="58"/>
        <v>6.2904385105303699E-4</v>
      </c>
      <c r="G203" s="2"/>
      <c r="H203" s="6">
        <v>3574.81</v>
      </c>
      <c r="I203" s="2"/>
      <c r="J203" s="7">
        <f t="shared" si="59"/>
        <v>1.2875209256231013E-3</v>
      </c>
      <c r="K203" s="2"/>
      <c r="L203" s="6">
        <f t="shared" si="60"/>
        <v>-2093.6499999999996</v>
      </c>
      <c r="M203" s="2"/>
      <c r="N203" s="7">
        <f t="shared" si="61"/>
        <v>-0.5856674900204486</v>
      </c>
      <c r="O203" s="11"/>
      <c r="P203" s="6">
        <v>13252.27</v>
      </c>
      <c r="Q203" s="2"/>
      <c r="R203" s="7">
        <f t="shared" si="62"/>
        <v>1.3954754651701164E-3</v>
      </c>
      <c r="S203" s="2"/>
      <c r="T203" s="6">
        <v>24801.91</v>
      </c>
      <c r="U203" s="2"/>
      <c r="V203" s="7">
        <f t="shared" si="63"/>
        <v>2.4212140937757442E-3</v>
      </c>
      <c r="W203" s="2"/>
      <c r="X203" s="6">
        <f t="shared" si="64"/>
        <v>-11549.64</v>
      </c>
      <c r="Y203" s="2"/>
      <c r="Z203" s="7">
        <f t="shared" si="65"/>
        <v>-0.46567542580389976</v>
      </c>
    </row>
    <row r="204" spans="1:26" s="26" customFormat="1" outlineLevel="1" collapsed="1" x14ac:dyDescent="0.25">
      <c r="A204" s="27"/>
      <c r="B204" s="13" t="str">
        <f>CONCATENATE("     ","Freight out/Postage                               ")</f>
        <v xml:space="preserve">     Freight out/Postage                               </v>
      </c>
      <c r="C204" s="13"/>
      <c r="D204" s="1">
        <f>SUM(OSRRefD22_10x_0)</f>
        <v>-13208.339999999997</v>
      </c>
      <c r="E204" s="1"/>
      <c r="F204" s="5">
        <f t="shared" si="58"/>
        <v>-5.6095391852452594E-3</v>
      </c>
      <c r="G204" s="1"/>
      <c r="H204" s="1">
        <f>SUM(OSRRefH22_10x_0)</f>
        <v>-8456.73</v>
      </c>
      <c r="I204" s="1"/>
      <c r="J204" s="5">
        <f t="shared" si="59"/>
        <v>-3.0458169349824602E-3</v>
      </c>
      <c r="K204" s="1"/>
      <c r="L204" s="1">
        <f t="shared" si="60"/>
        <v>-4751.6099999999969</v>
      </c>
      <c r="M204" s="1"/>
      <c r="N204" s="5">
        <f t="shared" si="61"/>
        <v>0.56187320631024018</v>
      </c>
      <c r="O204" s="13"/>
      <c r="P204" s="1">
        <f>SUM(OSRRefP22_10x_0)</f>
        <v>-6424.0699999999924</v>
      </c>
      <c r="Q204" s="1"/>
      <c r="R204" s="5">
        <f t="shared" si="62"/>
        <v>-6.7646011374167432E-4</v>
      </c>
      <c r="S204" s="1"/>
      <c r="T204" s="1">
        <f>SUM(OSRRefT22_10x_0)</f>
        <v>2714.1600000000035</v>
      </c>
      <c r="U204" s="1"/>
      <c r="V204" s="5">
        <f t="shared" si="63"/>
        <v>2.6496195029989154E-4</v>
      </c>
      <c r="W204" s="1"/>
      <c r="X204" s="1">
        <f t="shared" si="64"/>
        <v>-9138.2299999999959</v>
      </c>
      <c r="Y204" s="1"/>
      <c r="Z204" s="5">
        <f t="shared" si="65"/>
        <v>-3.3668722551360215</v>
      </c>
    </row>
    <row r="205" spans="1:26" s="24" customFormat="1" hidden="1" outlineLevel="2" x14ac:dyDescent="0.25">
      <c r="A205" s="25"/>
      <c r="B205" s="11" t="str">
        <f>CONCATENATE("          ", "6305", " - ", "FREIGHT OUT")</f>
        <v xml:space="preserve">          6305 - FREIGHT OUT</v>
      </c>
      <c r="C205" s="11"/>
      <c r="D205" s="6">
        <v>2315.63</v>
      </c>
      <c r="E205" s="2"/>
      <c r="F205" s="7">
        <f t="shared" si="58"/>
        <v>9.8344055524990153E-4</v>
      </c>
      <c r="G205" s="2"/>
      <c r="H205" s="6">
        <v>7423.67</v>
      </c>
      <c r="I205" s="2"/>
      <c r="J205" s="7">
        <f t="shared" si="59"/>
        <v>2.6737450297835267E-3</v>
      </c>
      <c r="K205" s="2"/>
      <c r="L205" s="6">
        <f t="shared" si="60"/>
        <v>-5108.04</v>
      </c>
      <c r="M205" s="2"/>
      <c r="N205" s="7">
        <f t="shared" si="61"/>
        <v>-0.68807476625442676</v>
      </c>
      <c r="O205" s="11"/>
      <c r="P205" s="6">
        <v>37253.740000000005</v>
      </c>
      <c r="Q205" s="2"/>
      <c r="R205" s="7">
        <f t="shared" si="62"/>
        <v>3.9228509648404821E-3</v>
      </c>
      <c r="S205" s="2"/>
      <c r="T205" s="6">
        <v>43545.19</v>
      </c>
      <c r="U205" s="2"/>
      <c r="V205" s="7">
        <f t="shared" si="63"/>
        <v>4.2509721123954814E-3</v>
      </c>
      <c r="W205" s="2"/>
      <c r="X205" s="6">
        <f t="shared" si="64"/>
        <v>-6291.4499999999971</v>
      </c>
      <c r="Y205" s="2"/>
      <c r="Z205" s="7">
        <f t="shared" si="65"/>
        <v>-0.14448094037481515</v>
      </c>
    </row>
    <row r="206" spans="1:26" s="24" customFormat="1" hidden="1" outlineLevel="2" x14ac:dyDescent="0.25">
      <c r="A206" s="25"/>
      <c r="B206" s="11" t="str">
        <f>CONCATENATE("          ", "6307", " - ", "POSTAGE")</f>
        <v xml:space="preserve">          6307 - POSTAGE</v>
      </c>
      <c r="C206" s="11"/>
      <c r="D206" s="6">
        <v>-15523.969999999998</v>
      </c>
      <c r="E206" s="2"/>
      <c r="F206" s="7">
        <f t="shared" si="58"/>
        <v>-6.5929797404951605E-3</v>
      </c>
      <c r="G206" s="2"/>
      <c r="H206" s="6">
        <v>-15880.4</v>
      </c>
      <c r="I206" s="2"/>
      <c r="J206" s="7">
        <f t="shared" si="59"/>
        <v>-5.7195619647659865E-3</v>
      </c>
      <c r="K206" s="2"/>
      <c r="L206" s="6">
        <f t="shared" si="60"/>
        <v>356.43000000000211</v>
      </c>
      <c r="M206" s="2"/>
      <c r="N206" s="7">
        <f t="shared" si="61"/>
        <v>-2.2444648749401913E-2</v>
      </c>
      <c r="O206" s="11"/>
      <c r="P206" s="6">
        <v>-43677.81</v>
      </c>
      <c r="Q206" s="2"/>
      <c r="R206" s="7">
        <f t="shared" si="62"/>
        <v>-4.5993110785821564E-3</v>
      </c>
      <c r="S206" s="2"/>
      <c r="T206" s="6">
        <v>-40831.03</v>
      </c>
      <c r="U206" s="2"/>
      <c r="V206" s="7">
        <f t="shared" si="63"/>
        <v>-3.9860101620955895E-3</v>
      </c>
      <c r="W206" s="2"/>
      <c r="X206" s="6">
        <f t="shared" si="64"/>
        <v>-2846.7799999999988</v>
      </c>
      <c r="Y206" s="2"/>
      <c r="Z206" s="7">
        <f t="shared" si="65"/>
        <v>6.9720994057705599E-2</v>
      </c>
    </row>
    <row r="207" spans="1:26" s="26" customFormat="1" outlineLevel="1" collapsed="1" x14ac:dyDescent="0.25">
      <c r="A207" s="27"/>
      <c r="B207" s="13" t="str">
        <f>CONCATENATE("     ","General                                           ")</f>
        <v xml:space="preserve">     General                                           </v>
      </c>
      <c r="C207" s="13"/>
      <c r="D207" s="1">
        <f>SUM(OSRRefD22_11x_0)</f>
        <v>3959.86</v>
      </c>
      <c r="E207" s="1"/>
      <c r="F207" s="5">
        <f t="shared" ref="F207:F223" si="66">IF(D$12=0,0,D207/D$12)</f>
        <v>1.6817397067372052E-3</v>
      </c>
      <c r="G207" s="1"/>
      <c r="H207" s="1">
        <f>SUM(OSRRefH22_11x_0)</f>
        <v>590.16</v>
      </c>
      <c r="I207" s="1"/>
      <c r="J207" s="5">
        <f t="shared" ref="J207:J223" si="67">IF(H$12=0,0,H207/H$12)</f>
        <v>2.125548908797193E-4</v>
      </c>
      <c r="K207" s="1"/>
      <c r="L207" s="1">
        <f t="shared" ref="L207:L223" si="68">+D207-H207</f>
        <v>3369.7000000000003</v>
      </c>
      <c r="M207" s="1"/>
      <c r="N207" s="5">
        <f t="shared" ref="N207:N223" si="69">IF(H207=0,0,L207/H207)</f>
        <v>5.7098075098278445</v>
      </c>
      <c r="O207" s="13"/>
      <c r="P207" s="1">
        <f>SUM(OSRRefP22_11x_0)</f>
        <v>9441.25</v>
      </c>
      <c r="Q207" s="1"/>
      <c r="R207" s="5">
        <f t="shared" ref="R207:R223" si="70">IF(P$12=0,0,P207/P$12)</f>
        <v>9.9417177098997831E-4</v>
      </c>
      <c r="S207" s="1"/>
      <c r="T207" s="1">
        <f>SUM(OSRRefT22_11x_0)</f>
        <v>21594.350000000002</v>
      </c>
      <c r="U207" s="1"/>
      <c r="V207" s="5">
        <f t="shared" ref="V207:V223" si="71">IF(T$12=0,0,T207/T$12)</f>
        <v>2.1080854081772836E-3</v>
      </c>
      <c r="W207" s="1"/>
      <c r="X207" s="1">
        <f t="shared" ref="X207:X223" si="72">+P207-T207</f>
        <v>-12153.100000000002</v>
      </c>
      <c r="Y207" s="1"/>
      <c r="Z207" s="5">
        <f t="shared" ref="Z207:Z223" si="73">IF(T207=0,0,X207/T207)</f>
        <v>-0.56279072998261126</v>
      </c>
    </row>
    <row r="208" spans="1:26" s="24" customFormat="1" hidden="1" outlineLevel="2" x14ac:dyDescent="0.25">
      <c r="A208" s="25"/>
      <c r="B208" s="11" t="str">
        <f>CONCATENATE("          ", "6279", " - ", "GENERAL EXPENSE")</f>
        <v xml:space="preserve">          6279 - GENERAL EXPENSE</v>
      </c>
      <c r="C208" s="11"/>
      <c r="D208" s="6">
        <v>3959.86</v>
      </c>
      <c r="E208" s="2"/>
      <c r="F208" s="7">
        <f t="shared" si="66"/>
        <v>1.6817397067372052E-3</v>
      </c>
      <c r="G208" s="2"/>
      <c r="H208" s="6">
        <v>590.16</v>
      </c>
      <c r="I208" s="2"/>
      <c r="J208" s="7">
        <f t="shared" si="67"/>
        <v>2.125548908797193E-4</v>
      </c>
      <c r="K208" s="2"/>
      <c r="L208" s="6">
        <f t="shared" si="68"/>
        <v>3369.7000000000003</v>
      </c>
      <c r="M208" s="2"/>
      <c r="N208" s="7">
        <f t="shared" si="69"/>
        <v>5.7098075098278445</v>
      </c>
      <c r="O208" s="11"/>
      <c r="P208" s="6">
        <v>9441.25</v>
      </c>
      <c r="Q208" s="2"/>
      <c r="R208" s="7">
        <f t="shared" si="70"/>
        <v>9.9417177098997831E-4</v>
      </c>
      <c r="S208" s="2"/>
      <c r="T208" s="6">
        <v>21594.350000000002</v>
      </c>
      <c r="U208" s="2"/>
      <c r="V208" s="7">
        <f t="shared" si="71"/>
        <v>2.1080854081772836E-3</v>
      </c>
      <c r="W208" s="2"/>
      <c r="X208" s="6">
        <f t="shared" si="72"/>
        <v>-12153.100000000002</v>
      </c>
      <c r="Y208" s="2"/>
      <c r="Z208" s="7">
        <f t="shared" si="73"/>
        <v>-0.56279072998261126</v>
      </c>
    </row>
    <row r="209" spans="1:26" s="26" customFormat="1" outlineLevel="1" collapsed="1" x14ac:dyDescent="0.25">
      <c r="A209" s="27"/>
      <c r="B209" s="13" t="str">
        <f>CONCATENATE("     ","Insurance                                         ")</f>
        <v xml:space="preserve">     Insurance                                         </v>
      </c>
      <c r="C209" s="13"/>
      <c r="D209" s="1">
        <f>SUM(OSRRefD22_12x_0)</f>
        <v>4288.28</v>
      </c>
      <c r="E209" s="1"/>
      <c r="F209" s="5">
        <f t="shared" si="66"/>
        <v>1.8212186162154778E-3</v>
      </c>
      <c r="G209" s="1"/>
      <c r="H209" s="1">
        <f>SUM(OSRRefH22_12x_0)</f>
        <v>4039.41</v>
      </c>
      <c r="I209" s="1"/>
      <c r="J209" s="5">
        <f t="shared" si="67"/>
        <v>1.4548535172977616E-3</v>
      </c>
      <c r="K209" s="1"/>
      <c r="L209" s="1">
        <f t="shared" si="68"/>
        <v>248.86999999999989</v>
      </c>
      <c r="M209" s="1"/>
      <c r="N209" s="5">
        <f t="shared" si="69"/>
        <v>6.1610482719010921E-2</v>
      </c>
      <c r="O209" s="13"/>
      <c r="P209" s="1">
        <f>SUM(OSRRefP22_12x_0)</f>
        <v>30017.96</v>
      </c>
      <c r="Q209" s="1"/>
      <c r="R209" s="5">
        <f t="shared" si="70"/>
        <v>3.1609170877485849E-3</v>
      </c>
      <c r="S209" s="1"/>
      <c r="T209" s="1">
        <f>SUM(OSRRefT22_12x_0)</f>
        <v>28275.870000000003</v>
      </c>
      <c r="U209" s="1"/>
      <c r="V209" s="5">
        <f t="shared" si="71"/>
        <v>2.7603493020404786E-3</v>
      </c>
      <c r="W209" s="1"/>
      <c r="X209" s="1">
        <f t="shared" si="72"/>
        <v>1742.0899999999965</v>
      </c>
      <c r="Y209" s="1"/>
      <c r="Z209" s="5">
        <f t="shared" si="73"/>
        <v>6.1610482719010817E-2</v>
      </c>
    </row>
    <row r="210" spans="1:26" s="24" customFormat="1" hidden="1" outlineLevel="2" x14ac:dyDescent="0.25">
      <c r="A210" s="25"/>
      <c r="B210" s="11" t="str">
        <f>CONCATENATE("          ", "6314", " - ", "LIABILITY INSURANCE")</f>
        <v xml:space="preserve">          6314 - LIABILITY INSURANCE</v>
      </c>
      <c r="C210" s="11"/>
      <c r="D210" s="6">
        <v>4288.28</v>
      </c>
      <c r="E210" s="2"/>
      <c r="F210" s="7">
        <f t="shared" si="66"/>
        <v>1.8212186162154778E-3</v>
      </c>
      <c r="G210" s="2"/>
      <c r="H210" s="6">
        <v>4039.41</v>
      </c>
      <c r="I210" s="2"/>
      <c r="J210" s="7">
        <f t="shared" si="67"/>
        <v>1.4548535172977616E-3</v>
      </c>
      <c r="K210" s="2"/>
      <c r="L210" s="6">
        <f t="shared" si="68"/>
        <v>248.86999999999989</v>
      </c>
      <c r="M210" s="2"/>
      <c r="N210" s="7">
        <f t="shared" si="69"/>
        <v>6.1610482719010921E-2</v>
      </c>
      <c r="O210" s="11"/>
      <c r="P210" s="6">
        <v>30017.96</v>
      </c>
      <c r="Q210" s="2"/>
      <c r="R210" s="7">
        <f t="shared" si="70"/>
        <v>3.1609170877485849E-3</v>
      </c>
      <c r="S210" s="2"/>
      <c r="T210" s="6">
        <v>28275.870000000003</v>
      </c>
      <c r="U210" s="2"/>
      <c r="V210" s="7">
        <f t="shared" si="71"/>
        <v>2.7603493020404786E-3</v>
      </c>
      <c r="W210" s="2"/>
      <c r="X210" s="6">
        <f t="shared" si="72"/>
        <v>1742.0899999999965</v>
      </c>
      <c r="Y210" s="2"/>
      <c r="Z210" s="7">
        <f t="shared" si="73"/>
        <v>6.1610482719010817E-2</v>
      </c>
    </row>
    <row r="211" spans="1:26" s="26" customFormat="1" outlineLevel="1" collapsed="1" x14ac:dyDescent="0.25">
      <c r="A211" s="27"/>
      <c r="B211" s="13" t="str">
        <f>CONCATENATE("     ","Interest                                          ")</f>
        <v xml:space="preserve">     Interest                                          </v>
      </c>
      <c r="C211" s="13"/>
      <c r="D211" s="1">
        <f>SUM(OSRRefD22_13x_0)</f>
        <v>4175</v>
      </c>
      <c r="E211" s="1"/>
      <c r="F211" s="5">
        <f t="shared" si="66"/>
        <v>1.7731089673947644E-3</v>
      </c>
      <c r="G211" s="1"/>
      <c r="H211" s="1">
        <f>SUM(OSRRefH22_13x_0)</f>
        <v>4280</v>
      </c>
      <c r="I211" s="1"/>
      <c r="J211" s="5">
        <f t="shared" si="67"/>
        <v>1.5415055797837853E-3</v>
      </c>
      <c r="K211" s="1"/>
      <c r="L211" s="1">
        <f t="shared" si="68"/>
        <v>-105</v>
      </c>
      <c r="M211" s="1"/>
      <c r="N211" s="5">
        <f t="shared" si="69"/>
        <v>-2.4532710280373831E-2</v>
      </c>
      <c r="O211" s="13"/>
      <c r="P211" s="1">
        <f>SUM(OSRRefP22_13x_0)</f>
        <v>29018.95</v>
      </c>
      <c r="Q211" s="1"/>
      <c r="R211" s="5">
        <f t="shared" si="70"/>
        <v>3.0557204727943476E-3</v>
      </c>
      <c r="S211" s="1"/>
      <c r="T211" s="1">
        <f>SUM(OSRRefT22_13x_0)</f>
        <v>29744.899999999998</v>
      </c>
      <c r="U211" s="1"/>
      <c r="V211" s="5">
        <f t="shared" si="71"/>
        <v>2.9037590692793471E-3</v>
      </c>
      <c r="W211" s="1"/>
      <c r="X211" s="1">
        <f t="shared" si="72"/>
        <v>-725.94999999999709</v>
      </c>
      <c r="Y211" s="1"/>
      <c r="Z211" s="5">
        <f t="shared" si="73"/>
        <v>-2.4405864534760485E-2</v>
      </c>
    </row>
    <row r="212" spans="1:26" s="24" customFormat="1" hidden="1" outlineLevel="2" x14ac:dyDescent="0.25">
      <c r="A212" s="25"/>
      <c r="B212" s="11" t="str">
        <f>CONCATENATE("          ", "6401", " - ", "INTEREST EXPENSE")</f>
        <v xml:space="preserve">          6401 - INTEREST EXPENSE</v>
      </c>
      <c r="C212" s="11"/>
      <c r="D212" s="6">
        <v>4175</v>
      </c>
      <c r="E212" s="2"/>
      <c r="F212" s="7">
        <f t="shared" si="66"/>
        <v>1.7731089673947644E-3</v>
      </c>
      <c r="G212" s="2"/>
      <c r="H212" s="6">
        <v>4280</v>
      </c>
      <c r="I212" s="2"/>
      <c r="J212" s="7">
        <f t="shared" si="67"/>
        <v>1.5415055797837853E-3</v>
      </c>
      <c r="K212" s="2"/>
      <c r="L212" s="6">
        <f t="shared" si="68"/>
        <v>-105</v>
      </c>
      <c r="M212" s="2"/>
      <c r="N212" s="7">
        <f t="shared" si="69"/>
        <v>-2.4532710280373831E-2</v>
      </c>
      <c r="O212" s="11"/>
      <c r="P212" s="6">
        <v>29018.95</v>
      </c>
      <c r="Q212" s="2"/>
      <c r="R212" s="7">
        <f t="shared" si="70"/>
        <v>3.0557204727943476E-3</v>
      </c>
      <c r="S212" s="2"/>
      <c r="T212" s="6">
        <v>29744.899999999998</v>
      </c>
      <c r="U212" s="2"/>
      <c r="V212" s="7">
        <f t="shared" si="71"/>
        <v>2.9037590692793471E-3</v>
      </c>
      <c r="W212" s="2"/>
      <c r="X212" s="6">
        <f t="shared" si="72"/>
        <v>-725.94999999999709</v>
      </c>
      <c r="Y212" s="2"/>
      <c r="Z212" s="7">
        <f t="shared" si="73"/>
        <v>-2.4405864534760485E-2</v>
      </c>
    </row>
    <row r="213" spans="1:26" s="26" customFormat="1" outlineLevel="1" collapsed="1" x14ac:dyDescent="0.25">
      <c r="A213" s="27"/>
      <c r="B213" s="13" t="str">
        <f>CONCATENATE("     ","Inventory Adjustment                              ")</f>
        <v xml:space="preserve">     Inventory Adjustment                              </v>
      </c>
      <c r="C213" s="13"/>
      <c r="D213" s="1">
        <f>SUM(OSRRefD22_14x_0)</f>
        <v>4250</v>
      </c>
      <c r="E213" s="1"/>
      <c r="F213" s="5">
        <f t="shared" si="66"/>
        <v>1.8049612242940715E-3</v>
      </c>
      <c r="G213" s="1"/>
      <c r="H213" s="1">
        <f>SUM(OSRRefH22_14x_0)</f>
        <v>8750</v>
      </c>
      <c r="I213" s="1"/>
      <c r="J213" s="5">
        <f t="shared" si="67"/>
        <v>3.1514424820346079E-3</v>
      </c>
      <c r="K213" s="1"/>
      <c r="L213" s="1">
        <f t="shared" si="68"/>
        <v>-4500</v>
      </c>
      <c r="M213" s="1"/>
      <c r="N213" s="5">
        <f t="shared" si="69"/>
        <v>-0.51428571428571423</v>
      </c>
      <c r="O213" s="13"/>
      <c r="P213" s="1">
        <f>SUM(OSRRefP22_14x_0)</f>
        <v>35450</v>
      </c>
      <c r="Q213" s="1"/>
      <c r="R213" s="5">
        <f t="shared" si="70"/>
        <v>3.7329155865584249E-3</v>
      </c>
      <c r="S213" s="1"/>
      <c r="T213" s="1">
        <f>SUM(OSRRefT22_14x_0)</f>
        <v>61250</v>
      </c>
      <c r="U213" s="1"/>
      <c r="V213" s="5">
        <f t="shared" si="71"/>
        <v>5.9793525274369737E-3</v>
      </c>
      <c r="W213" s="1"/>
      <c r="X213" s="1">
        <f t="shared" si="72"/>
        <v>-25800</v>
      </c>
      <c r="Y213" s="1"/>
      <c r="Z213" s="5">
        <f t="shared" si="73"/>
        <v>-0.42122448979591837</v>
      </c>
    </row>
    <row r="214" spans="1:26" s="24" customFormat="1" hidden="1" outlineLevel="2" x14ac:dyDescent="0.25">
      <c r="A214" s="25"/>
      <c r="B214" s="11" t="str">
        <f>CONCATENATE("          ", "6408", " - ", "INVENTORY ADJUSTMENT")</f>
        <v xml:space="preserve">          6408 - INVENTORY ADJUSTMENT</v>
      </c>
      <c r="C214" s="11"/>
      <c r="D214" s="6">
        <v>4250</v>
      </c>
      <c r="E214" s="2"/>
      <c r="F214" s="7">
        <f t="shared" si="66"/>
        <v>1.8049612242940715E-3</v>
      </c>
      <c r="G214" s="2"/>
      <c r="H214" s="6">
        <v>8750</v>
      </c>
      <c r="I214" s="2"/>
      <c r="J214" s="7">
        <f t="shared" si="67"/>
        <v>3.1514424820346079E-3</v>
      </c>
      <c r="K214" s="2"/>
      <c r="L214" s="6">
        <f t="shared" si="68"/>
        <v>-4500</v>
      </c>
      <c r="M214" s="2"/>
      <c r="N214" s="7">
        <f t="shared" si="69"/>
        <v>-0.51428571428571423</v>
      </c>
      <c r="O214" s="11"/>
      <c r="P214" s="6">
        <v>35450</v>
      </c>
      <c r="Q214" s="2"/>
      <c r="R214" s="7">
        <f t="shared" si="70"/>
        <v>3.7329155865584249E-3</v>
      </c>
      <c r="S214" s="2"/>
      <c r="T214" s="6">
        <v>61250</v>
      </c>
      <c r="U214" s="2"/>
      <c r="V214" s="7">
        <f t="shared" si="71"/>
        <v>5.9793525274369737E-3</v>
      </c>
      <c r="W214" s="2"/>
      <c r="X214" s="6">
        <f t="shared" si="72"/>
        <v>-25800</v>
      </c>
      <c r="Y214" s="2"/>
      <c r="Z214" s="7">
        <f t="shared" si="73"/>
        <v>-0.42122448979591837</v>
      </c>
    </row>
    <row r="215" spans="1:26" s="26" customFormat="1" outlineLevel="1" collapsed="1" x14ac:dyDescent="0.25">
      <c r="A215" s="27"/>
      <c r="B215" s="13" t="str">
        <f>CONCATENATE("     ","Professional Services                             ")</f>
        <v xml:space="preserve">     Professional Services                             </v>
      </c>
      <c r="C215" s="13"/>
      <c r="D215" s="1">
        <f>SUM(OSRRefD22_15x_0)</f>
        <v>0</v>
      </c>
      <c r="E215" s="1"/>
      <c r="F215" s="5">
        <f t="shared" si="66"/>
        <v>0</v>
      </c>
      <c r="G215" s="1"/>
      <c r="H215" s="1">
        <f>SUM(OSRRefH22_15x_0)</f>
        <v>0</v>
      </c>
      <c r="I215" s="1"/>
      <c r="J215" s="5">
        <f t="shared" si="67"/>
        <v>0</v>
      </c>
      <c r="K215" s="1"/>
      <c r="L215" s="1">
        <f t="shared" si="68"/>
        <v>0</v>
      </c>
      <c r="M215" s="1"/>
      <c r="N215" s="5">
        <f t="shared" si="69"/>
        <v>0</v>
      </c>
      <c r="O215" s="13"/>
      <c r="P215" s="1">
        <f>SUM(OSRRefP22_15x_0)</f>
        <v>6199.56</v>
      </c>
      <c r="Q215" s="1"/>
      <c r="R215" s="5">
        <f t="shared" si="70"/>
        <v>6.5281901703255713E-4</v>
      </c>
      <c r="S215" s="1"/>
      <c r="T215" s="1">
        <f>SUM(OSRRefT22_15x_0)</f>
        <v>8276.43</v>
      </c>
      <c r="U215" s="1"/>
      <c r="V215" s="5">
        <f t="shared" si="71"/>
        <v>8.0796232879437049E-4</v>
      </c>
      <c r="W215" s="1"/>
      <c r="X215" s="1">
        <f t="shared" si="72"/>
        <v>-2076.87</v>
      </c>
      <c r="Y215" s="1"/>
      <c r="Z215" s="5">
        <f t="shared" si="73"/>
        <v>-0.25093790438631147</v>
      </c>
    </row>
    <row r="216" spans="1:26" s="24" customFormat="1" hidden="1" outlineLevel="2" x14ac:dyDescent="0.25">
      <c r="A216" s="25"/>
      <c r="B216" s="11" t="str">
        <f>CONCATENATE("          ", "6336", " - ", "PROFESSIONAL SERVICES")</f>
        <v xml:space="preserve">          6336 - PROFESSIONAL SERVICES</v>
      </c>
      <c r="C216" s="11"/>
      <c r="D216" s="6"/>
      <c r="E216" s="2"/>
      <c r="F216" s="7">
        <f t="shared" si="66"/>
        <v>0</v>
      </c>
      <c r="G216" s="2"/>
      <c r="H216" s="6"/>
      <c r="I216" s="2"/>
      <c r="J216" s="7">
        <f t="shared" si="67"/>
        <v>0</v>
      </c>
      <c r="K216" s="2"/>
      <c r="L216" s="6">
        <f t="shared" si="68"/>
        <v>0</v>
      </c>
      <c r="M216" s="2"/>
      <c r="N216" s="7">
        <f t="shared" si="69"/>
        <v>0</v>
      </c>
      <c r="O216" s="11"/>
      <c r="P216" s="6">
        <v>6199.56</v>
      </c>
      <c r="Q216" s="2"/>
      <c r="R216" s="7">
        <f t="shared" si="70"/>
        <v>6.5281901703255713E-4</v>
      </c>
      <c r="S216" s="2"/>
      <c r="T216" s="6">
        <v>8276.43</v>
      </c>
      <c r="U216" s="2"/>
      <c r="V216" s="7">
        <f t="shared" si="71"/>
        <v>8.0796232879437049E-4</v>
      </c>
      <c r="W216" s="2"/>
      <c r="X216" s="6">
        <f t="shared" si="72"/>
        <v>-2076.87</v>
      </c>
      <c r="Y216" s="2"/>
      <c r="Z216" s="7">
        <f t="shared" si="73"/>
        <v>-0.25093790438631147</v>
      </c>
    </row>
    <row r="217" spans="1:26" s="26" customFormat="1" outlineLevel="1" collapsed="1" x14ac:dyDescent="0.25">
      <c r="A217" s="27"/>
      <c r="B217" s="13" t="str">
        <f>CONCATENATE("     ","Rent                                              ")</f>
        <v xml:space="preserve">     Rent                                              </v>
      </c>
      <c r="C217" s="13"/>
      <c r="D217" s="1">
        <f>SUM(OSRRefD22_16x_0)</f>
        <v>8850</v>
      </c>
      <c r="E217" s="1"/>
      <c r="F217" s="5">
        <f t="shared" si="66"/>
        <v>3.7585663141182432E-3</v>
      </c>
      <c r="G217" s="1"/>
      <c r="H217" s="1">
        <f>SUM(OSRRefH22_16x_0)</f>
        <v>7250</v>
      </c>
      <c r="I217" s="1"/>
      <c r="J217" s="5">
        <f t="shared" si="67"/>
        <v>2.6111951994001034E-3</v>
      </c>
      <c r="K217" s="1"/>
      <c r="L217" s="1">
        <f t="shared" si="68"/>
        <v>1600</v>
      </c>
      <c r="M217" s="1"/>
      <c r="N217" s="5">
        <f t="shared" si="69"/>
        <v>0.22068965517241379</v>
      </c>
      <c r="O217" s="13"/>
      <c r="P217" s="1">
        <f>SUM(OSRRefP22_16x_0)</f>
        <v>52350</v>
      </c>
      <c r="Q217" s="1"/>
      <c r="R217" s="5">
        <f t="shared" si="70"/>
        <v>5.5125001680206929E-3</v>
      </c>
      <c r="S217" s="1"/>
      <c r="T217" s="1">
        <f>SUM(OSRRefT22_16x_0)</f>
        <v>51650.85</v>
      </c>
      <c r="U217" s="1"/>
      <c r="V217" s="5">
        <f t="shared" si="71"/>
        <v>5.042263518232947E-3</v>
      </c>
      <c r="W217" s="1"/>
      <c r="X217" s="1">
        <f t="shared" si="72"/>
        <v>699.15000000000146</v>
      </c>
      <c r="Y217" s="1"/>
      <c r="Z217" s="5">
        <f t="shared" si="73"/>
        <v>1.3536079270718709E-2</v>
      </c>
    </row>
    <row r="218" spans="1:26" s="24" customFormat="1" hidden="1" outlineLevel="2" x14ac:dyDescent="0.25">
      <c r="A218" s="25"/>
      <c r="B218" s="11" t="str">
        <f>CONCATENATE("          ", "6273", " - ", "RENT")</f>
        <v xml:space="preserve">          6273 - RENT</v>
      </c>
      <c r="C218" s="11"/>
      <c r="D218" s="6">
        <v>8850</v>
      </c>
      <c r="E218" s="2"/>
      <c r="F218" s="7">
        <f t="shared" si="66"/>
        <v>3.7585663141182432E-3</v>
      </c>
      <c r="G218" s="2"/>
      <c r="H218" s="6">
        <v>7250</v>
      </c>
      <c r="I218" s="2"/>
      <c r="J218" s="7">
        <f t="shared" si="67"/>
        <v>2.6111951994001034E-3</v>
      </c>
      <c r="K218" s="2"/>
      <c r="L218" s="6">
        <f t="shared" si="68"/>
        <v>1600</v>
      </c>
      <c r="M218" s="2"/>
      <c r="N218" s="7">
        <f t="shared" si="69"/>
        <v>0.22068965517241379</v>
      </c>
      <c r="O218" s="11"/>
      <c r="P218" s="6">
        <v>52350</v>
      </c>
      <c r="Q218" s="2"/>
      <c r="R218" s="7">
        <f t="shared" si="70"/>
        <v>5.5125001680206929E-3</v>
      </c>
      <c r="S218" s="2"/>
      <c r="T218" s="6">
        <v>51650.85</v>
      </c>
      <c r="U218" s="2"/>
      <c r="V218" s="7">
        <f t="shared" si="71"/>
        <v>5.042263518232947E-3</v>
      </c>
      <c r="W218" s="2"/>
      <c r="X218" s="6">
        <f t="shared" si="72"/>
        <v>699.15000000000146</v>
      </c>
      <c r="Y218" s="2"/>
      <c r="Z218" s="7">
        <f t="shared" si="73"/>
        <v>1.3536079270718709E-2</v>
      </c>
    </row>
    <row r="219" spans="1:26" s="26" customFormat="1" outlineLevel="1" collapsed="1" x14ac:dyDescent="0.25">
      <c r="A219" s="27"/>
      <c r="B219" s="13" t="str">
        <f>CONCATENATE("     ","Repair and Maintenance                            ")</f>
        <v xml:space="preserve">     Repair and Maintenance                            </v>
      </c>
      <c r="C219" s="13"/>
      <c r="D219" s="1">
        <f>SUM(OSRRefD22_17x_0)</f>
        <v>19887.7</v>
      </c>
      <c r="E219" s="1"/>
      <c r="F219" s="5">
        <f t="shared" si="66"/>
        <v>8.4462417271513428E-3</v>
      </c>
      <c r="G219" s="1"/>
      <c r="H219" s="1">
        <f>SUM(OSRRefH22_17x_0)</f>
        <v>11512.21</v>
      </c>
      <c r="I219" s="1"/>
      <c r="J219" s="5">
        <f t="shared" si="67"/>
        <v>4.1462934464118429E-3</v>
      </c>
      <c r="K219" s="1"/>
      <c r="L219" s="1">
        <f t="shared" si="68"/>
        <v>8375.4900000000016</v>
      </c>
      <c r="M219" s="1"/>
      <c r="N219" s="5">
        <f t="shared" si="69"/>
        <v>0.72753103009760955</v>
      </c>
      <c r="O219" s="13"/>
      <c r="P219" s="1">
        <f>SUM(OSRRefP22_17x_0)</f>
        <v>116428.81</v>
      </c>
      <c r="Q219" s="1"/>
      <c r="R219" s="5">
        <f t="shared" si="70"/>
        <v>1.2260054148757388E-2</v>
      </c>
      <c r="S219" s="1"/>
      <c r="T219" s="1">
        <f>SUM(OSRRefT22_17x_0)</f>
        <v>140080.79</v>
      </c>
      <c r="U219" s="1"/>
      <c r="V219" s="5">
        <f t="shared" si="71"/>
        <v>1.3674978379295804E-2</v>
      </c>
      <c r="W219" s="1"/>
      <c r="X219" s="1">
        <f t="shared" si="72"/>
        <v>-23651.98000000001</v>
      </c>
      <c r="Y219" s="1"/>
      <c r="Z219" s="5">
        <f t="shared" si="73"/>
        <v>-0.16884527849964301</v>
      </c>
    </row>
    <row r="220" spans="1:26" s="24" customFormat="1" hidden="1" outlineLevel="2" x14ac:dyDescent="0.25">
      <c r="A220" s="25"/>
      <c r="B220" s="11" t="str">
        <f>CONCATENATE("          ", "6371", " - ", "COMPUTER SOFTWARE MAINTENANCE")</f>
        <v xml:space="preserve">          6371 - COMPUTER SOFTWARE MAINTENANCE</v>
      </c>
      <c r="C220" s="11"/>
      <c r="D220" s="6">
        <v>601</v>
      </c>
      <c r="E220" s="2"/>
      <c r="F220" s="7">
        <f t="shared" si="66"/>
        <v>2.5524275195311461E-4</v>
      </c>
      <c r="G220" s="2"/>
      <c r="H220" s="6">
        <v>601</v>
      </c>
      <c r="I220" s="2"/>
      <c r="J220" s="7">
        <f t="shared" si="67"/>
        <v>2.1645907790889134E-4</v>
      </c>
      <c r="K220" s="2"/>
      <c r="L220" s="6">
        <f t="shared" si="68"/>
        <v>0</v>
      </c>
      <c r="M220" s="2"/>
      <c r="N220" s="7">
        <f t="shared" si="69"/>
        <v>0</v>
      </c>
      <c r="O220" s="11"/>
      <c r="P220" s="6">
        <v>15866.329999999998</v>
      </c>
      <c r="Q220" s="2"/>
      <c r="R220" s="7">
        <f t="shared" si="70"/>
        <v>1.6707382386030897E-3</v>
      </c>
      <c r="S220" s="2"/>
      <c r="T220" s="6">
        <v>50638.83</v>
      </c>
      <c r="U220" s="2"/>
      <c r="V220" s="7">
        <f t="shared" si="71"/>
        <v>4.9434680187257348E-3</v>
      </c>
      <c r="W220" s="2"/>
      <c r="X220" s="6">
        <f t="shared" si="72"/>
        <v>-34772.5</v>
      </c>
      <c r="Y220" s="2"/>
      <c r="Z220" s="7">
        <f t="shared" si="73"/>
        <v>-0.68667660765463967</v>
      </c>
    </row>
    <row r="221" spans="1:26" s="24" customFormat="1" hidden="1" outlineLevel="2" x14ac:dyDescent="0.25">
      <c r="A221" s="25"/>
      <c r="B221" s="11" t="str">
        <f>CONCATENATE("          ", "6372", " - ", "COMPUTER HARDWARE MAINTENANCE")</f>
        <v xml:space="preserve">          6372 - COMPUTER HARDWARE MAINTENANCE</v>
      </c>
      <c r="C221" s="11"/>
      <c r="D221" s="6">
        <v>52.32</v>
      </c>
      <c r="E221" s="2"/>
      <c r="F221" s="7">
        <f t="shared" si="66"/>
        <v>2.2220134412956664E-5</v>
      </c>
      <c r="G221" s="2"/>
      <c r="H221" s="6">
        <v>49.56</v>
      </c>
      <c r="I221" s="2"/>
      <c r="J221" s="7">
        <f t="shared" si="67"/>
        <v>1.784977021824402E-5</v>
      </c>
      <c r="K221" s="2"/>
      <c r="L221" s="6">
        <f t="shared" si="68"/>
        <v>2.759999999999998</v>
      </c>
      <c r="M221" s="2"/>
      <c r="N221" s="7">
        <f t="shared" si="69"/>
        <v>5.5690072639225138E-2</v>
      </c>
      <c r="O221" s="11"/>
      <c r="P221" s="6">
        <v>52.32</v>
      </c>
      <c r="Q221" s="2"/>
      <c r="R221" s="7">
        <f t="shared" si="70"/>
        <v>5.5093411421364404E-6</v>
      </c>
      <c r="S221" s="2"/>
      <c r="T221" s="6">
        <v>49.56</v>
      </c>
      <c r="U221" s="2"/>
      <c r="V221" s="7">
        <f t="shared" si="71"/>
        <v>4.8381503879147171E-6</v>
      </c>
      <c r="W221" s="2"/>
      <c r="X221" s="6">
        <f t="shared" si="72"/>
        <v>2.759999999999998</v>
      </c>
      <c r="Y221" s="2"/>
      <c r="Z221" s="7">
        <f t="shared" si="73"/>
        <v>5.5690072639225138E-2</v>
      </c>
    </row>
    <row r="222" spans="1:26" s="24" customFormat="1" hidden="1" outlineLevel="2" x14ac:dyDescent="0.25">
      <c r="A222" s="25"/>
      <c r="B222" s="11" t="str">
        <f>CONCATENATE("          ", "6373", " - ", "MAINTENANCE CONTRACTS")</f>
        <v xml:space="preserve">          6373 - MAINTENANCE CONTRACTS</v>
      </c>
      <c r="C222" s="11"/>
      <c r="D222" s="6">
        <v>12841.11</v>
      </c>
      <c r="E222" s="2"/>
      <c r="F222" s="7">
        <f t="shared" si="66"/>
        <v>5.4535777945634934E-3</v>
      </c>
      <c r="G222" s="2"/>
      <c r="H222" s="6">
        <v>8279.82</v>
      </c>
      <c r="I222" s="2"/>
      <c r="J222" s="7">
        <f t="shared" si="67"/>
        <v>2.9821001704685469E-3</v>
      </c>
      <c r="K222" s="2"/>
      <c r="L222" s="6">
        <f t="shared" si="68"/>
        <v>4561.2900000000009</v>
      </c>
      <c r="M222" s="2"/>
      <c r="N222" s="7">
        <f t="shared" si="69"/>
        <v>0.55089241070458062</v>
      </c>
      <c r="O222" s="11"/>
      <c r="P222" s="6">
        <v>53122.12</v>
      </c>
      <c r="Q222" s="2"/>
      <c r="R222" s="7">
        <f t="shared" si="70"/>
        <v>5.5938050702123284E-3</v>
      </c>
      <c r="S222" s="2"/>
      <c r="T222" s="6">
        <v>60492.800000000003</v>
      </c>
      <c r="U222" s="2"/>
      <c r="V222" s="7">
        <f t="shared" si="71"/>
        <v>5.9054330868855403E-3</v>
      </c>
      <c r="W222" s="2"/>
      <c r="X222" s="6">
        <f t="shared" si="72"/>
        <v>-7370.68</v>
      </c>
      <c r="Y222" s="2"/>
      <c r="Z222" s="7">
        <f t="shared" si="73"/>
        <v>-0.1218439219212865</v>
      </c>
    </row>
    <row r="223" spans="1:26" s="24" customFormat="1" hidden="1" outlineLevel="2" x14ac:dyDescent="0.25">
      <c r="A223" s="25"/>
      <c r="B223" s="11" t="str">
        <f>CONCATENATE("          ", "6375", " - ", "OUTSIDE REPAIRS &amp; MAINTENANCE")</f>
        <v xml:space="preserve">          6375 - OUTSIDE REPAIRS &amp; MAINTENANCE</v>
      </c>
      <c r="C223" s="11"/>
      <c r="D223" s="6">
        <v>6393.27</v>
      </c>
      <c r="E223" s="2"/>
      <c r="F223" s="7">
        <f t="shared" si="66"/>
        <v>2.715201046221779E-3</v>
      </c>
      <c r="G223" s="2"/>
      <c r="H223" s="6">
        <v>2581.83</v>
      </c>
      <c r="I223" s="2"/>
      <c r="J223" s="7">
        <f t="shared" si="67"/>
        <v>9.2988442781616126E-4</v>
      </c>
      <c r="K223" s="2"/>
      <c r="L223" s="6">
        <f t="shared" si="68"/>
        <v>3811.4400000000005</v>
      </c>
      <c r="M223" s="2"/>
      <c r="N223" s="7">
        <f t="shared" si="69"/>
        <v>1.4762552143247234</v>
      </c>
      <c r="O223" s="11"/>
      <c r="P223" s="6">
        <v>47388.04</v>
      </c>
      <c r="Q223" s="2"/>
      <c r="R223" s="7">
        <f t="shared" si="70"/>
        <v>4.9900014987998339E-3</v>
      </c>
      <c r="S223" s="2"/>
      <c r="T223" s="6">
        <v>28899.599999999999</v>
      </c>
      <c r="U223" s="2"/>
      <c r="V223" s="7">
        <f t="shared" si="71"/>
        <v>2.8212391232966131E-3</v>
      </c>
      <c r="W223" s="2"/>
      <c r="X223" s="6">
        <f t="shared" si="72"/>
        <v>18488.440000000002</v>
      </c>
      <c r="Y223" s="2"/>
      <c r="Z223" s="7">
        <f t="shared" si="73"/>
        <v>0.63974726293789541</v>
      </c>
    </row>
    <row r="224" spans="1:26" s="26" customFormat="1" outlineLevel="1" collapsed="1" x14ac:dyDescent="0.25">
      <c r="A224" s="27"/>
      <c r="B224" s="13" t="str">
        <f>CONCATENATE("     ","Royalty &amp; Commissions                             ")</f>
        <v xml:space="preserve">     Royalty &amp; Commissions                             </v>
      </c>
      <c r="C224" s="13"/>
      <c r="D224" s="1">
        <f>SUM(OSRRefD22_18x_0)</f>
        <v>8601.39</v>
      </c>
      <c r="E224" s="1"/>
      <c r="F224" s="5">
        <f t="shared" ref="F224:F227" si="74">IF(D$12=0,0,D224/D$12)</f>
        <v>3.6529824529484196E-3</v>
      </c>
      <c r="G224" s="1"/>
      <c r="H224" s="1">
        <f>SUM(OSRRefH22_18x_0)</f>
        <v>15405.41</v>
      </c>
      <c r="I224" s="1"/>
      <c r="J224" s="5">
        <f t="shared" ref="J224:J227" si="75">IF(H$12=0,0,H224/H$12)</f>
        <v>5.548487260246945E-3</v>
      </c>
      <c r="K224" s="1"/>
      <c r="L224" s="1">
        <f t="shared" ref="L224:L227" si="76">+D224-H224</f>
        <v>-6804.02</v>
      </c>
      <c r="M224" s="1"/>
      <c r="N224" s="5">
        <f t="shared" ref="N224:N227" si="77">IF(H224=0,0,L224/H224)</f>
        <v>-0.44166432441590325</v>
      </c>
      <c r="O224" s="13"/>
      <c r="P224" s="1">
        <f>SUM(OSRRefP22_18x_0)</f>
        <v>87426.95</v>
      </c>
      <c r="Q224" s="1"/>
      <c r="R224" s="5">
        <f t="shared" ref="R224:R227" si="78">IF(P$12=0,0,P224/P$12)</f>
        <v>9.206133267708437E-3</v>
      </c>
      <c r="S224" s="1"/>
      <c r="T224" s="1">
        <f>SUM(OSRRefT22_18x_0)</f>
        <v>113113.85</v>
      </c>
      <c r="U224" s="1"/>
      <c r="V224" s="5">
        <f t="shared" ref="V224:V227" si="79">IF(T$12=0,0,T224/T$12)</f>
        <v>1.1042409549153089E-2</v>
      </c>
      <c r="W224" s="1"/>
      <c r="X224" s="1">
        <f t="shared" ref="X224:X227" si="80">+P224-T224</f>
        <v>-25686.900000000009</v>
      </c>
      <c r="Y224" s="1"/>
      <c r="Z224" s="5">
        <f t="shared" ref="Z224:Z227" si="81">IF(T224=0,0,X224/T224)</f>
        <v>-0.22708890202216622</v>
      </c>
    </row>
    <row r="225" spans="1:26" s="24" customFormat="1" hidden="1" outlineLevel="2" x14ac:dyDescent="0.25">
      <c r="A225" s="25"/>
      <c r="B225" s="11" t="str">
        <f>CONCATENATE("          ", "6253", " - ", "ROYALTY DUE ATHLETICS-LRG")</f>
        <v xml:space="preserve">          6253 - ROYALTY DUE ATHLETICS-LRG</v>
      </c>
      <c r="C225" s="11"/>
      <c r="D225" s="6"/>
      <c r="E225" s="2"/>
      <c r="F225" s="7">
        <f t="shared" si="74"/>
        <v>0</v>
      </c>
      <c r="G225" s="2"/>
      <c r="H225" s="6">
        <v>9007.2199999999993</v>
      </c>
      <c r="I225" s="2"/>
      <c r="J225" s="7">
        <f t="shared" si="75"/>
        <v>3.2440840860607722E-3</v>
      </c>
      <c r="K225" s="2"/>
      <c r="L225" s="6">
        <f t="shared" si="76"/>
        <v>-9007.2199999999993</v>
      </c>
      <c r="M225" s="2"/>
      <c r="N225" s="7">
        <f t="shared" si="77"/>
        <v>-1</v>
      </c>
      <c r="O225" s="11"/>
      <c r="P225" s="6">
        <v>4366.95</v>
      </c>
      <c r="Q225" s="2"/>
      <c r="R225" s="7">
        <f t="shared" si="78"/>
        <v>4.5984360284122186E-4</v>
      </c>
      <c r="S225" s="2"/>
      <c r="T225" s="6">
        <v>35179.64</v>
      </c>
      <c r="U225" s="2"/>
      <c r="V225" s="7">
        <f t="shared" si="79"/>
        <v>3.4343097036460871E-3</v>
      </c>
      <c r="W225" s="2"/>
      <c r="X225" s="6">
        <f t="shared" si="80"/>
        <v>-30812.69</v>
      </c>
      <c r="Y225" s="2"/>
      <c r="Z225" s="7">
        <f t="shared" si="81"/>
        <v>-0.87586712086877516</v>
      </c>
    </row>
    <row r="226" spans="1:26" s="24" customFormat="1" hidden="1" outlineLevel="2" x14ac:dyDescent="0.25">
      <c r="A226" s="25"/>
      <c r="B226" s="11" t="str">
        <f>CONCATENATE("          ", "6254", " - ", "ROYALTY &amp; COMMISSIONS")</f>
        <v xml:space="preserve">          6254 - ROYALTY &amp; COMMISSIONS</v>
      </c>
      <c r="C226" s="11"/>
      <c r="D226" s="6">
        <v>760.81</v>
      </c>
      <c r="E226" s="2"/>
      <c r="F226" s="7">
        <f t="shared" si="74"/>
        <v>3.2311354095415824E-4</v>
      </c>
      <c r="G226" s="2"/>
      <c r="H226" s="6">
        <v>838.03</v>
      </c>
      <c r="I226" s="2"/>
      <c r="J226" s="7">
        <f t="shared" si="75"/>
        <v>3.0182895351079568E-4</v>
      </c>
      <c r="K226" s="2"/>
      <c r="L226" s="6">
        <f t="shared" si="76"/>
        <v>-77.220000000000027</v>
      </c>
      <c r="M226" s="2"/>
      <c r="N226" s="7">
        <f t="shared" si="77"/>
        <v>-9.214467262508505E-2</v>
      </c>
      <c r="O226" s="11"/>
      <c r="P226" s="6">
        <v>18659.439999999999</v>
      </c>
      <c r="Q226" s="2"/>
      <c r="R226" s="7">
        <f t="shared" si="78"/>
        <v>1.9648551315219107E-3</v>
      </c>
      <c r="S226" s="2"/>
      <c r="T226" s="6">
        <v>17123.82</v>
      </c>
      <c r="U226" s="2"/>
      <c r="V226" s="7">
        <f t="shared" si="79"/>
        <v>1.6716629615734823E-3</v>
      </c>
      <c r="W226" s="2"/>
      <c r="X226" s="6">
        <f t="shared" si="80"/>
        <v>1535.619999999999</v>
      </c>
      <c r="Y226" s="2"/>
      <c r="Z226" s="7">
        <f t="shared" si="81"/>
        <v>8.9677420108363617E-2</v>
      </c>
    </row>
    <row r="227" spans="1:26" s="24" customFormat="1" hidden="1" outlineLevel="2" x14ac:dyDescent="0.25">
      <c r="A227" s="25"/>
      <c r="B227" s="11" t="str">
        <f>CONCATENATE("          ", "6259", " - ", "ROYALTY &amp; COMMISSIONS")</f>
        <v xml:space="preserve">          6259 - ROYALTY &amp; COMMISSIONS</v>
      </c>
      <c r="C227" s="11"/>
      <c r="D227" s="6">
        <v>7840.58</v>
      </c>
      <c r="E227" s="2"/>
      <c r="F227" s="7">
        <f t="shared" si="74"/>
        <v>3.3298689119942615E-3</v>
      </c>
      <c r="G227" s="2"/>
      <c r="H227" s="6">
        <v>5560.16</v>
      </c>
      <c r="I227" s="2"/>
      <c r="J227" s="7">
        <f t="shared" si="75"/>
        <v>2.0025742206753764E-3</v>
      </c>
      <c r="K227" s="2"/>
      <c r="L227" s="6">
        <f t="shared" si="76"/>
        <v>2280.42</v>
      </c>
      <c r="M227" s="2"/>
      <c r="N227" s="7">
        <f t="shared" si="77"/>
        <v>0.41013567954878999</v>
      </c>
      <c r="O227" s="11"/>
      <c r="P227" s="6">
        <v>64400.56</v>
      </c>
      <c r="Q227" s="2"/>
      <c r="R227" s="7">
        <f t="shared" si="78"/>
        <v>6.7814345333453048E-3</v>
      </c>
      <c r="S227" s="2"/>
      <c r="T227" s="6">
        <v>60810.39</v>
      </c>
      <c r="U227" s="2"/>
      <c r="V227" s="7">
        <f t="shared" si="79"/>
        <v>5.9364368839335191E-3</v>
      </c>
      <c r="W227" s="2"/>
      <c r="X227" s="6">
        <f t="shared" si="80"/>
        <v>3590.1699999999983</v>
      </c>
      <c r="Y227" s="2"/>
      <c r="Z227" s="7">
        <f t="shared" si="81"/>
        <v>5.9038759659327929E-2</v>
      </c>
    </row>
    <row r="228" spans="1:26" s="26" customFormat="1" outlineLevel="1" collapsed="1" x14ac:dyDescent="0.25">
      <c r="A228" s="27"/>
      <c r="B228" s="13" t="str">
        <f>CONCATENATE("     ","Services                                          ")</f>
        <v xml:space="preserve">     Services                                          </v>
      </c>
      <c r="C228" s="13"/>
      <c r="D228" s="1">
        <f>SUM(OSRRefD22_19x_0)</f>
        <v>6650.81</v>
      </c>
      <c r="E228" s="1"/>
      <c r="F228" s="5">
        <f t="shared" ref="F228:F233" si="82">IF(D$12=0,0,D228/D$12)</f>
        <v>2.8245774494464128E-3</v>
      </c>
      <c r="G228" s="1"/>
      <c r="H228" s="1">
        <f>SUM(OSRRefH22_19x_0)</f>
        <v>6259.4100000000008</v>
      </c>
      <c r="I228" s="1"/>
      <c r="J228" s="5">
        <f t="shared" ref="J228:J233" si="83">IF(H$12=0,0,H228/H$12)</f>
        <v>2.254419495596828E-3</v>
      </c>
      <c r="K228" s="1"/>
      <c r="L228" s="1">
        <f t="shared" ref="L228:L233" si="84">+D228-H228</f>
        <v>391.39999999999964</v>
      </c>
      <c r="M228" s="1"/>
      <c r="N228" s="5">
        <f t="shared" ref="N228:N233" si="85">IF(H228=0,0,L228/H228)</f>
        <v>6.2529855050236297E-2</v>
      </c>
      <c r="O228" s="13"/>
      <c r="P228" s="1">
        <f>SUM(OSRRefP22_19x_0)</f>
        <v>44839.040000000001</v>
      </c>
      <c r="Q228" s="1"/>
      <c r="R228" s="5">
        <f t="shared" ref="R228:R233" si="86">IF(P$12=0,0,P228/P$12)</f>
        <v>4.7215895995011761E-3</v>
      </c>
      <c r="S228" s="1"/>
      <c r="T228" s="1">
        <f>SUM(OSRRefT22_19x_0)</f>
        <v>42038.45</v>
      </c>
      <c r="U228" s="1"/>
      <c r="V228" s="5">
        <f t="shared" ref="V228:V233" si="87">IF(T$12=0,0,T228/T$12)</f>
        <v>4.1038810164413519E-3</v>
      </c>
      <c r="W228" s="1"/>
      <c r="X228" s="1">
        <f t="shared" ref="X228:X233" si="88">+P228-T228</f>
        <v>2800.5900000000038</v>
      </c>
      <c r="Y228" s="1"/>
      <c r="Z228" s="5">
        <f t="shared" ref="Z228:Z233" si="89">IF(T228=0,0,X228/T228)</f>
        <v>6.6619725513190994E-2</v>
      </c>
    </row>
    <row r="229" spans="1:26" s="24" customFormat="1" hidden="1" outlineLevel="2" x14ac:dyDescent="0.25">
      <c r="A229" s="25"/>
      <c r="B229" s="11" t="str">
        <f>CONCATENATE("          ", "6282", " - ", "JANITORIAL/EXTERMINATOR EXPENS")</f>
        <v xml:space="preserve">          6282 - JANITORIAL/EXTERMINATOR EXPENS</v>
      </c>
      <c r="C229" s="11"/>
      <c r="D229" s="6">
        <v>773.26</v>
      </c>
      <c r="E229" s="2"/>
      <c r="F229" s="7">
        <f t="shared" si="82"/>
        <v>3.2840101559944326E-4</v>
      </c>
      <c r="G229" s="2"/>
      <c r="H229" s="6">
        <v>892.59</v>
      </c>
      <c r="I229" s="2"/>
      <c r="J229" s="7">
        <f t="shared" si="83"/>
        <v>3.2147954800448809E-4</v>
      </c>
      <c r="K229" s="2"/>
      <c r="L229" s="6">
        <f t="shared" si="84"/>
        <v>-119.33000000000004</v>
      </c>
      <c r="M229" s="2"/>
      <c r="N229" s="7">
        <f t="shared" si="85"/>
        <v>-0.1336895999282986</v>
      </c>
      <c r="O229" s="11"/>
      <c r="P229" s="6">
        <v>6523.89</v>
      </c>
      <c r="Q229" s="2"/>
      <c r="R229" s="7">
        <f t="shared" si="86"/>
        <v>6.8697124586721144E-4</v>
      </c>
      <c r="S229" s="2"/>
      <c r="T229" s="6">
        <v>5414.33</v>
      </c>
      <c r="U229" s="2"/>
      <c r="V229" s="7">
        <f t="shared" si="87"/>
        <v>5.2855816767147473E-4</v>
      </c>
      <c r="W229" s="2"/>
      <c r="X229" s="6">
        <f t="shared" si="88"/>
        <v>1109.5600000000004</v>
      </c>
      <c r="Y229" s="2"/>
      <c r="Z229" s="7">
        <f t="shared" si="89"/>
        <v>0.20493024991088471</v>
      </c>
    </row>
    <row r="230" spans="1:26" s="24" customFormat="1" hidden="1" outlineLevel="2" x14ac:dyDescent="0.25">
      <c r="A230" s="25"/>
      <c r="B230" s="11" t="str">
        <f>CONCATENATE("          ", "6283", " - ", "PLANT SERVICE")</f>
        <v xml:space="preserve">          6283 - PLANT SERVICE</v>
      </c>
      <c r="C230" s="11"/>
      <c r="D230" s="6"/>
      <c r="E230" s="2"/>
      <c r="F230" s="7">
        <f t="shared" si="82"/>
        <v>0</v>
      </c>
      <c r="G230" s="2"/>
      <c r="H230" s="6">
        <v>173</v>
      </c>
      <c r="I230" s="2"/>
      <c r="J230" s="7">
        <f t="shared" si="83"/>
        <v>6.2308519930512815E-5</v>
      </c>
      <c r="K230" s="2"/>
      <c r="L230" s="6">
        <f t="shared" si="84"/>
        <v>-173</v>
      </c>
      <c r="M230" s="2"/>
      <c r="N230" s="7">
        <f t="shared" si="85"/>
        <v>-1</v>
      </c>
      <c r="O230" s="11"/>
      <c r="P230" s="6">
        <v>541.98</v>
      </c>
      <c r="Q230" s="2"/>
      <c r="R230" s="7">
        <f t="shared" si="86"/>
        <v>5.7070961624906495E-5</v>
      </c>
      <c r="S230" s="2"/>
      <c r="T230" s="6">
        <v>1333.5</v>
      </c>
      <c r="U230" s="2"/>
      <c r="V230" s="7">
        <f t="shared" si="87"/>
        <v>1.3017904645448497E-4</v>
      </c>
      <c r="W230" s="2"/>
      <c r="X230" s="6">
        <f t="shared" si="88"/>
        <v>-791.52</v>
      </c>
      <c r="Y230" s="2"/>
      <c r="Z230" s="7">
        <f t="shared" si="89"/>
        <v>-0.5935658042744657</v>
      </c>
    </row>
    <row r="231" spans="1:26" s="24" customFormat="1" hidden="1" outlineLevel="2" x14ac:dyDescent="0.25">
      <c r="A231" s="25"/>
      <c r="B231" s="11" t="str">
        <f>CONCATENATE("          ", "6284", " - ", "TRASH REMOVAL EXPENSE")</f>
        <v xml:space="preserve">          6284 - TRASH REMOVAL EXPENSE</v>
      </c>
      <c r="C231" s="11"/>
      <c r="D231" s="6">
        <v>423.82</v>
      </c>
      <c r="E231" s="2"/>
      <c r="F231" s="7">
        <f t="shared" si="82"/>
        <v>1.799949802541914E-4</v>
      </c>
      <c r="G231" s="2"/>
      <c r="H231" s="6">
        <v>358.46</v>
      </c>
      <c r="I231" s="2"/>
      <c r="J231" s="7">
        <f t="shared" si="83"/>
        <v>1.2910469395544292E-4</v>
      </c>
      <c r="K231" s="2"/>
      <c r="L231" s="6">
        <f t="shared" si="84"/>
        <v>65.360000000000014</v>
      </c>
      <c r="M231" s="2"/>
      <c r="N231" s="7">
        <f t="shared" si="85"/>
        <v>0.18233554650449149</v>
      </c>
      <c r="O231" s="11"/>
      <c r="P231" s="6">
        <v>2965.74</v>
      </c>
      <c r="Q231" s="2"/>
      <c r="R231" s="7">
        <f t="shared" si="86"/>
        <v>3.1229498086543815E-4</v>
      </c>
      <c r="S231" s="2"/>
      <c r="T231" s="6">
        <v>3079.95</v>
      </c>
      <c r="U231" s="2"/>
      <c r="V231" s="7">
        <f t="shared" si="87"/>
        <v>3.006711317041552E-4</v>
      </c>
      <c r="W231" s="2"/>
      <c r="X231" s="6">
        <f t="shared" si="88"/>
        <v>-114.21000000000004</v>
      </c>
      <c r="Y231" s="2"/>
      <c r="Z231" s="7">
        <f t="shared" si="89"/>
        <v>-3.7081770807967679E-2</v>
      </c>
    </row>
    <row r="232" spans="1:26" s="24" customFormat="1" hidden="1" outlineLevel="2" x14ac:dyDescent="0.25">
      <c r="A232" s="25"/>
      <c r="B232" s="11" t="str">
        <f>CONCATENATE("          ", "6285", " - ", "JANITORIAL SERVICES")</f>
        <v xml:space="preserve">          6285 - JANITORIAL SERVICES</v>
      </c>
      <c r="C232" s="11"/>
      <c r="D232" s="6">
        <v>4570.0600000000004</v>
      </c>
      <c r="E232" s="2"/>
      <c r="F232" s="7">
        <f t="shared" si="82"/>
        <v>1.9408896688699684E-3</v>
      </c>
      <c r="G232" s="2"/>
      <c r="H232" s="6">
        <v>4241.93</v>
      </c>
      <c r="I232" s="2"/>
      <c r="J232" s="7">
        <f t="shared" si="83"/>
        <v>1.5277941037505217E-3</v>
      </c>
      <c r="K232" s="2"/>
      <c r="L232" s="6">
        <f t="shared" si="84"/>
        <v>328.13000000000011</v>
      </c>
      <c r="M232" s="2"/>
      <c r="N232" s="7">
        <f t="shared" si="85"/>
        <v>7.7353940305474184E-2</v>
      </c>
      <c r="O232" s="11"/>
      <c r="P232" s="6">
        <v>29663.420000000002</v>
      </c>
      <c r="Q232" s="2"/>
      <c r="R232" s="7">
        <f t="shared" si="86"/>
        <v>3.1235837198484886E-3</v>
      </c>
      <c r="S232" s="2"/>
      <c r="T232" s="6">
        <v>27771.56</v>
      </c>
      <c r="U232" s="2"/>
      <c r="V232" s="7">
        <f t="shared" si="87"/>
        <v>2.7111175098264093E-3</v>
      </c>
      <c r="W232" s="2"/>
      <c r="X232" s="6">
        <f t="shared" si="88"/>
        <v>1891.8600000000006</v>
      </c>
      <c r="Y232" s="2"/>
      <c r="Z232" s="7">
        <f t="shared" si="89"/>
        <v>6.8122208475145093E-2</v>
      </c>
    </row>
    <row r="233" spans="1:26" s="24" customFormat="1" hidden="1" outlineLevel="2" x14ac:dyDescent="0.25">
      <c r="A233" s="25"/>
      <c r="B233" s="11" t="str">
        <f>CONCATENATE("          ", "6286", " - ", "LAUNDRY EXPENSE")</f>
        <v xml:space="preserve">          6286 - LAUNDRY EXPENSE</v>
      </c>
      <c r="C233" s="11"/>
      <c r="D233" s="6">
        <v>883.67</v>
      </c>
      <c r="E233" s="2"/>
      <c r="F233" s="7">
        <f t="shared" si="82"/>
        <v>3.7529178472280993E-4</v>
      </c>
      <c r="G233" s="2"/>
      <c r="H233" s="6">
        <v>593.42999999999995</v>
      </c>
      <c r="I233" s="2"/>
      <c r="J233" s="7">
        <f t="shared" si="83"/>
        <v>2.1373262995586252E-4</v>
      </c>
      <c r="K233" s="2"/>
      <c r="L233" s="6">
        <f t="shared" si="84"/>
        <v>290.24</v>
      </c>
      <c r="M233" s="2"/>
      <c r="N233" s="7">
        <f t="shared" si="85"/>
        <v>0.4890888563099271</v>
      </c>
      <c r="O233" s="11"/>
      <c r="P233" s="6">
        <v>5144.01</v>
      </c>
      <c r="Q233" s="2"/>
      <c r="R233" s="7">
        <f t="shared" si="86"/>
        <v>5.4166869129513131E-4</v>
      </c>
      <c r="S233" s="2"/>
      <c r="T233" s="6">
        <v>4439.1099999999997</v>
      </c>
      <c r="U233" s="2"/>
      <c r="V233" s="7">
        <f t="shared" si="87"/>
        <v>4.3335516078482844E-4</v>
      </c>
      <c r="W233" s="2"/>
      <c r="X233" s="6">
        <f t="shared" si="88"/>
        <v>704.90000000000055</v>
      </c>
      <c r="Y233" s="2"/>
      <c r="Z233" s="7">
        <f t="shared" si="89"/>
        <v>0.15879309140796255</v>
      </c>
    </row>
    <row r="234" spans="1:26" s="26" customFormat="1" outlineLevel="1" collapsed="1" x14ac:dyDescent="0.25">
      <c r="A234" s="27"/>
      <c r="B234" s="13" t="str">
        <f>CONCATENATE("     ","Subscriptions &amp; Dues                              ")</f>
        <v xml:space="preserve">     Subscriptions &amp; Dues                              </v>
      </c>
      <c r="C234" s="13"/>
      <c r="D234" s="1">
        <f>SUM(OSRRefD22_20x_0)</f>
        <v>509.5</v>
      </c>
      <c r="E234" s="1"/>
      <c r="F234" s="5">
        <f t="shared" ref="F234:F236" si="90">IF(D$12=0,0,D234/D$12)</f>
        <v>2.1638299853595988E-4</v>
      </c>
      <c r="G234" s="1"/>
      <c r="H234" s="1">
        <f>SUM(OSRRefH22_20x_0)</f>
        <v>2755.9</v>
      </c>
      <c r="I234" s="1"/>
      <c r="J234" s="5">
        <f t="shared" ref="J234:J236" si="91">IF(H$12=0,0,H234/H$12)</f>
        <v>9.9257832414162005E-4</v>
      </c>
      <c r="K234" s="1"/>
      <c r="L234" s="1">
        <f t="shared" ref="L234:L236" si="92">+D234-H234</f>
        <v>-2246.4</v>
      </c>
      <c r="M234" s="1"/>
      <c r="N234" s="5">
        <f t="shared" ref="N234:N236" si="93">IF(H234=0,0,L234/H234)</f>
        <v>-0.81512391596211764</v>
      </c>
      <c r="O234" s="13"/>
      <c r="P234" s="1">
        <f>SUM(OSRRefP22_20x_0)</f>
        <v>4035.66</v>
      </c>
      <c r="Q234" s="1"/>
      <c r="R234" s="5">
        <f t="shared" ref="R234:R236" si="94">IF(P$12=0,0,P234/P$12)</f>
        <v>4.2495848000142095E-4</v>
      </c>
      <c r="S234" s="1"/>
      <c r="T234" s="1">
        <f>SUM(OSRRefT22_20x_0)</f>
        <v>14093.29</v>
      </c>
      <c r="U234" s="1"/>
      <c r="V234" s="5">
        <f t="shared" ref="V234:V236" si="95">IF(T$12=0,0,T234/T$12)</f>
        <v>1.3758163131657507E-3</v>
      </c>
      <c r="W234" s="1"/>
      <c r="X234" s="1">
        <f t="shared" ref="X234:X236" si="96">+P234-T234</f>
        <v>-10057.630000000001</v>
      </c>
      <c r="Y234" s="1"/>
      <c r="Z234" s="5">
        <f t="shared" ref="Z234:Z236" si="97">IF(T234=0,0,X234/T234)</f>
        <v>-0.7136467070499507</v>
      </c>
    </row>
    <row r="235" spans="1:26" s="24" customFormat="1" hidden="1" outlineLevel="2" x14ac:dyDescent="0.25">
      <c r="A235" s="25"/>
      <c r="B235" s="11" t="str">
        <f>CONCATENATE("          ", "6258", " - ", "MEMBERSHIP DUES")</f>
        <v xml:space="preserve">          6258 - MEMBERSHIP DUES</v>
      </c>
      <c r="C235" s="11"/>
      <c r="D235" s="6">
        <v>258.10000000000002</v>
      </c>
      <c r="E235" s="2"/>
      <c r="F235" s="7">
        <f t="shared" si="90"/>
        <v>1.0961423340948233E-4</v>
      </c>
      <c r="G235" s="2"/>
      <c r="H235" s="6">
        <v>506.4</v>
      </c>
      <c r="I235" s="2"/>
      <c r="J235" s="7">
        <f t="shared" si="91"/>
        <v>1.823874826174086E-4</v>
      </c>
      <c r="K235" s="2"/>
      <c r="L235" s="6">
        <f t="shared" si="92"/>
        <v>-248.29999999999995</v>
      </c>
      <c r="M235" s="2"/>
      <c r="N235" s="7">
        <f t="shared" si="93"/>
        <v>-0.4903238546603475</v>
      </c>
      <c r="O235" s="11"/>
      <c r="P235" s="6">
        <v>1935.5</v>
      </c>
      <c r="Q235" s="2"/>
      <c r="R235" s="7">
        <f t="shared" si="94"/>
        <v>2.0380981996569343E-4</v>
      </c>
      <c r="S235" s="2"/>
      <c r="T235" s="6">
        <v>5835.3</v>
      </c>
      <c r="U235" s="2"/>
      <c r="V235" s="7">
        <f t="shared" si="95"/>
        <v>5.6965413556494648E-4</v>
      </c>
      <c r="W235" s="2"/>
      <c r="X235" s="6">
        <f t="shared" si="96"/>
        <v>-3899.8</v>
      </c>
      <c r="Y235" s="2"/>
      <c r="Z235" s="7">
        <f t="shared" si="97"/>
        <v>-0.66831182629856223</v>
      </c>
    </row>
    <row r="236" spans="1:26" s="24" customFormat="1" hidden="1" outlineLevel="2" x14ac:dyDescent="0.25">
      <c r="A236" s="25"/>
      <c r="B236" s="11" t="str">
        <f>CONCATENATE("          ", "6275", " - ", "SUBSCRIPTIONS")</f>
        <v xml:space="preserve">          6275 - SUBSCRIPTIONS</v>
      </c>
      <c r="C236" s="11"/>
      <c r="D236" s="6">
        <v>251.4</v>
      </c>
      <c r="E236" s="2"/>
      <c r="F236" s="7">
        <f t="shared" si="90"/>
        <v>1.0676876512647755E-4</v>
      </c>
      <c r="G236" s="2"/>
      <c r="H236" s="6">
        <v>2249.5</v>
      </c>
      <c r="I236" s="2"/>
      <c r="J236" s="7">
        <f t="shared" si="91"/>
        <v>8.1019084152421145E-4</v>
      </c>
      <c r="K236" s="2"/>
      <c r="L236" s="6">
        <f t="shared" si="92"/>
        <v>-1998.1</v>
      </c>
      <c r="M236" s="2"/>
      <c r="N236" s="7">
        <f t="shared" si="93"/>
        <v>-0.88824183151811509</v>
      </c>
      <c r="O236" s="11"/>
      <c r="P236" s="6">
        <v>2100.16</v>
      </c>
      <c r="Q236" s="2"/>
      <c r="R236" s="7">
        <f t="shared" si="94"/>
        <v>2.2114866003572755E-4</v>
      </c>
      <c r="S236" s="2"/>
      <c r="T236" s="6">
        <v>8257.99</v>
      </c>
      <c r="U236" s="2"/>
      <c r="V236" s="7">
        <f t="shared" si="95"/>
        <v>8.061621776008041E-4</v>
      </c>
      <c r="W236" s="2"/>
      <c r="X236" s="6">
        <f t="shared" si="96"/>
        <v>-6157.83</v>
      </c>
      <c r="Y236" s="2"/>
      <c r="Z236" s="7">
        <f t="shared" si="97"/>
        <v>-0.74568145517250561</v>
      </c>
    </row>
    <row r="237" spans="1:26" s="26" customFormat="1" outlineLevel="1" collapsed="1" x14ac:dyDescent="0.25">
      <c r="A237" s="27"/>
      <c r="B237" s="13" t="str">
        <f>CONCATENATE("     ","Supplies                                          ")</f>
        <v xml:space="preserve">     Supplies                                          </v>
      </c>
      <c r="C237" s="13"/>
      <c r="D237" s="1">
        <f>SUM(OSRRefD22_21x_0)</f>
        <v>14483.989999999998</v>
      </c>
      <c r="E237" s="1"/>
      <c r="F237" s="5">
        <f t="shared" ref="F237:F245" si="98">IF(D$12=0,0,D237/D$12)</f>
        <v>6.1513036054266085E-3</v>
      </c>
      <c r="G237" s="1"/>
      <c r="H237" s="1">
        <f>SUM(OSRRefH22_21x_0)</f>
        <v>23545.11</v>
      </c>
      <c r="I237" s="1"/>
      <c r="J237" s="5">
        <f t="shared" ref="J237:J245" si="99">IF(H$12=0,0,H237/H$12)</f>
        <v>8.4801211312203282E-3</v>
      </c>
      <c r="K237" s="1"/>
      <c r="L237" s="1">
        <f t="shared" ref="L237:L245" si="100">+D237-H237</f>
        <v>-9061.1200000000026</v>
      </c>
      <c r="M237" s="1"/>
      <c r="N237" s="5">
        <f t="shared" ref="N237:N245" si="101">IF(H237=0,0,L237/H237)</f>
        <v>-0.38484084381003114</v>
      </c>
      <c r="O237" s="13"/>
      <c r="P237" s="1">
        <f>SUM(OSRRefP22_21x_0)</f>
        <v>103131.57999999999</v>
      </c>
      <c r="Q237" s="1"/>
      <c r="R237" s="5">
        <f t="shared" ref="R237:R245" si="102">IF(P$12=0,0,P237/P$12)</f>
        <v>1.0859844356795404E-2</v>
      </c>
      <c r="S237" s="1"/>
      <c r="T237" s="1">
        <f>SUM(OSRRefT22_21x_0)</f>
        <v>144915.87999999998</v>
      </c>
      <c r="U237" s="1"/>
      <c r="V237" s="5">
        <f t="shared" ref="V237:V245" si="103">IF(T$12=0,0,T237/T$12)</f>
        <v>1.4146989932142907E-2</v>
      </c>
      <c r="W237" s="1"/>
      <c r="X237" s="1">
        <f t="shared" ref="X237:X245" si="104">+P237-T237</f>
        <v>-41784.299999999988</v>
      </c>
      <c r="Y237" s="1"/>
      <c r="Z237" s="5">
        <f t="shared" ref="Z237:Z245" si="105">IF(T237=0,0,X237/T237)</f>
        <v>-0.2883348601961358</v>
      </c>
    </row>
    <row r="238" spans="1:26" s="24" customFormat="1" hidden="1" outlineLevel="2" x14ac:dyDescent="0.25">
      <c r="A238" s="25"/>
      <c r="B238" s="11" t="str">
        <f>CONCATENATE("          ", "6234", " - ", "EXPENDABLE SUPPLIES &amp; EQUIPMEN")</f>
        <v xml:space="preserve">          6234 - EXPENDABLE SUPPLIES &amp; EQUIPMEN</v>
      </c>
      <c r="C238" s="11"/>
      <c r="D238" s="6">
        <v>1338.2</v>
      </c>
      <c r="E238" s="2"/>
      <c r="F238" s="7">
        <f t="shared" si="98"/>
        <v>5.68329202435371E-4</v>
      </c>
      <c r="G238" s="2"/>
      <c r="H238" s="6"/>
      <c r="I238" s="2"/>
      <c r="J238" s="7">
        <f t="shared" si="99"/>
        <v>0</v>
      </c>
      <c r="K238" s="2"/>
      <c r="L238" s="6">
        <f t="shared" si="100"/>
        <v>1338.2</v>
      </c>
      <c r="M238" s="2"/>
      <c r="N238" s="7">
        <f t="shared" si="101"/>
        <v>0</v>
      </c>
      <c r="O238" s="11"/>
      <c r="P238" s="6">
        <v>4253.41</v>
      </c>
      <c r="Q238" s="2"/>
      <c r="R238" s="7">
        <f t="shared" si="102"/>
        <v>4.4788774287795403E-4</v>
      </c>
      <c r="S238" s="2"/>
      <c r="T238" s="6">
        <v>4415.13</v>
      </c>
      <c r="U238" s="2"/>
      <c r="V238" s="7">
        <f t="shared" si="103"/>
        <v>4.3101418325653556E-4</v>
      </c>
      <c r="W238" s="2"/>
      <c r="X238" s="6">
        <f t="shared" si="104"/>
        <v>-161.72000000000025</v>
      </c>
      <c r="Y238" s="2"/>
      <c r="Z238" s="7">
        <f t="shared" si="105"/>
        <v>-3.6628593042560526E-2</v>
      </c>
    </row>
    <row r="239" spans="1:26" s="24" customFormat="1" hidden="1" outlineLevel="2" x14ac:dyDescent="0.25">
      <c r="A239" s="25"/>
      <c r="B239" s="11" t="str">
        <f>CONCATENATE("          ", "6237", " - ", "JANITORIAL SUPPLIES")</f>
        <v xml:space="preserve">          6237 - JANITORIAL SUPPLIES</v>
      </c>
      <c r="C239" s="11"/>
      <c r="D239" s="6">
        <v>1153.96</v>
      </c>
      <c r="E239" s="2"/>
      <c r="F239" s="7">
        <f t="shared" si="98"/>
        <v>4.900830716203263E-4</v>
      </c>
      <c r="G239" s="2"/>
      <c r="H239" s="6">
        <v>1077.22</v>
      </c>
      <c r="I239" s="2"/>
      <c r="J239" s="7">
        <f t="shared" si="99"/>
        <v>3.8797678519969373E-4</v>
      </c>
      <c r="K239" s="2"/>
      <c r="L239" s="6">
        <f t="shared" si="100"/>
        <v>76.740000000000009</v>
      </c>
      <c r="M239" s="2"/>
      <c r="N239" s="7">
        <f t="shared" si="101"/>
        <v>7.1238929837916118E-2</v>
      </c>
      <c r="O239" s="11"/>
      <c r="P239" s="6">
        <v>7147.87</v>
      </c>
      <c r="Q239" s="2"/>
      <c r="R239" s="7">
        <f t="shared" si="102"/>
        <v>7.5267687824240813E-4</v>
      </c>
      <c r="S239" s="2"/>
      <c r="T239" s="6">
        <v>8450.4500000000007</v>
      </c>
      <c r="U239" s="2"/>
      <c r="V239" s="7">
        <f t="shared" si="103"/>
        <v>8.2495052351803716E-4</v>
      </c>
      <c r="W239" s="2"/>
      <c r="X239" s="6">
        <f t="shared" si="104"/>
        <v>-1302.5800000000008</v>
      </c>
      <c r="Y239" s="2"/>
      <c r="Z239" s="7">
        <f t="shared" si="105"/>
        <v>-0.15414327047672027</v>
      </c>
    </row>
    <row r="240" spans="1:26" s="24" customFormat="1" hidden="1" outlineLevel="2" x14ac:dyDescent="0.25">
      <c r="A240" s="25"/>
      <c r="B240" s="11" t="str">
        <f>CONCATENATE("          ", "6239", " - ", "KITCHEN SUPPLIES")</f>
        <v xml:space="preserve">          6239 - KITCHEN SUPPLIES</v>
      </c>
      <c r="C240" s="11"/>
      <c r="D240" s="6">
        <v>63.92</v>
      </c>
      <c r="E240" s="2"/>
      <c r="F240" s="7">
        <f t="shared" si="98"/>
        <v>2.7146616813382838E-5</v>
      </c>
      <c r="G240" s="2"/>
      <c r="H240" s="6">
        <v>21.52</v>
      </c>
      <c r="I240" s="2"/>
      <c r="J240" s="7">
        <f t="shared" si="99"/>
        <v>7.7507476815296859E-6</v>
      </c>
      <c r="K240" s="2"/>
      <c r="L240" s="6">
        <f t="shared" si="100"/>
        <v>42.400000000000006</v>
      </c>
      <c r="M240" s="2"/>
      <c r="N240" s="7">
        <f t="shared" si="101"/>
        <v>1.9702602230483275</v>
      </c>
      <c r="O240" s="11"/>
      <c r="P240" s="6">
        <v>63.92</v>
      </c>
      <c r="Q240" s="2"/>
      <c r="R240" s="7">
        <f t="shared" si="102"/>
        <v>6.7308311507140917E-6</v>
      </c>
      <c r="S240" s="2"/>
      <c r="T240" s="6">
        <v>21.52</v>
      </c>
      <c r="U240" s="2"/>
      <c r="V240" s="7">
        <f t="shared" si="103"/>
        <v>2.1008272063745902E-6</v>
      </c>
      <c r="W240" s="2"/>
      <c r="X240" s="6">
        <f t="shared" si="104"/>
        <v>42.400000000000006</v>
      </c>
      <c r="Y240" s="2"/>
      <c r="Z240" s="7">
        <f t="shared" si="105"/>
        <v>1.9702602230483275</v>
      </c>
    </row>
    <row r="241" spans="1:26" s="24" customFormat="1" hidden="1" outlineLevel="2" x14ac:dyDescent="0.25">
      <c r="A241" s="25"/>
      <c r="B241" s="11" t="str">
        <f>CONCATENATE("          ", "6241", " - ", "OFFICE EXPENSE")</f>
        <v xml:space="preserve">          6241 - OFFICE EXPENSE</v>
      </c>
      <c r="C241" s="11"/>
      <c r="D241" s="6">
        <v>4301.99</v>
      </c>
      <c r="E241" s="2"/>
      <c r="F241" s="7">
        <f t="shared" si="98"/>
        <v>1.8270412087766712E-3</v>
      </c>
      <c r="G241" s="2"/>
      <c r="H241" s="6">
        <v>10167.18</v>
      </c>
      <c r="I241" s="2"/>
      <c r="J241" s="7">
        <f t="shared" si="99"/>
        <v>3.6618609113705856E-3</v>
      </c>
      <c r="K241" s="2"/>
      <c r="L241" s="6">
        <f t="shared" si="100"/>
        <v>-5865.1900000000005</v>
      </c>
      <c r="M241" s="2"/>
      <c r="N241" s="7">
        <f t="shared" si="101"/>
        <v>-0.57687480697695925</v>
      </c>
      <c r="O241" s="11"/>
      <c r="P241" s="6">
        <v>23673.7</v>
      </c>
      <c r="Q241" s="2"/>
      <c r="R241" s="7">
        <f t="shared" si="102"/>
        <v>2.4928610358676499E-3</v>
      </c>
      <c r="S241" s="2"/>
      <c r="T241" s="6">
        <v>30543.17</v>
      </c>
      <c r="U241" s="2"/>
      <c r="V241" s="7">
        <f t="shared" si="103"/>
        <v>2.9816878487418305E-3</v>
      </c>
      <c r="W241" s="2"/>
      <c r="X241" s="6">
        <f t="shared" si="104"/>
        <v>-6869.4699999999975</v>
      </c>
      <c r="Y241" s="2"/>
      <c r="Z241" s="7">
        <f t="shared" si="105"/>
        <v>-0.2249101845027873</v>
      </c>
    </row>
    <row r="242" spans="1:26" s="24" customFormat="1" hidden="1" outlineLevel="2" x14ac:dyDescent="0.25">
      <c r="A242" s="25"/>
      <c r="B242" s="11" t="str">
        <f>CONCATENATE("          ", "6243", " - ", "PAPER SUPPLIES")</f>
        <v xml:space="preserve">          6243 - PAPER SUPPLIES</v>
      </c>
      <c r="C242" s="11"/>
      <c r="D242" s="6">
        <v>2872.87</v>
      </c>
      <c r="E242" s="2"/>
      <c r="F242" s="7">
        <f t="shared" si="98"/>
        <v>1.220098577044167E-3</v>
      </c>
      <c r="G242" s="2"/>
      <c r="H242" s="6">
        <v>3284.45</v>
      </c>
      <c r="I242" s="2"/>
      <c r="J242" s="7">
        <f t="shared" si="99"/>
        <v>1.1829434582992647E-3</v>
      </c>
      <c r="K242" s="2"/>
      <c r="L242" s="6">
        <f t="shared" si="100"/>
        <v>-411.57999999999993</v>
      </c>
      <c r="M242" s="2"/>
      <c r="N242" s="7">
        <f t="shared" si="101"/>
        <v>-0.12531169602216505</v>
      </c>
      <c r="O242" s="11"/>
      <c r="P242" s="6">
        <v>15783.969999999998</v>
      </c>
      <c r="Q242" s="2"/>
      <c r="R242" s="7">
        <f t="shared" si="102"/>
        <v>1.6620656595421883E-3</v>
      </c>
      <c r="S242" s="2"/>
      <c r="T242" s="6">
        <v>28348.080000000002</v>
      </c>
      <c r="U242" s="2"/>
      <c r="V242" s="7">
        <f t="shared" si="103"/>
        <v>2.7673985925875189E-3</v>
      </c>
      <c r="W242" s="2"/>
      <c r="X242" s="6">
        <f t="shared" si="104"/>
        <v>-12564.110000000004</v>
      </c>
      <c r="Y242" s="2"/>
      <c r="Z242" s="7">
        <f t="shared" si="105"/>
        <v>-0.44320849948215202</v>
      </c>
    </row>
    <row r="243" spans="1:26" s="24" customFormat="1" hidden="1" outlineLevel="2" x14ac:dyDescent="0.25">
      <c r="A243" s="25"/>
      <c r="B243" s="11" t="str">
        <f>CONCATENATE("          ", "6245", " - ", "PRINTING")</f>
        <v xml:space="preserve">          6245 - PRINTING</v>
      </c>
      <c r="C243" s="11"/>
      <c r="D243" s="6">
        <v>926.39</v>
      </c>
      <c r="E243" s="2"/>
      <c r="F243" s="7">
        <f t="shared" si="98"/>
        <v>3.9343483025265527E-4</v>
      </c>
      <c r="G243" s="2"/>
      <c r="H243" s="6">
        <v>5072.04</v>
      </c>
      <c r="I243" s="2"/>
      <c r="J243" s="7">
        <f t="shared" si="99"/>
        <v>1.8267705516090071E-3</v>
      </c>
      <c r="K243" s="2"/>
      <c r="L243" s="6">
        <f t="shared" si="100"/>
        <v>-4145.6499999999996</v>
      </c>
      <c r="M243" s="2"/>
      <c r="N243" s="7">
        <f t="shared" si="101"/>
        <v>-0.81735356976679985</v>
      </c>
      <c r="O243" s="11"/>
      <c r="P243" s="6">
        <v>6601.94</v>
      </c>
      <c r="Q243" s="2"/>
      <c r="R243" s="7">
        <f t="shared" si="102"/>
        <v>6.9518997820940836E-4</v>
      </c>
      <c r="S243" s="2"/>
      <c r="T243" s="6">
        <v>14436.81</v>
      </c>
      <c r="U243" s="2"/>
      <c r="V243" s="7">
        <f t="shared" si="103"/>
        <v>1.4093514508020796E-3</v>
      </c>
      <c r="W243" s="2"/>
      <c r="X243" s="6">
        <f t="shared" si="104"/>
        <v>-7834.87</v>
      </c>
      <c r="Y243" s="2"/>
      <c r="Z243" s="7">
        <f t="shared" si="105"/>
        <v>-0.54270091522988806</v>
      </c>
    </row>
    <row r="244" spans="1:26" s="24" customFormat="1" hidden="1" outlineLevel="2" x14ac:dyDescent="0.25">
      <c r="A244" s="25"/>
      <c r="B244" s="11" t="str">
        <f>CONCATENATE("          ", "6247", " - ", "STORE SUPPLIES")</f>
        <v xml:space="preserve">          6247 - STORE SUPPLIES</v>
      </c>
      <c r="C244" s="11"/>
      <c r="D244" s="6">
        <v>3826.66</v>
      </c>
      <c r="E244" s="2"/>
      <c r="F244" s="7">
        <f t="shared" si="98"/>
        <v>1.6251700984840356E-3</v>
      </c>
      <c r="G244" s="2"/>
      <c r="H244" s="6">
        <v>3446.42</v>
      </c>
      <c r="I244" s="2"/>
      <c r="J244" s="7">
        <f t="shared" si="99"/>
        <v>1.2412793598781387E-3</v>
      </c>
      <c r="K244" s="2"/>
      <c r="L244" s="6">
        <f t="shared" si="100"/>
        <v>380.23999999999978</v>
      </c>
      <c r="M244" s="2"/>
      <c r="N244" s="7">
        <f t="shared" si="101"/>
        <v>0.11032897905652816</v>
      </c>
      <c r="O244" s="11"/>
      <c r="P244" s="6">
        <v>45606.77</v>
      </c>
      <c r="Q244" s="2"/>
      <c r="R244" s="7">
        <f t="shared" si="102"/>
        <v>4.8024322309050821E-3</v>
      </c>
      <c r="S244" s="2"/>
      <c r="T244" s="6">
        <v>56974.259999999995</v>
      </c>
      <c r="U244" s="2"/>
      <c r="V244" s="7">
        <f t="shared" si="103"/>
        <v>5.5619458862016524E-3</v>
      </c>
      <c r="W244" s="2"/>
      <c r="X244" s="6">
        <f t="shared" si="104"/>
        <v>-11367.489999999998</v>
      </c>
      <c r="Y244" s="2"/>
      <c r="Z244" s="7">
        <f t="shared" si="105"/>
        <v>-0.19951974804060638</v>
      </c>
    </row>
    <row r="245" spans="1:26" s="24" customFormat="1" hidden="1" outlineLevel="2" x14ac:dyDescent="0.25">
      <c r="A245" s="25"/>
      <c r="B245" s="11" t="str">
        <f>CONCATENATE("          ", "6248", " - ", "UNIFORMS")</f>
        <v xml:space="preserve">          6248 - UNIFORMS</v>
      </c>
      <c r="C245" s="11"/>
      <c r="D245" s="6"/>
      <c r="E245" s="2"/>
      <c r="F245" s="7">
        <f t="shared" si="98"/>
        <v>0</v>
      </c>
      <c r="G245" s="2"/>
      <c r="H245" s="6">
        <v>476.28</v>
      </c>
      <c r="I245" s="2"/>
      <c r="J245" s="7">
        <f t="shared" si="99"/>
        <v>1.7153931718210777E-4</v>
      </c>
      <c r="K245" s="2"/>
      <c r="L245" s="6">
        <f t="shared" si="100"/>
        <v>-476.28</v>
      </c>
      <c r="M245" s="2"/>
      <c r="N245" s="7">
        <f t="shared" si="101"/>
        <v>-1</v>
      </c>
      <c r="O245" s="11"/>
      <c r="P245" s="6"/>
      <c r="Q245" s="2"/>
      <c r="R245" s="7">
        <f t="shared" si="102"/>
        <v>0</v>
      </c>
      <c r="S245" s="2"/>
      <c r="T245" s="6">
        <v>1726.46</v>
      </c>
      <c r="U245" s="2"/>
      <c r="V245" s="7">
        <f t="shared" si="103"/>
        <v>1.6854061982887899E-4</v>
      </c>
      <c r="W245" s="2"/>
      <c r="X245" s="6">
        <f t="shared" si="104"/>
        <v>-1726.46</v>
      </c>
      <c r="Y245" s="2"/>
      <c r="Z245" s="7">
        <f t="shared" si="105"/>
        <v>-1</v>
      </c>
    </row>
    <row r="246" spans="1:26" s="26" customFormat="1" outlineLevel="1" collapsed="1" x14ac:dyDescent="0.25">
      <c r="A246" s="27"/>
      <c r="B246" s="13" t="str">
        <f>CONCATENATE("     ","Telephone/Data Lines                              ")</f>
        <v xml:space="preserve">     Telephone/Data Lines                              </v>
      </c>
      <c r="C246" s="13"/>
      <c r="D246" s="1">
        <f>SUM(OSRRefD22_22x_0)</f>
        <v>3035.94</v>
      </c>
      <c r="E246" s="1"/>
      <c r="F246" s="5">
        <f t="shared" ref="F246:F248" si="106">IF(D$12=0,0,D246/D$12)</f>
        <v>1.2893538774784339E-3</v>
      </c>
      <c r="G246" s="1"/>
      <c r="H246" s="1">
        <f>SUM(OSRRefH22_22x_0)</f>
        <v>1052.78</v>
      </c>
      <c r="I246" s="1"/>
      <c r="J246" s="5">
        <f t="shared" ref="J246:J248" si="107">IF(H$12=0,0,H246/H$12)</f>
        <v>3.7917435614130218E-4</v>
      </c>
      <c r="K246" s="1"/>
      <c r="L246" s="1">
        <f t="shared" ref="L246:L248" si="108">+D246-H246</f>
        <v>1983.16</v>
      </c>
      <c r="M246" s="1"/>
      <c r="N246" s="5">
        <f t="shared" ref="N246:N248" si="109">IF(H246=0,0,L246/H246)</f>
        <v>1.8837363931685633</v>
      </c>
      <c r="O246" s="13"/>
      <c r="P246" s="1">
        <f>SUM(OSRRefP22_22x_0)</f>
        <v>21137.46</v>
      </c>
      <c r="Q246" s="1"/>
      <c r="R246" s="5">
        <f t="shared" ref="R246:R248" si="110">IF(P$12=0,0,P246/P$12)</f>
        <v>2.2257927755784273E-3</v>
      </c>
      <c r="S246" s="1"/>
      <c r="T246" s="1">
        <f>SUM(OSRRefT22_22x_0)</f>
        <v>19079.91</v>
      </c>
      <c r="U246" s="1"/>
      <c r="V246" s="5">
        <f t="shared" ref="V246:V248" si="111">IF(T$12=0,0,T246/T$12)</f>
        <v>1.8626205401105302E-3</v>
      </c>
      <c r="W246" s="1"/>
      <c r="X246" s="1">
        <f t="shared" ref="X246:X248" si="112">+P246-T246</f>
        <v>2057.5499999999993</v>
      </c>
      <c r="Y246" s="1"/>
      <c r="Z246" s="5">
        <f t="shared" ref="Z246:Z248" si="113">IF(T246=0,0,X246/T246)</f>
        <v>0.10783855898691343</v>
      </c>
    </row>
    <row r="247" spans="1:26" s="24" customFormat="1" hidden="1" outlineLevel="2" x14ac:dyDescent="0.25">
      <c r="A247" s="25"/>
      <c r="B247" s="11" t="str">
        <f>CONCATENATE("          ", "6303", " - ", "DATA PHONE LINES")</f>
        <v xml:space="preserve">          6303 - DATA PHONE LINES</v>
      </c>
      <c r="C247" s="11"/>
      <c r="D247" s="6">
        <v>295</v>
      </c>
      <c r="E247" s="2"/>
      <c r="F247" s="7">
        <f t="shared" si="106"/>
        <v>1.2528554380394143E-4</v>
      </c>
      <c r="G247" s="2"/>
      <c r="H247" s="6">
        <v>885</v>
      </c>
      <c r="I247" s="2"/>
      <c r="J247" s="7">
        <f t="shared" si="107"/>
        <v>3.1874589675435746E-4</v>
      </c>
      <c r="K247" s="2"/>
      <c r="L247" s="6">
        <f t="shared" si="108"/>
        <v>-590</v>
      </c>
      <c r="M247" s="2"/>
      <c r="N247" s="7">
        <f t="shared" si="109"/>
        <v>-0.66666666666666663</v>
      </c>
      <c r="O247" s="11"/>
      <c r="P247" s="6">
        <v>2065</v>
      </c>
      <c r="Q247" s="2"/>
      <c r="R247" s="7">
        <f t="shared" si="110"/>
        <v>2.1744628169938359E-4</v>
      </c>
      <c r="S247" s="2"/>
      <c r="T247" s="6">
        <v>1770</v>
      </c>
      <c r="U247" s="2"/>
      <c r="V247" s="7">
        <f t="shared" si="111"/>
        <v>1.7279108528266845E-4</v>
      </c>
      <c r="W247" s="2"/>
      <c r="X247" s="6">
        <f t="shared" si="112"/>
        <v>295</v>
      </c>
      <c r="Y247" s="2"/>
      <c r="Z247" s="7">
        <f t="shared" si="113"/>
        <v>0.16666666666666666</v>
      </c>
    </row>
    <row r="248" spans="1:26" s="24" customFormat="1" hidden="1" outlineLevel="2" x14ac:dyDescent="0.25">
      <c r="A248" s="25"/>
      <c r="B248" s="11" t="str">
        <f>CONCATENATE("          ", "6309", " - ", "TELEPHONE")</f>
        <v xml:space="preserve">          6309 - TELEPHONE</v>
      </c>
      <c r="C248" s="11"/>
      <c r="D248" s="6">
        <v>2740.94</v>
      </c>
      <c r="E248" s="2"/>
      <c r="F248" s="7">
        <f t="shared" si="106"/>
        <v>1.1640683336744924E-3</v>
      </c>
      <c r="G248" s="2"/>
      <c r="H248" s="6">
        <v>167.78</v>
      </c>
      <c r="I248" s="2"/>
      <c r="J248" s="7">
        <f t="shared" si="107"/>
        <v>6.0428459386944742E-5</v>
      </c>
      <c r="K248" s="2"/>
      <c r="L248" s="6">
        <f t="shared" si="108"/>
        <v>2573.16</v>
      </c>
      <c r="M248" s="2"/>
      <c r="N248" s="7">
        <f t="shared" si="109"/>
        <v>15.336512099177494</v>
      </c>
      <c r="O248" s="11"/>
      <c r="P248" s="6">
        <v>19072.46</v>
      </c>
      <c r="Q248" s="2"/>
      <c r="R248" s="7">
        <f t="shared" si="110"/>
        <v>2.0083464938790438E-3</v>
      </c>
      <c r="S248" s="2"/>
      <c r="T248" s="6">
        <v>17309.91</v>
      </c>
      <c r="U248" s="2"/>
      <c r="V248" s="7">
        <f t="shared" si="111"/>
        <v>1.6898294548278619E-3</v>
      </c>
      <c r="W248" s="2"/>
      <c r="X248" s="6">
        <f t="shared" si="112"/>
        <v>1762.5499999999993</v>
      </c>
      <c r="Y248" s="2"/>
      <c r="Z248" s="7">
        <f t="shared" si="113"/>
        <v>0.10182317527936305</v>
      </c>
    </row>
    <row r="249" spans="1:26" s="26" customFormat="1" outlineLevel="1" collapsed="1" x14ac:dyDescent="0.25">
      <c r="A249" s="27"/>
      <c r="B249" s="13" t="str">
        <f>CONCATENATE("     ","Training                                          ")</f>
        <v xml:space="preserve">     Training                                          </v>
      </c>
      <c r="C249" s="13"/>
      <c r="D249" s="1">
        <f>SUM(OSRRefD22_23x_0)</f>
        <v>2056.09</v>
      </c>
      <c r="E249" s="1"/>
      <c r="F249" s="5">
        <f t="shared" ref="F249:F254" si="114">IF(D$12=0,0,D249/D$12)</f>
        <v>8.732147585079525E-4</v>
      </c>
      <c r="G249" s="1"/>
      <c r="H249" s="1">
        <f>SUM(OSRRefH22_23x_0)</f>
        <v>505.7</v>
      </c>
      <c r="I249" s="1"/>
      <c r="J249" s="5">
        <f t="shared" ref="J249:J254" si="115">IF(H$12=0,0,H249/H$12)</f>
        <v>1.8213536721884584E-4</v>
      </c>
      <c r="K249" s="1"/>
      <c r="L249" s="1">
        <f t="shared" ref="L249:L254" si="116">+D249-H249</f>
        <v>1550.39</v>
      </c>
      <c r="M249" s="1"/>
      <c r="N249" s="5">
        <f t="shared" ref="N249:N254" si="117">IF(H249=0,0,L249/H249)</f>
        <v>3.0658295432074354</v>
      </c>
      <c r="O249" s="13"/>
      <c r="P249" s="1">
        <f>SUM(OSRRefP22_23x_0)</f>
        <v>9715.89</v>
      </c>
      <c r="Q249" s="1"/>
      <c r="R249" s="5">
        <f t="shared" ref="R249:R254" si="118">IF(P$12=0,0,P249/P$12)</f>
        <v>1.0230915999516821E-3</v>
      </c>
      <c r="S249" s="1"/>
      <c r="T249" s="1">
        <f>SUM(OSRRefT22_23x_0)</f>
        <v>5825.4</v>
      </c>
      <c r="U249" s="1"/>
      <c r="V249" s="5">
        <f t="shared" ref="V249:V254" si="119">IF(T$12=0,0,T249/T$12)</f>
        <v>5.6868767695234846E-4</v>
      </c>
      <c r="W249" s="1"/>
      <c r="X249" s="1">
        <f t="shared" ref="X249:X254" si="120">+P249-T249</f>
        <v>3890.49</v>
      </c>
      <c r="Y249" s="1"/>
      <c r="Z249" s="5">
        <f t="shared" ref="Z249:Z254" si="121">IF(T249=0,0,X249/T249)</f>
        <v>0.66784941806571219</v>
      </c>
    </row>
    <row r="250" spans="1:26" s="24" customFormat="1" hidden="1" outlineLevel="2" x14ac:dyDescent="0.25">
      <c r="A250" s="25"/>
      <c r="B250" s="11" t="str">
        <f>CONCATENATE("          ", "6376", " - ", "TRAINING")</f>
        <v xml:space="preserve">          6376 - TRAINING</v>
      </c>
      <c r="C250" s="11"/>
      <c r="D250" s="6">
        <v>2056.09</v>
      </c>
      <c r="E250" s="2"/>
      <c r="F250" s="7">
        <f t="shared" si="114"/>
        <v>8.732147585079525E-4</v>
      </c>
      <c r="G250" s="2"/>
      <c r="H250" s="6">
        <v>505.7</v>
      </c>
      <c r="I250" s="2"/>
      <c r="J250" s="7">
        <f t="shared" si="115"/>
        <v>1.8213536721884584E-4</v>
      </c>
      <c r="K250" s="2"/>
      <c r="L250" s="6">
        <f t="shared" si="116"/>
        <v>1550.39</v>
      </c>
      <c r="M250" s="2"/>
      <c r="N250" s="7">
        <f t="shared" si="117"/>
        <v>3.0658295432074354</v>
      </c>
      <c r="O250" s="11"/>
      <c r="P250" s="6">
        <v>9715.89</v>
      </c>
      <c r="Q250" s="2"/>
      <c r="R250" s="7">
        <f t="shared" si="118"/>
        <v>1.0230915999516821E-3</v>
      </c>
      <c r="S250" s="2"/>
      <c r="T250" s="6">
        <v>5825.4</v>
      </c>
      <c r="U250" s="2"/>
      <c r="V250" s="7">
        <f t="shared" si="119"/>
        <v>5.6868767695234846E-4</v>
      </c>
      <c r="W250" s="2"/>
      <c r="X250" s="6">
        <f t="shared" si="120"/>
        <v>3890.49</v>
      </c>
      <c r="Y250" s="2"/>
      <c r="Z250" s="7">
        <f t="shared" si="121"/>
        <v>0.66784941806571219</v>
      </c>
    </row>
    <row r="251" spans="1:26" s="26" customFormat="1" outlineLevel="1" collapsed="1" x14ac:dyDescent="0.25">
      <c r="A251" s="27"/>
      <c r="B251" s="13" t="str">
        <f>CONCATENATE("     ","Travel                                            ")</f>
        <v xml:space="preserve">     Travel                                            </v>
      </c>
      <c r="C251" s="13"/>
      <c r="D251" s="1">
        <f>SUM(OSRRefD22_24x_0)</f>
        <v>-472.06</v>
      </c>
      <c r="E251" s="1"/>
      <c r="F251" s="5">
        <f t="shared" si="114"/>
        <v>-2.0048235189182575E-4</v>
      </c>
      <c r="G251" s="1"/>
      <c r="H251" s="1">
        <f>SUM(OSRRefH22_24x_0)</f>
        <v>41.13</v>
      </c>
      <c r="I251" s="1"/>
      <c r="J251" s="5">
        <f t="shared" si="115"/>
        <v>1.4813580489838105E-5</v>
      </c>
      <c r="K251" s="1"/>
      <c r="L251" s="1">
        <f t="shared" si="116"/>
        <v>-513.19000000000005</v>
      </c>
      <c r="M251" s="1"/>
      <c r="N251" s="5">
        <f t="shared" si="117"/>
        <v>-12.477267201556042</v>
      </c>
      <c r="O251" s="13"/>
      <c r="P251" s="1">
        <f>SUM(OSRRefP22_24x_0)</f>
        <v>970.04</v>
      </c>
      <c r="Q251" s="1"/>
      <c r="R251" s="5">
        <f t="shared" si="118"/>
        <v>1.0214604895867798E-4</v>
      </c>
      <c r="S251" s="1"/>
      <c r="T251" s="1">
        <f>SUM(OSRRefT22_24x_0)</f>
        <v>1387.33</v>
      </c>
      <c r="U251" s="1"/>
      <c r="V251" s="5">
        <f t="shared" si="119"/>
        <v>1.3543404313288385E-4</v>
      </c>
      <c r="W251" s="1"/>
      <c r="X251" s="1">
        <f t="shared" si="120"/>
        <v>-417.28999999999996</v>
      </c>
      <c r="Y251" s="1"/>
      <c r="Z251" s="5">
        <f t="shared" si="121"/>
        <v>-0.30078640265834372</v>
      </c>
    </row>
    <row r="252" spans="1:26" s="24" customFormat="1" hidden="1" outlineLevel="2" x14ac:dyDescent="0.25">
      <c r="A252" s="25"/>
      <c r="B252" s="11" t="str">
        <f>CONCATENATE("          ", "6292", " - ", "TRAVEL/CONFERENCE")</f>
        <v xml:space="preserve">          6292 - TRAVEL/CONFERENCE</v>
      </c>
      <c r="C252" s="11"/>
      <c r="D252" s="6"/>
      <c r="E252" s="2"/>
      <c r="F252" s="7">
        <f t="shared" si="114"/>
        <v>0</v>
      </c>
      <c r="G252" s="2"/>
      <c r="H252" s="6"/>
      <c r="I252" s="2"/>
      <c r="J252" s="7">
        <f t="shared" si="115"/>
        <v>0</v>
      </c>
      <c r="K252" s="2"/>
      <c r="L252" s="6">
        <f t="shared" si="116"/>
        <v>0</v>
      </c>
      <c r="M252" s="2"/>
      <c r="N252" s="7">
        <f t="shared" si="117"/>
        <v>0</v>
      </c>
      <c r="O252" s="11"/>
      <c r="P252" s="6">
        <v>365.6</v>
      </c>
      <c r="Q252" s="2"/>
      <c r="R252" s="7">
        <f t="shared" si="118"/>
        <v>3.8497995442757697E-5</v>
      </c>
      <c r="S252" s="2"/>
      <c r="T252" s="6">
        <v>691.14</v>
      </c>
      <c r="U252" s="2"/>
      <c r="V252" s="7">
        <f t="shared" si="119"/>
        <v>6.7470525809188402E-5</v>
      </c>
      <c r="W252" s="2"/>
      <c r="X252" s="6">
        <f t="shared" si="120"/>
        <v>-325.53999999999996</v>
      </c>
      <c r="Y252" s="2"/>
      <c r="Z252" s="7">
        <f t="shared" si="121"/>
        <v>-0.47101889631623112</v>
      </c>
    </row>
    <row r="253" spans="1:26" s="24" customFormat="1" hidden="1" outlineLevel="2" x14ac:dyDescent="0.25">
      <c r="A253" s="25"/>
      <c r="B253" s="11" t="str">
        <f>CONCATENATE("          ", "6294", " - ", "TRAVEL OPERATIONAL")</f>
        <v xml:space="preserve">          6294 - TRAVEL OPERATIONAL</v>
      </c>
      <c r="C253" s="11"/>
      <c r="D253" s="6">
        <v>-506.75</v>
      </c>
      <c r="E253" s="2"/>
      <c r="F253" s="7">
        <f t="shared" si="114"/>
        <v>-2.1521508244965194E-4</v>
      </c>
      <c r="G253" s="2"/>
      <c r="H253" s="6">
        <v>41.13</v>
      </c>
      <c r="I253" s="2"/>
      <c r="J253" s="7">
        <f t="shared" si="115"/>
        <v>1.4813580489838105E-5</v>
      </c>
      <c r="K253" s="2"/>
      <c r="L253" s="6">
        <f t="shared" si="116"/>
        <v>-547.88</v>
      </c>
      <c r="M253" s="2"/>
      <c r="N253" s="7">
        <f t="shared" si="117"/>
        <v>-13.320690493557013</v>
      </c>
      <c r="O253" s="11"/>
      <c r="P253" s="6">
        <v>312.19</v>
      </c>
      <c r="Q253" s="2"/>
      <c r="R253" s="7">
        <f t="shared" si="118"/>
        <v>3.2873876360160074E-5</v>
      </c>
      <c r="S253" s="2"/>
      <c r="T253" s="6">
        <v>472.61</v>
      </c>
      <c r="U253" s="2"/>
      <c r="V253" s="7">
        <f t="shared" si="119"/>
        <v>4.6137172212114092E-5</v>
      </c>
      <c r="W253" s="2"/>
      <c r="X253" s="6">
        <f t="shared" si="120"/>
        <v>-160.42000000000002</v>
      </c>
      <c r="Y253" s="2"/>
      <c r="Z253" s="7">
        <f t="shared" si="121"/>
        <v>-0.33943420579336031</v>
      </c>
    </row>
    <row r="254" spans="1:26" s="24" customFormat="1" hidden="1" outlineLevel="2" x14ac:dyDescent="0.25">
      <c r="A254" s="25"/>
      <c r="B254" s="11" t="str">
        <f>CONCATENATE("          ", "6298", " - ", "VEHICLE MILEAGE")</f>
        <v xml:space="preserve">          6298 - VEHICLE MILEAGE</v>
      </c>
      <c r="C254" s="11"/>
      <c r="D254" s="6">
        <v>34.69</v>
      </c>
      <c r="E254" s="2"/>
      <c r="F254" s="7">
        <f t="shared" si="114"/>
        <v>1.4732730557826198E-5</v>
      </c>
      <c r="G254" s="2"/>
      <c r="H254" s="6"/>
      <c r="I254" s="2"/>
      <c r="J254" s="7">
        <f t="shared" si="115"/>
        <v>0</v>
      </c>
      <c r="K254" s="2"/>
      <c r="L254" s="6">
        <f t="shared" si="116"/>
        <v>34.69</v>
      </c>
      <c r="M254" s="2"/>
      <c r="N254" s="7">
        <f t="shared" si="117"/>
        <v>0</v>
      </c>
      <c r="O254" s="11"/>
      <c r="P254" s="6">
        <v>292.25</v>
      </c>
      <c r="Q254" s="2"/>
      <c r="R254" s="7">
        <f t="shared" si="118"/>
        <v>3.0774177155760216E-5</v>
      </c>
      <c r="S254" s="2"/>
      <c r="T254" s="6">
        <v>223.58</v>
      </c>
      <c r="U254" s="2"/>
      <c r="V254" s="7">
        <f t="shared" si="119"/>
        <v>2.1826345111581366E-5</v>
      </c>
      <c r="W254" s="2"/>
      <c r="X254" s="6">
        <f t="shared" si="120"/>
        <v>68.669999999999987</v>
      </c>
      <c r="Y254" s="2"/>
      <c r="Z254" s="7">
        <f t="shared" si="121"/>
        <v>0.30713838447088282</v>
      </c>
    </row>
    <row r="255" spans="1:26" s="26" customFormat="1" outlineLevel="1" collapsed="1" x14ac:dyDescent="0.25">
      <c r="A255" s="27"/>
      <c r="B255" s="13" t="str">
        <f>CONCATENATE("     ","Utilities                                         ")</f>
        <v xml:space="preserve">     Utilities                                         </v>
      </c>
      <c r="C255" s="13"/>
      <c r="D255" s="1">
        <f>SUM(OSRRefD22_25x_0)</f>
        <v>7403.14</v>
      </c>
      <c r="E255" s="1"/>
      <c r="F255" s="5">
        <f t="shared" ref="F255:F256" si="122">IF(D$12=0,0,D255/D$12)</f>
        <v>3.1440895618871562E-3</v>
      </c>
      <c r="G255" s="1"/>
      <c r="H255" s="1">
        <f>SUM(OSRRefH22_25x_0)</f>
        <v>1142.04</v>
      </c>
      <c r="I255" s="1"/>
      <c r="J255" s="5">
        <f t="shared" ref="J255:J256" si="123">IF(H$12=0,0,H255/H$12)</f>
        <v>4.1132267110660609E-4</v>
      </c>
      <c r="K255" s="1"/>
      <c r="L255" s="1">
        <f t="shared" ref="L255:L256" si="124">+D255-H255</f>
        <v>6261.1</v>
      </c>
      <c r="M255" s="1"/>
      <c r="N255" s="5">
        <f t="shared" ref="N255:N256" si="125">IF(H255=0,0,L255/H255)</f>
        <v>5.4823824034184447</v>
      </c>
      <c r="O255" s="13"/>
      <c r="P255" s="1">
        <f>SUM(OSRRefP22_25x_0)</f>
        <v>44887.939999999995</v>
      </c>
      <c r="Q255" s="1"/>
      <c r="R255" s="5">
        <f t="shared" ref="R255:R256" si="126">IF(P$12=0,0,P255/P$12)</f>
        <v>4.7267388116925069E-3</v>
      </c>
      <c r="S255" s="1"/>
      <c r="T255" s="1">
        <f>SUM(OSRRefT22_25x_0)</f>
        <v>31824.26</v>
      </c>
      <c r="U255" s="1"/>
      <c r="V255" s="5">
        <f t="shared" ref="V255:V256" si="127">IF(T$12=0,0,T255/T$12)</f>
        <v>3.1067505218744713E-3</v>
      </c>
      <c r="W255" s="1"/>
      <c r="X255" s="1">
        <f t="shared" ref="X255:X256" si="128">+P255-T255</f>
        <v>13063.679999999997</v>
      </c>
      <c r="Y255" s="1"/>
      <c r="Z255" s="5">
        <f t="shared" ref="Z255:Z256" si="129">IF(T255=0,0,X255/T255)</f>
        <v>0.41049438384427467</v>
      </c>
    </row>
    <row r="256" spans="1:26" s="24" customFormat="1" hidden="1" outlineLevel="2" x14ac:dyDescent="0.25">
      <c r="A256" s="25"/>
      <c r="B256" s="11" t="str">
        <f>CONCATENATE("          ", "6274", " - ", "UTILITIES")</f>
        <v xml:space="preserve">          6274 - UTILITIES</v>
      </c>
      <c r="C256" s="11"/>
      <c r="D256" s="6">
        <v>7403.14</v>
      </c>
      <c r="E256" s="2"/>
      <c r="F256" s="7">
        <f t="shared" si="122"/>
        <v>3.1440895618871562E-3</v>
      </c>
      <c r="G256" s="2"/>
      <c r="H256" s="6">
        <v>1142.04</v>
      </c>
      <c r="I256" s="2"/>
      <c r="J256" s="7">
        <f t="shared" si="123"/>
        <v>4.1132267110660609E-4</v>
      </c>
      <c r="K256" s="2"/>
      <c r="L256" s="6">
        <f t="shared" si="124"/>
        <v>6261.1</v>
      </c>
      <c r="M256" s="2"/>
      <c r="N256" s="7">
        <f t="shared" si="125"/>
        <v>5.4823824034184447</v>
      </c>
      <c r="O256" s="11"/>
      <c r="P256" s="6">
        <v>44887.939999999995</v>
      </c>
      <c r="Q256" s="2"/>
      <c r="R256" s="7">
        <f t="shared" si="126"/>
        <v>4.7267388116925069E-3</v>
      </c>
      <c r="S256" s="2"/>
      <c r="T256" s="6">
        <v>31824.26</v>
      </c>
      <c r="U256" s="2"/>
      <c r="V256" s="7">
        <f t="shared" si="127"/>
        <v>3.1067505218744713E-3</v>
      </c>
      <c r="W256" s="2"/>
      <c r="X256" s="6">
        <f t="shared" si="128"/>
        <v>13063.679999999997</v>
      </c>
      <c r="Y256" s="2"/>
      <c r="Z256" s="7">
        <f t="shared" si="129"/>
        <v>0.41049438384427467</v>
      </c>
    </row>
    <row r="257" spans="1:26" s="59" customFormat="1" x14ac:dyDescent="0.25">
      <c r="A257" s="37"/>
      <c r="B257" s="37"/>
      <c r="C257" s="37"/>
      <c r="D257" s="1"/>
      <c r="E257" s="1"/>
      <c r="F257" s="5"/>
      <c r="G257" s="1"/>
      <c r="H257" s="1"/>
      <c r="I257" s="1"/>
      <c r="J257" s="5"/>
      <c r="K257" s="1"/>
      <c r="L257" s="1"/>
      <c r="M257" s="1"/>
      <c r="N257" s="5"/>
      <c r="O257" s="37"/>
      <c r="P257" s="1"/>
      <c r="Q257" s="1"/>
      <c r="R257" s="5"/>
      <c r="S257" s="1"/>
      <c r="T257" s="1"/>
      <c r="U257" s="1"/>
      <c r="V257" s="5"/>
      <c r="W257" s="1"/>
      <c r="X257" s="1"/>
      <c r="Y257" s="1"/>
      <c r="Z257" s="5"/>
    </row>
    <row r="258" spans="1:26" s="23" customFormat="1" collapsed="1" x14ac:dyDescent="0.25">
      <c r="A258" s="10"/>
      <c r="B258" s="29" t="s">
        <v>0</v>
      </c>
      <c r="C258" s="10"/>
      <c r="D258" s="4">
        <f>SUM(OSRRefD25x_0)</f>
        <v>43280.39</v>
      </c>
      <c r="E258" s="4"/>
      <c r="F258" s="12">
        <f t="shared" ref="F258:F267" si="130">IF(D$12=0,0,D258/D$12)</f>
        <v>1.8381041346429386E-2</v>
      </c>
      <c r="G258" s="4"/>
      <c r="H258" s="4">
        <f>SUM(OSRRefH25x_0)</f>
        <v>58214.38</v>
      </c>
      <c r="I258" s="4"/>
      <c r="J258" s="12">
        <f t="shared" ref="J258:J267" si="131">IF(H$12=0,0,H258/H$12)</f>
        <v>2.0966773736834952E-2</v>
      </c>
      <c r="K258" s="4"/>
      <c r="L258" s="4">
        <f t="shared" ref="L258:L267" si="132">+D258-H258</f>
        <v>-14933.989999999998</v>
      </c>
      <c r="M258" s="4"/>
      <c r="N258" s="12">
        <f t="shared" ref="N258:N267" si="133">IF(H258=0,0,L258/H258)</f>
        <v>-0.25653438205474316</v>
      </c>
      <c r="O258" s="10"/>
      <c r="P258" s="4">
        <f>SUM(OSRRefP25x_0)</f>
        <v>466746.72</v>
      </c>
      <c r="Q258" s="4"/>
      <c r="R258" s="12">
        <f t="shared" ref="R258:R267" si="134">IF(P$12=0,0,P258/P$12)</f>
        <v>4.9148832328999179E-2</v>
      </c>
      <c r="S258" s="4"/>
      <c r="T258" s="4">
        <f>SUM(OSRRefT25x_0)</f>
        <v>449547.54000000004</v>
      </c>
      <c r="U258" s="4"/>
      <c r="V258" s="12">
        <f t="shared" ref="V258:V267" si="135">IF(T$12=0,0,T258/T$12)</f>
        <v>4.3885766849013456E-2</v>
      </c>
      <c r="W258" s="4"/>
      <c r="X258" s="4">
        <f t="shared" ref="X258:X267" si="136">+P258-T258</f>
        <v>17199.179999999935</v>
      </c>
      <c r="Y258" s="4"/>
      <c r="Z258" s="12">
        <f t="shared" ref="Z258:Z267" si="137">IF(T258=0,0,X258/T258)</f>
        <v>3.8258868016494835E-2</v>
      </c>
    </row>
    <row r="259" spans="1:26" s="24" customFormat="1" hidden="1" outlineLevel="1" x14ac:dyDescent="0.25">
      <c r="A259" s="44"/>
      <c r="B259" s="11" t="str">
        <f>CONCATENATE("          ", "4098", " - ", "TAXABLE SALES-GRAD RENTALS")</f>
        <v xml:space="preserve">          4098 - TAXABLE SALES-GRAD RENTALS</v>
      </c>
      <c r="C259" s="11"/>
      <c r="D259" s="2">
        <f>--320</f>
        <v>320</v>
      </c>
      <c r="E259" s="2"/>
      <c r="F259" s="19">
        <f t="shared" si="130"/>
        <v>1.3590296277037715E-4</v>
      </c>
      <c r="G259" s="2"/>
      <c r="H259" s="2">
        <f>0</f>
        <v>0</v>
      </c>
      <c r="I259" s="2"/>
      <c r="J259" s="19">
        <f t="shared" si="131"/>
        <v>0</v>
      </c>
      <c r="K259" s="2"/>
      <c r="L259" s="2">
        <f t="shared" si="132"/>
        <v>320</v>
      </c>
      <c r="M259" s="2"/>
      <c r="N259" s="19">
        <f t="shared" si="133"/>
        <v>0</v>
      </c>
      <c r="O259" s="11"/>
      <c r="P259" s="2">
        <f>--1946.85</f>
        <v>1946.85</v>
      </c>
      <c r="Q259" s="2"/>
      <c r="R259" s="19">
        <f t="shared" si="134"/>
        <v>2.0500498475856896E-4</v>
      </c>
      <c r="S259" s="2"/>
      <c r="T259" s="2">
        <f>--2269.5</f>
        <v>2269.5</v>
      </c>
      <c r="U259" s="2"/>
      <c r="V259" s="19">
        <f t="shared" si="135"/>
        <v>2.2155331528192997E-4</v>
      </c>
      <c r="W259" s="2"/>
      <c r="X259" s="2">
        <f t="shared" si="136"/>
        <v>-322.65000000000009</v>
      </c>
      <c r="Y259" s="2"/>
      <c r="Z259" s="19">
        <f t="shared" si="137"/>
        <v>-0.14216787838731001</v>
      </c>
    </row>
    <row r="260" spans="1:26" s="24" customFormat="1" hidden="1" outlineLevel="1" x14ac:dyDescent="0.25">
      <c r="A260" s="44"/>
      <c r="B260" s="11" t="str">
        <f>CONCATENATE("          ", "4197", " - ", "NON-TAXABLE SALES-RETURNED CHE")</f>
        <v xml:space="preserve">          4197 - NON-TAXABLE SALES-RETURNED CHE</v>
      </c>
      <c r="C260" s="11"/>
      <c r="D260" s="2">
        <f>0</f>
        <v>0</v>
      </c>
      <c r="E260" s="2"/>
      <c r="F260" s="19">
        <f t="shared" si="130"/>
        <v>0</v>
      </c>
      <c r="G260" s="2"/>
      <c r="H260" s="2">
        <f>--75</f>
        <v>75</v>
      </c>
      <c r="I260" s="2"/>
      <c r="J260" s="19">
        <f t="shared" si="131"/>
        <v>2.7012364131725208E-5</v>
      </c>
      <c r="K260" s="2"/>
      <c r="L260" s="2">
        <f t="shared" si="132"/>
        <v>-75</v>
      </c>
      <c r="M260" s="2"/>
      <c r="N260" s="19">
        <f t="shared" si="133"/>
        <v>-1</v>
      </c>
      <c r="O260" s="11"/>
      <c r="P260" s="2">
        <f>--30</f>
        <v>30</v>
      </c>
      <c r="Q260" s="2"/>
      <c r="R260" s="19">
        <f t="shared" si="134"/>
        <v>3.1590258842525459E-6</v>
      </c>
      <c r="S260" s="2"/>
      <c r="T260" s="2">
        <f>--335</f>
        <v>335</v>
      </c>
      <c r="U260" s="2"/>
      <c r="V260" s="19">
        <f t="shared" si="135"/>
        <v>3.2703397497002221E-5</v>
      </c>
      <c r="W260" s="2"/>
      <c r="X260" s="2">
        <f t="shared" si="136"/>
        <v>-305</v>
      </c>
      <c r="Y260" s="2"/>
      <c r="Z260" s="19">
        <f t="shared" si="137"/>
        <v>-0.91044776119402981</v>
      </c>
    </row>
    <row r="261" spans="1:26" s="24" customFormat="1" hidden="1" outlineLevel="1" x14ac:dyDescent="0.25">
      <c r="A261" s="44"/>
      <c r="B261" s="11" t="str">
        <f>CONCATENATE("          ", "4198", " - ", "NON-TAXABLE SALES-GRAD RENTALS")</f>
        <v xml:space="preserve">          4198 - NON-TAXABLE SALES-GRAD RENTALS</v>
      </c>
      <c r="C261" s="11"/>
      <c r="D261" s="2">
        <f>--3237.1</f>
        <v>3237.1</v>
      </c>
      <c r="E261" s="2"/>
      <c r="F261" s="19">
        <f t="shared" si="130"/>
        <v>1.3747858774499622E-3</v>
      </c>
      <c r="G261" s="2"/>
      <c r="H261" s="2">
        <f>--15</f>
        <v>15</v>
      </c>
      <c r="I261" s="2"/>
      <c r="J261" s="19">
        <f t="shared" si="131"/>
        <v>5.4024728263450421E-6</v>
      </c>
      <c r="K261" s="2"/>
      <c r="L261" s="2">
        <f t="shared" si="132"/>
        <v>3222.1</v>
      </c>
      <c r="M261" s="2"/>
      <c r="N261" s="19">
        <f t="shared" si="133"/>
        <v>214.80666666666667</v>
      </c>
      <c r="O261" s="11"/>
      <c r="P261" s="2">
        <f>--3732.1</f>
        <v>3732.1</v>
      </c>
      <c r="Q261" s="2"/>
      <c r="R261" s="19">
        <f t="shared" si="134"/>
        <v>3.9299335008729754E-4</v>
      </c>
      <c r="S261" s="2"/>
      <c r="T261" s="2">
        <f>--465</f>
        <v>465</v>
      </c>
      <c r="U261" s="2"/>
      <c r="V261" s="19">
        <f t="shared" si="135"/>
        <v>4.5394268167480693E-5</v>
      </c>
      <c r="W261" s="2"/>
      <c r="X261" s="2">
        <f t="shared" si="136"/>
        <v>3267.1</v>
      </c>
      <c r="Y261" s="2"/>
      <c r="Z261" s="19">
        <f t="shared" si="137"/>
        <v>7.0260215053763435</v>
      </c>
    </row>
    <row r="262" spans="1:26" s="24" customFormat="1" hidden="1" outlineLevel="1" x14ac:dyDescent="0.25">
      <c r="A262" s="44"/>
      <c r="B262" s="11" t="str">
        <f>CONCATENATE("          ", "9150", " - ", "MISC. INCOME")</f>
        <v xml:space="preserve">          9150 - MISC. INCOME</v>
      </c>
      <c r="C262" s="11"/>
      <c r="D262" s="2">
        <f>--40793.32</f>
        <v>40793.32</v>
      </c>
      <c r="E262" s="2"/>
      <c r="F262" s="19">
        <f t="shared" si="130"/>
        <v>1.7324790778875256E-2</v>
      </c>
      <c r="G262" s="2"/>
      <c r="H262" s="2">
        <f>--43144.38</f>
        <v>43144.38</v>
      </c>
      <c r="I262" s="2"/>
      <c r="J262" s="19">
        <f t="shared" si="131"/>
        <v>1.5539089370633632E-2</v>
      </c>
      <c r="K262" s="2"/>
      <c r="L262" s="2">
        <f t="shared" si="132"/>
        <v>-2351.0599999999977</v>
      </c>
      <c r="M262" s="2"/>
      <c r="N262" s="19">
        <f t="shared" si="133"/>
        <v>-5.4492844722765693E-2</v>
      </c>
      <c r="O262" s="11"/>
      <c r="P262" s="2">
        <f>--286352.98</f>
        <v>286352.98</v>
      </c>
      <c r="Q262" s="2"/>
      <c r="R262" s="19">
        <f t="shared" si="134"/>
        <v>3.0153215861761718E-2</v>
      </c>
      <c r="S262" s="2"/>
      <c r="T262" s="2">
        <f>--426713.19</f>
        <v>426713.19</v>
      </c>
      <c r="U262" s="2"/>
      <c r="V262" s="19">
        <f t="shared" si="135"/>
        <v>4.1656630059056218E-2</v>
      </c>
      <c r="W262" s="2"/>
      <c r="X262" s="2">
        <f t="shared" si="136"/>
        <v>-140360.21000000002</v>
      </c>
      <c r="Y262" s="2"/>
      <c r="Z262" s="19">
        <f t="shared" si="137"/>
        <v>-0.3289333756005996</v>
      </c>
    </row>
    <row r="263" spans="1:26" s="24" customFormat="1" hidden="1" outlineLevel="1" x14ac:dyDescent="0.25">
      <c r="A263" s="44"/>
      <c r="B263" s="11" t="str">
        <f>CONCATENATE("          ", "9151", " - ", "MISC. INCOME")</f>
        <v xml:space="preserve">          9151 - MISC. INCOME</v>
      </c>
      <c r="C263" s="11"/>
      <c r="D263" s="2">
        <f>-1539.13</f>
        <v>-1539.13</v>
      </c>
      <c r="E263" s="2"/>
      <c r="F263" s="19">
        <f t="shared" si="130"/>
        <v>-6.5366352215240819E-4</v>
      </c>
      <c r="G263" s="2"/>
      <c r="H263" s="2">
        <f>--8392.5</f>
        <v>8392.5</v>
      </c>
      <c r="I263" s="2"/>
      <c r="J263" s="19">
        <f t="shared" si="131"/>
        <v>3.0226835463400509E-3</v>
      </c>
      <c r="K263" s="2"/>
      <c r="L263" s="2">
        <f t="shared" si="132"/>
        <v>-9931.630000000001</v>
      </c>
      <c r="M263" s="2"/>
      <c r="N263" s="19">
        <f t="shared" si="133"/>
        <v>-1.183393506106643</v>
      </c>
      <c r="O263" s="11"/>
      <c r="P263" s="2">
        <f>--85953.38</f>
        <v>85953.38</v>
      </c>
      <c r="Q263" s="2"/>
      <c r="R263" s="19">
        <f t="shared" si="134"/>
        <v>9.0509650752998369E-3</v>
      </c>
      <c r="S263" s="2"/>
      <c r="T263" s="2">
        <f>--9042.27</f>
        <v>9042.27</v>
      </c>
      <c r="U263" s="2"/>
      <c r="V263" s="19">
        <f t="shared" si="135"/>
        <v>8.8272522413498E-4</v>
      </c>
      <c r="W263" s="2"/>
      <c r="X263" s="2">
        <f t="shared" si="136"/>
        <v>76911.11</v>
      </c>
      <c r="Y263" s="2"/>
      <c r="Z263" s="19">
        <f t="shared" si="137"/>
        <v>8.5057303088715557</v>
      </c>
    </row>
    <row r="264" spans="1:26" s="24" customFormat="1" hidden="1" outlineLevel="1" x14ac:dyDescent="0.25">
      <c r="A264" s="44"/>
      <c r="B264" s="11" t="str">
        <f>CONCATENATE("          ", "9152", " - ", "MISC. INCOME")</f>
        <v xml:space="preserve">          9152 - MISC. INCOME</v>
      </c>
      <c r="C264" s="11"/>
      <c r="D264" s="2">
        <f>--469.1</f>
        <v>469.1</v>
      </c>
      <c r="E264" s="2"/>
      <c r="F264" s="19">
        <f t="shared" si="130"/>
        <v>1.9922524948619977E-4</v>
      </c>
      <c r="G264" s="2"/>
      <c r="H264" s="2">
        <f>--6007.5</f>
        <v>6007.5</v>
      </c>
      <c r="I264" s="2"/>
      <c r="J264" s="19">
        <f t="shared" si="131"/>
        <v>2.1636903669511893E-3</v>
      </c>
      <c r="K264" s="2"/>
      <c r="L264" s="2">
        <f t="shared" si="132"/>
        <v>-5538.4</v>
      </c>
      <c r="M264" s="2"/>
      <c r="N264" s="19">
        <f t="shared" si="133"/>
        <v>-0.92191427382438618</v>
      </c>
      <c r="O264" s="11"/>
      <c r="P264" s="2">
        <f>--4699.86</f>
        <v>4699.8599999999997</v>
      </c>
      <c r="Q264" s="2"/>
      <c r="R264" s="19">
        <f t="shared" si="134"/>
        <v>4.9489931307877236E-4</v>
      </c>
      <c r="S264" s="2"/>
      <c r="T264" s="2">
        <f>--9852.58</f>
        <v>9852.58</v>
      </c>
      <c r="U264" s="2"/>
      <c r="V264" s="19">
        <f t="shared" si="135"/>
        <v>9.6182937346571385E-4</v>
      </c>
      <c r="W264" s="2"/>
      <c r="X264" s="2">
        <f t="shared" si="136"/>
        <v>-5152.72</v>
      </c>
      <c r="Y264" s="2"/>
      <c r="Z264" s="19">
        <f t="shared" si="137"/>
        <v>-0.5229817976611203</v>
      </c>
    </row>
    <row r="265" spans="1:26" s="24" customFormat="1" hidden="1" outlineLevel="1" x14ac:dyDescent="0.25">
      <c r="A265" s="44"/>
      <c r="B265" s="11" t="str">
        <f>CONCATENATE("          ", "9153", " - ", "MISC. INCOME")</f>
        <v xml:space="preserve">          9153 - MISC. INCOME</v>
      </c>
      <c r="C265" s="11"/>
      <c r="D265" s="2">
        <f t="shared" ref="D265:D267" si="138">0</f>
        <v>0</v>
      </c>
      <c r="E265" s="2"/>
      <c r="F265" s="19">
        <f t="shared" si="130"/>
        <v>0</v>
      </c>
      <c r="G265" s="2"/>
      <c r="H265" s="2">
        <f>0</f>
        <v>0</v>
      </c>
      <c r="I265" s="2"/>
      <c r="J265" s="19">
        <f t="shared" si="131"/>
        <v>0</v>
      </c>
      <c r="K265" s="2"/>
      <c r="L265" s="2">
        <f t="shared" si="132"/>
        <v>0</v>
      </c>
      <c r="M265" s="2"/>
      <c r="N265" s="19">
        <f t="shared" si="133"/>
        <v>0</v>
      </c>
      <c r="O265" s="11"/>
      <c r="P265" s="2">
        <f>--450</f>
        <v>450</v>
      </c>
      <c r="Q265" s="2"/>
      <c r="R265" s="19">
        <f t="shared" si="134"/>
        <v>4.7385388263788187E-5</v>
      </c>
      <c r="S265" s="2"/>
      <c r="T265" s="2">
        <f>0</f>
        <v>0</v>
      </c>
      <c r="U265" s="2"/>
      <c r="V265" s="19">
        <f t="shared" si="135"/>
        <v>0</v>
      </c>
      <c r="W265" s="2"/>
      <c r="X265" s="2">
        <f t="shared" si="136"/>
        <v>450</v>
      </c>
      <c r="Y265" s="2"/>
      <c r="Z265" s="19">
        <f t="shared" si="137"/>
        <v>0</v>
      </c>
    </row>
    <row r="266" spans="1:26" s="24" customFormat="1" hidden="1" outlineLevel="1" x14ac:dyDescent="0.25">
      <c r="A266" s="44"/>
      <c r="B266" s="11" t="str">
        <f>CONCATENATE("          ", "9160", " - ", "MISC. INCOME")</f>
        <v xml:space="preserve">          9160 - MISC. INCOME</v>
      </c>
      <c r="C266" s="11"/>
      <c r="D266" s="2">
        <f t="shared" si="138"/>
        <v>0</v>
      </c>
      <c r="E266" s="2"/>
      <c r="F266" s="19">
        <f t="shared" si="130"/>
        <v>0</v>
      </c>
      <c r="G266" s="2"/>
      <c r="H266" s="2">
        <f>--580</f>
        <v>580</v>
      </c>
      <c r="I266" s="2"/>
      <c r="J266" s="19">
        <f t="shared" si="131"/>
        <v>2.088956159520083E-4</v>
      </c>
      <c r="K266" s="2"/>
      <c r="L266" s="2">
        <f t="shared" si="132"/>
        <v>-580</v>
      </c>
      <c r="M266" s="2"/>
      <c r="N266" s="19">
        <f t="shared" si="133"/>
        <v>-1</v>
      </c>
      <c r="O266" s="11"/>
      <c r="P266" s="2">
        <f>--22475</f>
        <v>22475</v>
      </c>
      <c r="Q266" s="2"/>
      <c r="R266" s="19">
        <f t="shared" si="134"/>
        <v>2.3666368916191991E-3</v>
      </c>
      <c r="S266" s="2"/>
      <c r="T266" s="2">
        <f>--870</f>
        <v>870</v>
      </c>
      <c r="U266" s="2"/>
      <c r="V266" s="19">
        <f t="shared" si="135"/>
        <v>8.4931211410125168E-5</v>
      </c>
      <c r="W266" s="2"/>
      <c r="X266" s="2">
        <f t="shared" si="136"/>
        <v>21605</v>
      </c>
      <c r="Y266" s="2"/>
      <c r="Z266" s="19">
        <f t="shared" si="137"/>
        <v>24.833333333333332</v>
      </c>
    </row>
    <row r="267" spans="1:26" s="24" customFormat="1" hidden="1" outlineLevel="1" x14ac:dyDescent="0.25">
      <c r="A267" s="44"/>
      <c r="B267" s="11" t="str">
        <f>CONCATENATE("          ", "9163", " - ", "MISC. INCOME")</f>
        <v xml:space="preserve">          9163 - MISC. INCOME</v>
      </c>
      <c r="C267" s="11"/>
      <c r="D267" s="2">
        <f t="shared" si="138"/>
        <v>0</v>
      </c>
      <c r="E267" s="2"/>
      <c r="F267" s="19">
        <f t="shared" si="130"/>
        <v>0</v>
      </c>
      <c r="G267" s="2"/>
      <c r="H267" s="2">
        <f>0</f>
        <v>0</v>
      </c>
      <c r="I267" s="2"/>
      <c r="J267" s="19">
        <f t="shared" si="131"/>
        <v>0</v>
      </c>
      <c r="K267" s="2"/>
      <c r="L267" s="2">
        <f t="shared" si="132"/>
        <v>0</v>
      </c>
      <c r="M267" s="2"/>
      <c r="N267" s="19">
        <f t="shared" si="133"/>
        <v>0</v>
      </c>
      <c r="O267" s="11"/>
      <c r="P267" s="2">
        <f>--61106.55</f>
        <v>61106.55</v>
      </c>
      <c r="Q267" s="2"/>
      <c r="R267" s="19">
        <f t="shared" si="134"/>
        <v>6.4345724382457474E-3</v>
      </c>
      <c r="S267" s="2"/>
      <c r="T267" s="2">
        <f>0</f>
        <v>0</v>
      </c>
      <c r="U267" s="2"/>
      <c r="V267" s="19">
        <f t="shared" si="135"/>
        <v>0</v>
      </c>
      <c r="W267" s="2"/>
      <c r="X267" s="2">
        <f t="shared" si="136"/>
        <v>61106.55</v>
      </c>
      <c r="Y267" s="2"/>
      <c r="Z267" s="19">
        <f t="shared" si="137"/>
        <v>0</v>
      </c>
    </row>
    <row r="268" spans="1:26" x14ac:dyDescent="0.25">
      <c r="A268" s="9"/>
      <c r="B268" s="10"/>
      <c r="C268" s="10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O268" s="10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10"/>
      <c r="B269" s="28" t="s">
        <v>3</v>
      </c>
      <c r="C269" s="28"/>
      <c r="D269" s="21">
        <f>+D164-D166+D258</f>
        <v>556074.81000000029</v>
      </c>
      <c r="E269" s="14"/>
      <c r="F269" s="22">
        <f>IF(D$12=0,0,D269/D$12)</f>
        <v>0.2361631693780456</v>
      </c>
      <c r="G269" s="14"/>
      <c r="H269" s="21">
        <f>+H164-H166+H258</f>
        <v>471441.87000000046</v>
      </c>
      <c r="I269" s="14"/>
      <c r="J269" s="22">
        <f>IF(H$12=0,0,H269/H$12)</f>
        <v>0.16979679279175294</v>
      </c>
      <c r="K269" s="16"/>
      <c r="L269" s="21">
        <f>+D269-H269</f>
        <v>84632.939999999828</v>
      </c>
      <c r="M269" s="16"/>
      <c r="N269" s="22">
        <f>IF(H269=0,0,L269/H269)</f>
        <v>0.17951935410403777</v>
      </c>
      <c r="O269" s="29"/>
      <c r="P269" s="21">
        <f>+P164-P166+P258</f>
        <v>1248071.8799999899</v>
      </c>
      <c r="Q269" s="14"/>
      <c r="R269" s="22">
        <f>IF(P$12=0,0,P269/P$12)</f>
        <v>0.13142304581092351</v>
      </c>
      <c r="S269" s="14"/>
      <c r="T269" s="21">
        <f>+T164-T166+T258</f>
        <v>1098294.9700000002</v>
      </c>
      <c r="U269" s="14"/>
      <c r="V269" s="22">
        <f>IF(T$12=0,0,T269/T$12)</f>
        <v>0.10721784171005413</v>
      </c>
      <c r="W269" s="16"/>
      <c r="X269" s="21">
        <f>+P269-T269</f>
        <v>149776.90999998967</v>
      </c>
      <c r="Y269" s="16"/>
      <c r="Z269" s="22">
        <f>IF(T269=0,0,X269/T269)</f>
        <v>0.13637220791422694</v>
      </c>
    </row>
    <row r="270" spans="1:26" x14ac:dyDescent="0.25">
      <c r="A270" s="9"/>
      <c r="B270" s="10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x14ac:dyDescent="0.25">
      <c r="A271" s="51"/>
      <c r="B271" s="10" t="s">
        <v>13</v>
      </c>
      <c r="C271" s="10"/>
      <c r="D271" s="4">
        <v>218972.16</v>
      </c>
      <c r="E271" s="4"/>
      <c r="F271" s="12">
        <f>IF(D$12=0,0,D271/D$12)</f>
        <v>9.2996766588215846E-2</v>
      </c>
      <c r="G271" s="4"/>
      <c r="H271" s="4">
        <v>236478.89</v>
      </c>
      <c r="I271" s="4"/>
      <c r="J271" s="12">
        <f>IF(H$12=0,0,H271/H$12)</f>
        <v>8.5171385148615886E-2</v>
      </c>
      <c r="K271" s="4"/>
      <c r="L271" s="4">
        <f>+D271-H271</f>
        <v>-17506.73000000001</v>
      </c>
      <c r="M271" s="4"/>
      <c r="N271" s="12">
        <f>IF(H271=0,0,L271/H271)</f>
        <v>-7.4030836325390439E-2</v>
      </c>
      <c r="O271" s="10"/>
      <c r="P271" s="4">
        <v>990360.7</v>
      </c>
      <c r="Q271" s="4"/>
      <c r="R271" s="12">
        <f>IF(P$12=0,0,P271/P$12)</f>
        <v>0.10428583620154901</v>
      </c>
      <c r="S271" s="4"/>
      <c r="T271" s="4">
        <v>1042289.6199999999</v>
      </c>
      <c r="U271" s="4"/>
      <c r="V271" s="12">
        <f>IF(T$12=0,0,T271/T$12)</f>
        <v>0.10175048283540117</v>
      </c>
      <c r="W271" s="4"/>
      <c r="X271" s="4">
        <f>+P271-T271</f>
        <v>-51928.919999999925</v>
      </c>
      <c r="Y271" s="4"/>
      <c r="Z271" s="12">
        <f>IF(T271=0,0,X271/T271)</f>
        <v>-4.982196790945681E-2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ht="15.75" thickBot="1" x14ac:dyDescent="0.3">
      <c r="A273" s="10"/>
      <c r="B273" s="28" t="s">
        <v>4</v>
      </c>
      <c r="C273" s="28"/>
      <c r="D273" s="34">
        <f>+D269-D271</f>
        <v>337102.65000000026</v>
      </c>
      <c r="E273" s="14"/>
      <c r="F273" s="31">
        <f>IF(D$12=0,0,D273/D$12)</f>
        <v>0.14316640278982973</v>
      </c>
      <c r="G273" s="14"/>
      <c r="H273" s="34">
        <f>+H269-H271</f>
        <v>234962.98000000045</v>
      </c>
      <c r="I273" s="14"/>
      <c r="J273" s="31">
        <f>IF(H$12=0,0,H273/H$12)</f>
        <v>8.4625407643137071E-2</v>
      </c>
      <c r="K273" s="16"/>
      <c r="L273" s="34">
        <f>D273-H273</f>
        <v>102139.66999999981</v>
      </c>
      <c r="M273" s="16"/>
      <c r="N273" s="31">
        <f>IF(H273=0,0,L273/H273)</f>
        <v>0.43470537358693534</v>
      </c>
      <c r="O273" s="29"/>
      <c r="P273" s="34">
        <f>+P269-P271</f>
        <v>257711.17999998992</v>
      </c>
      <c r="Q273" s="14"/>
      <c r="R273" s="31">
        <f>IF(P$12=0,0,P273/P$12)</f>
        <v>2.7137209609374508E-2</v>
      </c>
      <c r="S273" s="14"/>
      <c r="T273" s="34">
        <f>+T269-T271</f>
        <v>56005.350000000326</v>
      </c>
      <c r="U273" s="14"/>
      <c r="V273" s="31">
        <f>IF(T$12=0,0,T273/T$12)</f>
        <v>5.4673588746529675E-3</v>
      </c>
      <c r="W273" s="16"/>
      <c r="X273" s="34">
        <f>P273-T273</f>
        <v>201705.8299999896</v>
      </c>
      <c r="Y273" s="16"/>
      <c r="Z273" s="31">
        <f>IF(T273=0,0,X273/T273)</f>
        <v>3.6015457451830661</v>
      </c>
    </row>
    <row r="274" spans="1:26" ht="15.75" thickTop="1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8" t="s">
        <v>5</v>
      </c>
      <c r="C276" s="28"/>
      <c r="D276" s="30">
        <f>SUM(D273:D275)</f>
        <v>337102.65000000026</v>
      </c>
      <c r="E276" s="14"/>
      <c r="F276" s="33">
        <f>IF(D$12=0,0,D276/D$12)</f>
        <v>0.14316640278982973</v>
      </c>
      <c r="G276" s="14"/>
      <c r="H276" s="30">
        <f>SUM(H273:H275)</f>
        <v>234962.98000000045</v>
      </c>
      <c r="I276" s="14"/>
      <c r="J276" s="33">
        <f>IF(H$12=0,0,H276/H$12)</f>
        <v>8.4625407643137071E-2</v>
      </c>
      <c r="K276" s="16"/>
      <c r="L276" s="30">
        <f>+D276-H276</f>
        <v>102139.66999999981</v>
      </c>
      <c r="M276" s="16"/>
      <c r="N276" s="33">
        <f>IF(H276=0,0,L276/H276)</f>
        <v>0.43470537358693534</v>
      </c>
      <c r="O276" s="29"/>
      <c r="P276" s="30">
        <f>SUM(P273:P275)</f>
        <v>257711.17999998992</v>
      </c>
      <c r="Q276" s="14"/>
      <c r="R276" s="33">
        <f>IF(P$12=0,0,P276/P$12)</f>
        <v>2.7137209609374508E-2</v>
      </c>
      <c r="S276" s="14"/>
      <c r="T276" s="30">
        <f>SUM(T273:T275)</f>
        <v>56005.350000000326</v>
      </c>
      <c r="U276" s="14"/>
      <c r="V276" s="33">
        <f>IF(T$12=0,0,T276/T$12)</f>
        <v>5.4673588746529675E-3</v>
      </c>
      <c r="W276" s="16"/>
      <c r="X276" s="30">
        <f>+P276-T276</f>
        <v>201705.8299999896</v>
      </c>
      <c r="Y276" s="16"/>
      <c r="Z276" s="33">
        <f>IF(T276=0,0,X276/T276)</f>
        <v>3.6015457451830661</v>
      </c>
    </row>
    <row r="277" spans="1:26" ht="15.75" thickTop="1" x14ac:dyDescent="0.25">
      <c r="A277" s="9"/>
      <c r="C277" s="9"/>
      <c r="D277" s="17"/>
      <c r="E277" s="17"/>
      <c r="G277" s="17"/>
      <c r="H277" s="17"/>
      <c r="I277" s="17"/>
      <c r="J277" s="42"/>
      <c r="K277" s="17"/>
      <c r="L277" s="17"/>
      <c r="M277" s="17"/>
      <c r="P277" s="17"/>
      <c r="Q277" s="17"/>
      <c r="R277" s="42"/>
      <c r="S277" s="17"/>
      <c r="T277" s="17"/>
      <c r="U277" s="17"/>
      <c r="V277" s="42"/>
      <c r="W277" s="17"/>
      <c r="X277" s="17"/>
    </row>
    <row r="278" spans="1:26" x14ac:dyDescent="0.25">
      <c r="A278" s="9"/>
      <c r="B278" s="61">
        <v>43879.553219444446</v>
      </c>
      <c r="D278" s="17"/>
      <c r="E278" s="17"/>
      <c r="G278" s="17"/>
      <c r="H278" s="17"/>
      <c r="I278" s="17"/>
      <c r="J278" s="42"/>
      <c r="K278" s="17"/>
      <c r="L278" s="17"/>
      <c r="M278" s="17"/>
      <c r="P278" s="17"/>
      <c r="Q278" s="17"/>
      <c r="R278" s="42"/>
      <c r="S278" s="17"/>
      <c r="T278" s="17"/>
      <c r="U278" s="17"/>
      <c r="V278" s="42"/>
      <c r="W278" s="17"/>
      <c r="X278" s="17"/>
    </row>
    <row r="279" spans="1:26" x14ac:dyDescent="0.25">
      <c r="A279" s="9"/>
      <c r="B279" s="55" t="s">
        <v>313</v>
      </c>
      <c r="D279" s="17"/>
      <c r="E279" s="17"/>
      <c r="G279" s="17"/>
      <c r="H279" s="17"/>
      <c r="I279" s="17"/>
      <c r="J279" s="42"/>
      <c r="K279" s="17"/>
      <c r="L279" s="17"/>
      <c r="M279" s="17"/>
      <c r="P279" s="17"/>
      <c r="Q279" s="17"/>
      <c r="R279" s="42"/>
      <c r="S279" s="17"/>
      <c r="T279" s="17"/>
      <c r="U279" s="17"/>
      <c r="V279" s="42"/>
      <c r="W279" s="17"/>
      <c r="X279" s="17"/>
    </row>
    <row r="280" spans="1:26" x14ac:dyDescent="0.25">
      <c r="A280" s="9"/>
      <c r="B280" s="58"/>
      <c r="D280" s="17"/>
      <c r="E280" s="17"/>
      <c r="G280" s="17"/>
      <c r="H280" s="17"/>
      <c r="I280" s="17"/>
      <c r="J280" s="42"/>
      <c r="K280" s="17"/>
      <c r="L280" s="17"/>
      <c r="M280" s="17"/>
      <c r="P280" s="17"/>
      <c r="Q280" s="17"/>
      <c r="R280" s="42"/>
      <c r="S280" s="17"/>
      <c r="T280" s="17"/>
      <c r="U280" s="17"/>
      <c r="V280" s="42"/>
      <c r="W280" s="17"/>
      <c r="X280" s="17"/>
    </row>
    <row r="281" spans="1:26" x14ac:dyDescent="0.25">
      <c r="D281" s="17"/>
      <c r="E281" s="17"/>
      <c r="G281" s="17"/>
      <c r="H281" s="17"/>
      <c r="I281" s="17"/>
      <c r="J281" s="42"/>
      <c r="K281" s="17"/>
      <c r="L281" s="17"/>
      <c r="M281" s="17"/>
      <c r="P281" s="17"/>
      <c r="Q281" s="17"/>
      <c r="R281" s="42"/>
      <c r="S281" s="17"/>
      <c r="T281" s="17"/>
      <c r="U281" s="17"/>
      <c r="V281" s="42"/>
      <c r="W281" s="17"/>
      <c r="X281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2173430.3299999996</v>
      </c>
      <c r="E12" s="4"/>
      <c r="F12" s="12"/>
      <c r="G12" s="4"/>
      <c r="H12" s="4">
        <f>SUM(OSRRefH13x_0)</f>
        <v>2608125.0300000003</v>
      </c>
      <c r="I12" s="4"/>
      <c r="J12" s="12"/>
      <c r="K12" s="4"/>
      <c r="L12" s="4">
        <f t="shared" ref="L12:L105" si="0">+D12-H12</f>
        <v>-434694.70000000065</v>
      </c>
      <c r="M12" s="4"/>
      <c r="N12" s="12">
        <f t="shared" ref="N12:N105" si="1">IF(H12=0,0,L12/H12)</f>
        <v>-0.16666942535343124</v>
      </c>
      <c r="O12" s="10"/>
      <c r="P12" s="4">
        <f>SUM(OSRRefP13x_0)</f>
        <v>7688614.6399999969</v>
      </c>
      <c r="Q12" s="4"/>
      <c r="R12" s="12"/>
      <c r="S12" s="4"/>
      <c r="T12" s="4">
        <f>SUM(OSRRefT13x_0)</f>
        <v>8520681.5699999966</v>
      </c>
      <c r="U12" s="4"/>
      <c r="V12" s="12"/>
      <c r="W12" s="4"/>
      <c r="X12" s="4">
        <f t="shared" ref="X12:X105" si="2">+P12-T12</f>
        <v>-832066.9299999997</v>
      </c>
      <c r="Y12" s="4"/>
      <c r="Z12" s="12">
        <f t="shared" ref="Z12:Z105" si="3">IF(T12=0,0,X12/T12)</f>
        <v>-9.7652625927200337E-2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>
        <f>--1043516.6</f>
        <v>1043516.6</v>
      </c>
      <c r="I14" s="2"/>
      <c r="J14" s="19"/>
      <c r="K14" s="2"/>
      <c r="L14" s="2">
        <f t="shared" si="0"/>
        <v>-297574.21999999997</v>
      </c>
      <c r="M14" s="2"/>
      <c r="N14" s="19">
        <f t="shared" si="1"/>
        <v>-0.28516481673602506</v>
      </c>
      <c r="O14" s="11"/>
      <c r="P14" s="2">
        <f>--2285976.76</f>
        <v>2285976.7599999998</v>
      </c>
      <c r="Q14" s="2"/>
      <c r="R14" s="19"/>
      <c r="S14" s="2"/>
      <c r="T14" s="2">
        <f>--2913143.85</f>
        <v>2913143.85</v>
      </c>
      <c r="U14" s="2"/>
      <c r="V14" s="19"/>
      <c r="W14" s="2"/>
      <c r="X14" s="2">
        <f t="shared" si="2"/>
        <v>-627167.09000000032</v>
      </c>
      <c r="Y14" s="2"/>
      <c r="Z14" s="19">
        <f t="shared" si="3"/>
        <v>-0.21528874724123229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>
        <f>--553527.23</f>
        <v>553527.23</v>
      </c>
      <c r="I15" s="2"/>
      <c r="J15" s="19"/>
      <c r="K15" s="2"/>
      <c r="L15" s="2">
        <f t="shared" si="0"/>
        <v>-41207.789999999979</v>
      </c>
      <c r="M15" s="2"/>
      <c r="N15" s="19">
        <f t="shared" si="1"/>
        <v>-7.4445822656276514E-2</v>
      </c>
      <c r="O15" s="11"/>
      <c r="P15" s="2">
        <f>--1193414.41</f>
        <v>1193414.4099999999</v>
      </c>
      <c r="Q15" s="2"/>
      <c r="R15" s="19"/>
      <c r="S15" s="2"/>
      <c r="T15" s="2">
        <f>--1309468.68</f>
        <v>1309468.68</v>
      </c>
      <c r="U15" s="2"/>
      <c r="V15" s="19"/>
      <c r="W15" s="2"/>
      <c r="X15" s="2">
        <f t="shared" si="2"/>
        <v>-116054.27000000002</v>
      </c>
      <c r="Y15" s="2"/>
      <c r="Z15" s="19">
        <f t="shared" si="3"/>
        <v>-8.8626991826944668E-2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>
        <f>--4636.4</f>
        <v>4636.3999999999996</v>
      </c>
      <c r="I16" s="2"/>
      <c r="J16" s="19"/>
      <c r="K16" s="2"/>
      <c r="L16" s="2">
        <f t="shared" si="0"/>
        <v>11204.94</v>
      </c>
      <c r="M16" s="2"/>
      <c r="N16" s="19">
        <f t="shared" si="1"/>
        <v>2.416732809938746</v>
      </c>
      <c r="O16" s="11"/>
      <c r="P16" s="2">
        <f>--32272.01</f>
        <v>32272.01</v>
      </c>
      <c r="Q16" s="2"/>
      <c r="R16" s="19"/>
      <c r="S16" s="2"/>
      <c r="T16" s="2">
        <f>--14580.65</f>
        <v>14580.65</v>
      </c>
      <c r="U16" s="2"/>
      <c r="V16" s="19"/>
      <c r="W16" s="2"/>
      <c r="X16" s="2">
        <f t="shared" si="2"/>
        <v>17691.36</v>
      </c>
      <c r="Y16" s="2"/>
      <c r="Z16" s="19">
        <f t="shared" si="3"/>
        <v>1.2133450840668969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>
        <f>--25647.37</f>
        <v>25647.37</v>
      </c>
      <c r="I17" s="2"/>
      <c r="J17" s="19"/>
      <c r="K17" s="2"/>
      <c r="L17" s="2">
        <f t="shared" si="0"/>
        <v>-14725.839999999998</v>
      </c>
      <c r="M17" s="2"/>
      <c r="N17" s="19">
        <f t="shared" si="1"/>
        <v>-0.57416569418228847</v>
      </c>
      <c r="O17" s="11"/>
      <c r="P17" s="2">
        <f>--41201.41</f>
        <v>41201.410000000003</v>
      </c>
      <c r="Q17" s="2"/>
      <c r="R17" s="19"/>
      <c r="S17" s="2"/>
      <c r="T17" s="2">
        <f>--68329.47</f>
        <v>68329.47</v>
      </c>
      <c r="U17" s="2"/>
      <c r="V17" s="19"/>
      <c r="W17" s="2"/>
      <c r="X17" s="2">
        <f t="shared" si="2"/>
        <v>-27128.059999999998</v>
      </c>
      <c r="Y17" s="2"/>
      <c r="Z17" s="19">
        <f t="shared" si="3"/>
        <v>-0.39701844606726788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>
        <f>--229.95</f>
        <v>229.95</v>
      </c>
      <c r="I19" s="2"/>
      <c r="J19" s="19"/>
      <c r="K19" s="2"/>
      <c r="L19" s="2">
        <f t="shared" si="0"/>
        <v>-0.37999999999999545</v>
      </c>
      <c r="M19" s="2"/>
      <c r="N19" s="19">
        <f t="shared" si="1"/>
        <v>-1.6525331593824548E-3</v>
      </c>
      <c r="O19" s="11"/>
      <c r="P19" s="2">
        <f>--1509.89</f>
        <v>1509.89</v>
      </c>
      <c r="Q19" s="2"/>
      <c r="R19" s="19"/>
      <c r="S19" s="2"/>
      <c r="T19" s="2">
        <f>--3078.39</f>
        <v>3078.39</v>
      </c>
      <c r="U19" s="2"/>
      <c r="V19" s="19"/>
      <c r="W19" s="2"/>
      <c r="X19" s="2">
        <f t="shared" si="2"/>
        <v>-1568.4999999999998</v>
      </c>
      <c r="Y19" s="2"/>
      <c r="Z19" s="19">
        <f t="shared" si="3"/>
        <v>-0.50951958653711837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>
        <f>--276.12</f>
        <v>276.12</v>
      </c>
      <c r="I20" s="2"/>
      <c r="J20" s="19"/>
      <c r="K20" s="2"/>
      <c r="L20" s="2">
        <f t="shared" si="0"/>
        <v>-168.64</v>
      </c>
      <c r="M20" s="2"/>
      <c r="N20" s="19">
        <f t="shared" si="1"/>
        <v>-0.61074894973200056</v>
      </c>
      <c r="O20" s="11"/>
      <c r="P20" s="2">
        <f>--1100.17</f>
        <v>1100.17</v>
      </c>
      <c r="Q20" s="2"/>
      <c r="R20" s="19"/>
      <c r="S20" s="2"/>
      <c r="T20" s="2">
        <f>--1486.56</f>
        <v>1486.56</v>
      </c>
      <c r="U20" s="2"/>
      <c r="V20" s="19"/>
      <c r="W20" s="2"/>
      <c r="X20" s="2">
        <f t="shared" si="2"/>
        <v>-386.38999999999987</v>
      </c>
      <c r="Y20" s="2"/>
      <c r="Z20" s="19">
        <f t="shared" si="3"/>
        <v>-0.2599222365730276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>
        <f>--19.37</f>
        <v>19.37</v>
      </c>
      <c r="I21" s="2"/>
      <c r="J21" s="19"/>
      <c r="K21" s="2"/>
      <c r="L21" s="2">
        <f t="shared" si="0"/>
        <v>-6.3900000000000006</v>
      </c>
      <c r="M21" s="2"/>
      <c r="N21" s="19">
        <f t="shared" si="1"/>
        <v>-0.32989158492514198</v>
      </c>
      <c r="O21" s="11"/>
      <c r="P21" s="2">
        <f>--255.12</f>
        <v>255.12</v>
      </c>
      <c r="Q21" s="2"/>
      <c r="R21" s="19"/>
      <c r="S21" s="2"/>
      <c r="T21" s="2">
        <f>--670.39</f>
        <v>670.39</v>
      </c>
      <c r="U21" s="2"/>
      <c r="V21" s="19"/>
      <c r="W21" s="2"/>
      <c r="X21" s="2">
        <f t="shared" si="2"/>
        <v>-415.27</v>
      </c>
      <c r="Y21" s="2"/>
      <c r="Z21" s="19">
        <f t="shared" si="3"/>
        <v>-0.61944539745521265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>
        <f>--861.8</f>
        <v>861.8</v>
      </c>
      <c r="I22" s="2"/>
      <c r="J22" s="19"/>
      <c r="K22" s="2"/>
      <c r="L22" s="2">
        <f t="shared" si="0"/>
        <v>-124.28999999999996</v>
      </c>
      <c r="M22" s="2"/>
      <c r="N22" s="19">
        <f t="shared" si="1"/>
        <v>-0.14422139707588763</v>
      </c>
      <c r="O22" s="11"/>
      <c r="P22" s="2">
        <f>--3627.9</f>
        <v>3627.9</v>
      </c>
      <c r="Q22" s="2"/>
      <c r="R22" s="19"/>
      <c r="S22" s="2"/>
      <c r="T22" s="2">
        <f>--5029.28</f>
        <v>5029.28</v>
      </c>
      <c r="U22" s="2"/>
      <c r="V22" s="19"/>
      <c r="W22" s="2"/>
      <c r="X22" s="2">
        <f t="shared" si="2"/>
        <v>-1401.3799999999997</v>
      </c>
      <c r="Y22" s="2"/>
      <c r="Z22" s="19">
        <f t="shared" si="3"/>
        <v>-0.27864425921801922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--6.49</f>
        <v>6.49</v>
      </c>
      <c r="I23" s="2"/>
      <c r="J23" s="19"/>
      <c r="K23" s="2"/>
      <c r="L23" s="2">
        <f t="shared" si="0"/>
        <v>-6.49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-33.059999999999995</v>
      </c>
      <c r="Y23" s="2"/>
      <c r="Z23" s="19">
        <f t="shared" si="3"/>
        <v>-0.49387511204063334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>
        <f>--4685.73</f>
        <v>4685.7299999999996</v>
      </c>
      <c r="I24" s="2"/>
      <c r="J24" s="19"/>
      <c r="K24" s="2"/>
      <c r="L24" s="2">
        <f t="shared" si="0"/>
        <v>621.6200000000008</v>
      </c>
      <c r="M24" s="2"/>
      <c r="N24" s="19">
        <f t="shared" si="1"/>
        <v>0.13266235997379294</v>
      </c>
      <c r="O24" s="11"/>
      <c r="P24" s="2">
        <f>--40440.45</f>
        <v>40440.449999999997</v>
      </c>
      <c r="Q24" s="2"/>
      <c r="R24" s="19"/>
      <c r="S24" s="2"/>
      <c r="T24" s="2">
        <f>--38576.97</f>
        <v>38576.97</v>
      </c>
      <c r="U24" s="2"/>
      <c r="V24" s="19"/>
      <c r="W24" s="2"/>
      <c r="X24" s="2">
        <f t="shared" si="2"/>
        <v>1863.4799999999959</v>
      </c>
      <c r="Y24" s="2"/>
      <c r="Z24" s="19">
        <f t="shared" si="3"/>
        <v>4.8305504553623466E-2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>
        <f>--10467.53</f>
        <v>10467.530000000001</v>
      </c>
      <c r="I25" s="2"/>
      <c r="J25" s="19"/>
      <c r="K25" s="2"/>
      <c r="L25" s="2">
        <f t="shared" si="0"/>
        <v>3293.7899999999991</v>
      </c>
      <c r="M25" s="2"/>
      <c r="N25" s="19">
        <f t="shared" si="1"/>
        <v>0.31466735705558035</v>
      </c>
      <c r="O25" s="11"/>
      <c r="P25" s="2">
        <f>--63689.49</f>
        <v>63689.49</v>
      </c>
      <c r="Q25" s="2"/>
      <c r="R25" s="19"/>
      <c r="S25" s="2"/>
      <c r="T25" s="2">
        <f>--52629.6</f>
        <v>52629.599999999999</v>
      </c>
      <c r="U25" s="2"/>
      <c r="V25" s="19"/>
      <c r="W25" s="2"/>
      <c r="X25" s="2">
        <f t="shared" si="2"/>
        <v>11059.89</v>
      </c>
      <c r="Y25" s="2"/>
      <c r="Z25" s="19">
        <f t="shared" si="3"/>
        <v>0.21014581148251174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>
        <f>--61066.92</f>
        <v>61066.92</v>
      </c>
      <c r="I26" s="2"/>
      <c r="J26" s="19"/>
      <c r="K26" s="2"/>
      <c r="L26" s="2">
        <f t="shared" si="0"/>
        <v>5222.9300000000076</v>
      </c>
      <c r="M26" s="2"/>
      <c r="N26" s="19">
        <f t="shared" si="1"/>
        <v>8.5527974883947117E-2</v>
      </c>
      <c r="O26" s="11"/>
      <c r="P26" s="2">
        <f>--231647.32</f>
        <v>231647.32</v>
      </c>
      <c r="Q26" s="2"/>
      <c r="R26" s="19"/>
      <c r="S26" s="2"/>
      <c r="T26" s="2">
        <f>--212258.91</f>
        <v>212258.91</v>
      </c>
      <c r="U26" s="2"/>
      <c r="V26" s="19"/>
      <c r="W26" s="2"/>
      <c r="X26" s="2">
        <f t="shared" si="2"/>
        <v>19388.410000000003</v>
      </c>
      <c r="Y26" s="2"/>
      <c r="Z26" s="19">
        <f t="shared" si="3"/>
        <v>9.1343209102506012E-2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>
        <f>--40129.85</f>
        <v>40129.85</v>
      </c>
      <c r="I27" s="2"/>
      <c r="J27" s="19"/>
      <c r="K27" s="2"/>
      <c r="L27" s="2">
        <f t="shared" si="0"/>
        <v>2905.3600000000006</v>
      </c>
      <c r="M27" s="2"/>
      <c r="N27" s="19">
        <f t="shared" si="1"/>
        <v>7.2398974827964743E-2</v>
      </c>
      <c r="O27" s="11"/>
      <c r="P27" s="2">
        <f>--232672.78</f>
        <v>232672.78</v>
      </c>
      <c r="Q27" s="2"/>
      <c r="R27" s="19"/>
      <c r="S27" s="2"/>
      <c r="T27" s="2">
        <f>--236358.8</f>
        <v>236358.8</v>
      </c>
      <c r="U27" s="2"/>
      <c r="V27" s="19"/>
      <c r="W27" s="2"/>
      <c r="X27" s="2">
        <f t="shared" si="2"/>
        <v>-3686.0199999999895</v>
      </c>
      <c r="Y27" s="2"/>
      <c r="Z27" s="19">
        <f t="shared" si="3"/>
        <v>-1.559501909808304E-2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>
        <f>--38.84</f>
        <v>38.840000000000003</v>
      </c>
      <c r="I28" s="2"/>
      <c r="J28" s="19"/>
      <c r="K28" s="2"/>
      <c r="L28" s="2">
        <f t="shared" si="0"/>
        <v>4.1899999999999977</v>
      </c>
      <c r="M28" s="2"/>
      <c r="N28" s="19">
        <f t="shared" si="1"/>
        <v>0.10787847579814618</v>
      </c>
      <c r="O28" s="11"/>
      <c r="P28" s="2">
        <f>--349.97</f>
        <v>349.97</v>
      </c>
      <c r="Q28" s="2"/>
      <c r="R28" s="19"/>
      <c r="S28" s="2"/>
      <c r="T28" s="2">
        <f>--362.36</f>
        <v>362.36</v>
      </c>
      <c r="U28" s="2"/>
      <c r="V28" s="19"/>
      <c r="W28" s="2"/>
      <c r="X28" s="2">
        <f t="shared" si="2"/>
        <v>-12.389999999999986</v>
      </c>
      <c r="Y28" s="2"/>
      <c r="Z28" s="19">
        <f t="shared" si="3"/>
        <v>-3.4192515730213008E-2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--242.25</f>
        <v>242.25</v>
      </c>
      <c r="E29" s="2"/>
      <c r="F29" s="19"/>
      <c r="G29" s="2"/>
      <c r="H29" s="2">
        <f>--14.31</f>
        <v>14.31</v>
      </c>
      <c r="I29" s="2"/>
      <c r="J29" s="19"/>
      <c r="K29" s="2"/>
      <c r="L29" s="2">
        <f t="shared" si="0"/>
        <v>227.94</v>
      </c>
      <c r="M29" s="2"/>
      <c r="N29" s="19">
        <f t="shared" si="1"/>
        <v>15.928721174004192</v>
      </c>
      <c r="O29" s="11"/>
      <c r="P29" s="2">
        <f>--1108.59</f>
        <v>1108.5899999999999</v>
      </c>
      <c r="Q29" s="2"/>
      <c r="R29" s="19"/>
      <c r="S29" s="2"/>
      <c r="T29" s="2">
        <f>--257.92</f>
        <v>257.92</v>
      </c>
      <c r="U29" s="2"/>
      <c r="V29" s="19"/>
      <c r="W29" s="2"/>
      <c r="X29" s="2">
        <f t="shared" si="2"/>
        <v>850.66999999999985</v>
      </c>
      <c r="Y29" s="2"/>
      <c r="Z29" s="19">
        <f t="shared" si="3"/>
        <v>3.2981932382133987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>
        <f>--15.65</f>
        <v>15.65</v>
      </c>
      <c r="I30" s="2"/>
      <c r="J30" s="19"/>
      <c r="K30" s="2"/>
      <c r="L30" s="2">
        <f t="shared" si="0"/>
        <v>-0.51999999999999957</v>
      </c>
      <c r="M30" s="2"/>
      <c r="N30" s="19">
        <f t="shared" si="1"/>
        <v>-3.3226837060702848E-2</v>
      </c>
      <c r="O30" s="11"/>
      <c r="P30" s="2">
        <f>--146.15</f>
        <v>146.15</v>
      </c>
      <c r="Q30" s="2"/>
      <c r="R30" s="19"/>
      <c r="S30" s="2"/>
      <c r="T30" s="2">
        <f>--128.1</f>
        <v>128.1</v>
      </c>
      <c r="U30" s="2"/>
      <c r="V30" s="19"/>
      <c r="W30" s="2"/>
      <c r="X30" s="2">
        <f t="shared" si="2"/>
        <v>18.050000000000011</v>
      </c>
      <c r="Y30" s="2"/>
      <c r="Z30" s="19">
        <f t="shared" si="3"/>
        <v>0.14090554254488691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--479.73</f>
        <v>479.73</v>
      </c>
      <c r="E31" s="2"/>
      <c r="F31" s="19"/>
      <c r="G31" s="2"/>
      <c r="H31" s="2">
        <f>--448.53</f>
        <v>448.53</v>
      </c>
      <c r="I31" s="2"/>
      <c r="J31" s="19"/>
      <c r="K31" s="2"/>
      <c r="L31" s="2">
        <f t="shared" si="0"/>
        <v>31.200000000000045</v>
      </c>
      <c r="M31" s="2"/>
      <c r="N31" s="19">
        <f t="shared" si="1"/>
        <v>6.9560564510735168E-2</v>
      </c>
      <c r="O31" s="11"/>
      <c r="P31" s="2">
        <f>--5751.24</f>
        <v>5751.24</v>
      </c>
      <c r="Q31" s="2"/>
      <c r="R31" s="19"/>
      <c r="S31" s="2"/>
      <c r="T31" s="2">
        <f>--4876.06</f>
        <v>4876.0600000000004</v>
      </c>
      <c r="U31" s="2"/>
      <c r="V31" s="19"/>
      <c r="W31" s="2"/>
      <c r="X31" s="2">
        <f t="shared" si="2"/>
        <v>875.17999999999938</v>
      </c>
      <c r="Y31" s="2"/>
      <c r="Z31" s="19">
        <f t="shared" si="3"/>
        <v>0.17948507606551176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>
        <f>--185.14</f>
        <v>185.14</v>
      </c>
      <c r="I32" s="2"/>
      <c r="J32" s="19"/>
      <c r="K32" s="2"/>
      <c r="L32" s="2">
        <f t="shared" si="0"/>
        <v>-13.739999999999981</v>
      </c>
      <c r="M32" s="2"/>
      <c r="N32" s="19">
        <f t="shared" si="1"/>
        <v>-7.421410824241105E-2</v>
      </c>
      <c r="O32" s="11"/>
      <c r="P32" s="2">
        <f>--1438.49</f>
        <v>1438.49</v>
      </c>
      <c r="Q32" s="2"/>
      <c r="R32" s="19"/>
      <c r="S32" s="2"/>
      <c r="T32" s="2">
        <f>--1774.77</f>
        <v>1774.77</v>
      </c>
      <c r="U32" s="2"/>
      <c r="V32" s="19"/>
      <c r="W32" s="2"/>
      <c r="X32" s="2">
        <f t="shared" si="2"/>
        <v>-336.28</v>
      </c>
      <c r="Y32" s="2"/>
      <c r="Z32" s="19">
        <f t="shared" si="3"/>
        <v>-0.18947807321512081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>
        <f>--55.84</f>
        <v>55.84</v>
      </c>
      <c r="I33" s="2"/>
      <c r="J33" s="19"/>
      <c r="K33" s="2"/>
      <c r="L33" s="2">
        <f t="shared" si="0"/>
        <v>-38</v>
      </c>
      <c r="M33" s="2"/>
      <c r="N33" s="19">
        <f t="shared" si="1"/>
        <v>-0.68051575931232089</v>
      </c>
      <c r="O33" s="11"/>
      <c r="P33" s="2">
        <f>--414.1</f>
        <v>414.1</v>
      </c>
      <c r="Q33" s="2"/>
      <c r="R33" s="19"/>
      <c r="S33" s="2"/>
      <c r="T33" s="2">
        <f>--473.67</f>
        <v>473.67</v>
      </c>
      <c r="U33" s="2"/>
      <c r="V33" s="19"/>
      <c r="W33" s="2"/>
      <c r="X33" s="2">
        <f t="shared" si="2"/>
        <v>-59.569999999999993</v>
      </c>
      <c r="Y33" s="2"/>
      <c r="Z33" s="19">
        <f t="shared" si="3"/>
        <v>-0.12576266176874193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>
        <f>--170910.81</f>
        <v>170910.81</v>
      </c>
      <c r="I34" s="2"/>
      <c r="J34" s="19"/>
      <c r="K34" s="2"/>
      <c r="L34" s="2">
        <f t="shared" si="0"/>
        <v>21917</v>
      </c>
      <c r="M34" s="2"/>
      <c r="N34" s="19">
        <f t="shared" si="1"/>
        <v>0.12823647608948785</v>
      </c>
      <c r="O34" s="11"/>
      <c r="P34" s="2">
        <f>--1484618.99</f>
        <v>1484618.99</v>
      </c>
      <c r="Q34" s="2"/>
      <c r="R34" s="19"/>
      <c r="S34" s="2"/>
      <c r="T34" s="2">
        <f>--1368023.97</f>
        <v>1368023.97</v>
      </c>
      <c r="U34" s="2"/>
      <c r="V34" s="19"/>
      <c r="W34" s="2"/>
      <c r="X34" s="2">
        <f t="shared" si="2"/>
        <v>116595.02000000002</v>
      </c>
      <c r="Y34" s="2"/>
      <c r="Z34" s="19">
        <f t="shared" si="3"/>
        <v>8.5228784404998412E-2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>
        <f>--100302.3</f>
        <v>100302.3</v>
      </c>
      <c r="I35" s="2"/>
      <c r="J35" s="19"/>
      <c r="K35" s="2"/>
      <c r="L35" s="2">
        <f t="shared" si="0"/>
        <v>4139.3699999999953</v>
      </c>
      <c r="M35" s="2"/>
      <c r="N35" s="19">
        <f t="shared" si="1"/>
        <v>4.1268943982341336E-2</v>
      </c>
      <c r="O35" s="11"/>
      <c r="P35" s="2">
        <f>--400568.48</f>
        <v>400568.48</v>
      </c>
      <c r="Q35" s="2"/>
      <c r="R35" s="19"/>
      <c r="S35" s="2"/>
      <c r="T35" s="2">
        <f>--416134.16</f>
        <v>416134.16</v>
      </c>
      <c r="U35" s="2"/>
      <c r="V35" s="19"/>
      <c r="W35" s="2"/>
      <c r="X35" s="2">
        <f t="shared" si="2"/>
        <v>-15565.679999999993</v>
      </c>
      <c r="Y35" s="2"/>
      <c r="Z35" s="19">
        <f t="shared" si="3"/>
        <v>-3.7405436746649194E-2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>
        <f>--23930.76</f>
        <v>23930.76</v>
      </c>
      <c r="I36" s="2"/>
      <c r="J36" s="19"/>
      <c r="K36" s="2"/>
      <c r="L36" s="2">
        <f t="shared" si="0"/>
        <v>9112.3600000000042</v>
      </c>
      <c r="M36" s="2"/>
      <c r="N36" s="19">
        <f t="shared" si="1"/>
        <v>0.38078021759442676</v>
      </c>
      <c r="O36" s="11"/>
      <c r="P36" s="2">
        <f>--232995.22</f>
        <v>232995.22</v>
      </c>
      <c r="Q36" s="2"/>
      <c r="R36" s="19"/>
      <c r="S36" s="2"/>
      <c r="T36" s="2">
        <f>--183148.97</f>
        <v>183148.97</v>
      </c>
      <c r="U36" s="2"/>
      <c r="V36" s="19"/>
      <c r="W36" s="2"/>
      <c r="X36" s="2">
        <f t="shared" si="2"/>
        <v>49846.25</v>
      </c>
      <c r="Y36" s="2"/>
      <c r="Z36" s="19">
        <f t="shared" si="3"/>
        <v>0.27216232774882654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>
        <f>--280.58</f>
        <v>280.58</v>
      </c>
      <c r="I37" s="2"/>
      <c r="J37" s="19"/>
      <c r="K37" s="2"/>
      <c r="L37" s="2">
        <f t="shared" si="0"/>
        <v>8029.67</v>
      </c>
      <c r="M37" s="2"/>
      <c r="N37" s="19">
        <f t="shared" si="1"/>
        <v>28.618112481288762</v>
      </c>
      <c r="O37" s="11"/>
      <c r="P37" s="2">
        <f>--22630.71</f>
        <v>22630.71</v>
      </c>
      <c r="Q37" s="2"/>
      <c r="R37" s="19"/>
      <c r="S37" s="2"/>
      <c r="T37" s="2">
        <f>--2454.25</f>
        <v>2454.25</v>
      </c>
      <c r="U37" s="2"/>
      <c r="V37" s="19"/>
      <c r="W37" s="2"/>
      <c r="X37" s="2">
        <f t="shared" si="2"/>
        <v>20176.46</v>
      </c>
      <c r="Y37" s="2"/>
      <c r="Z37" s="19">
        <f t="shared" si="3"/>
        <v>8.2210288275440551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>
        <f>--14130.01</f>
        <v>14130.01</v>
      </c>
      <c r="I38" s="2"/>
      <c r="J38" s="19"/>
      <c r="K38" s="2"/>
      <c r="L38" s="2">
        <f t="shared" si="0"/>
        <v>-7780.05</v>
      </c>
      <c r="M38" s="2"/>
      <c r="N38" s="19">
        <f t="shared" si="1"/>
        <v>-0.55060470587069643</v>
      </c>
      <c r="O38" s="11"/>
      <c r="P38" s="2">
        <f>--53086.16</f>
        <v>53086.16</v>
      </c>
      <c r="Q38" s="2"/>
      <c r="R38" s="19"/>
      <c r="S38" s="2"/>
      <c r="T38" s="2">
        <f>--59857.07</f>
        <v>59857.07</v>
      </c>
      <c r="U38" s="2"/>
      <c r="V38" s="19"/>
      <c r="W38" s="2"/>
      <c r="X38" s="2">
        <f t="shared" si="2"/>
        <v>-6770.9099999999962</v>
      </c>
      <c r="Y38" s="2"/>
      <c r="Z38" s="19">
        <f t="shared" si="3"/>
        <v>-0.11311796584764333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>
        <f>--7692.77</f>
        <v>7692.77</v>
      </c>
      <c r="I39" s="2"/>
      <c r="J39" s="19"/>
      <c r="K39" s="2"/>
      <c r="L39" s="2">
        <f t="shared" si="0"/>
        <v>1039.4399999999987</v>
      </c>
      <c r="M39" s="2"/>
      <c r="N39" s="19">
        <f t="shared" si="1"/>
        <v>0.13511907934333128</v>
      </c>
      <c r="O39" s="11"/>
      <c r="P39" s="2">
        <f>--69738.03</f>
        <v>69738.03</v>
      </c>
      <c r="Q39" s="2"/>
      <c r="R39" s="19"/>
      <c r="S39" s="2"/>
      <c r="T39" s="2">
        <f>--75947.26</f>
        <v>75947.259999999995</v>
      </c>
      <c r="U39" s="2"/>
      <c r="V39" s="19"/>
      <c r="W39" s="2"/>
      <c r="X39" s="2">
        <f t="shared" si="2"/>
        <v>-6209.2299999999959</v>
      </c>
      <c r="Y39" s="2"/>
      <c r="Z39" s="19">
        <f t="shared" si="3"/>
        <v>-8.1757129881973312E-2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>
        <f>--380.08</f>
        <v>380.08</v>
      </c>
      <c r="I40" s="2"/>
      <c r="J40" s="19"/>
      <c r="K40" s="2"/>
      <c r="L40" s="2">
        <f t="shared" si="0"/>
        <v>-196.98</v>
      </c>
      <c r="M40" s="2"/>
      <c r="N40" s="19">
        <f t="shared" si="1"/>
        <v>-0.51825931382866763</v>
      </c>
      <c r="O40" s="11"/>
      <c r="P40" s="2">
        <f>--1977.04</f>
        <v>1977.04</v>
      </c>
      <c r="Q40" s="2"/>
      <c r="R40" s="19"/>
      <c r="S40" s="2"/>
      <c r="T40" s="2">
        <f>--2272.36</f>
        <v>2272.36</v>
      </c>
      <c r="U40" s="2"/>
      <c r="V40" s="19"/>
      <c r="W40" s="2"/>
      <c r="X40" s="2">
        <f t="shared" si="2"/>
        <v>-295.32000000000016</v>
      </c>
      <c r="Y40" s="2"/>
      <c r="Z40" s="19">
        <f t="shared" si="3"/>
        <v>-0.12996180182717534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--266.85</f>
        <v>266.85000000000002</v>
      </c>
      <c r="E41" s="2"/>
      <c r="F41" s="19"/>
      <c r="G41" s="2"/>
      <c r="H41" s="2">
        <f>--178.83</f>
        <v>178.83</v>
      </c>
      <c r="I41" s="2"/>
      <c r="J41" s="19"/>
      <c r="K41" s="2"/>
      <c r="L41" s="2">
        <f t="shared" si="0"/>
        <v>88.02000000000001</v>
      </c>
      <c r="M41" s="2"/>
      <c r="N41" s="19">
        <f t="shared" si="1"/>
        <v>0.49219929542023155</v>
      </c>
      <c r="O41" s="11"/>
      <c r="P41" s="2">
        <f>--2801.28</f>
        <v>2801.28</v>
      </c>
      <c r="Q41" s="2"/>
      <c r="R41" s="19"/>
      <c r="S41" s="2"/>
      <c r="T41" s="2">
        <f>--3047.73</f>
        <v>3047.73</v>
      </c>
      <c r="U41" s="2"/>
      <c r="V41" s="19"/>
      <c r="W41" s="2"/>
      <c r="X41" s="2">
        <f t="shared" si="2"/>
        <v>-246.44999999999982</v>
      </c>
      <c r="Y41" s="2"/>
      <c r="Z41" s="19">
        <f t="shared" si="3"/>
        <v>-8.0863462314575044E-2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--38</f>
        <v>38</v>
      </c>
      <c r="E42" s="2"/>
      <c r="F42" s="19"/>
      <c r="G42" s="2"/>
      <c r="H42" s="2">
        <f>--241</f>
        <v>241</v>
      </c>
      <c r="I42" s="2"/>
      <c r="J42" s="19"/>
      <c r="K42" s="2"/>
      <c r="L42" s="2">
        <f t="shared" si="0"/>
        <v>-203</v>
      </c>
      <c r="M42" s="2"/>
      <c r="N42" s="19">
        <f t="shared" si="1"/>
        <v>-0.84232365145228216</v>
      </c>
      <c r="O42" s="11"/>
      <c r="P42" s="2">
        <f>--219</f>
        <v>219</v>
      </c>
      <c r="Q42" s="2"/>
      <c r="R42" s="19"/>
      <c r="S42" s="2"/>
      <c r="T42" s="2">
        <f>--790</f>
        <v>790</v>
      </c>
      <c r="U42" s="2"/>
      <c r="V42" s="19"/>
      <c r="W42" s="2"/>
      <c r="X42" s="2">
        <f t="shared" si="2"/>
        <v>-571</v>
      </c>
      <c r="Y42" s="2"/>
      <c r="Z42" s="19">
        <f t="shared" si="3"/>
        <v>-0.72278481012658224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--149.91</f>
        <v>149.91</v>
      </c>
      <c r="E43" s="2"/>
      <c r="F43" s="19"/>
      <c r="G43" s="2"/>
      <c r="H43" s="2">
        <f>--39.96</f>
        <v>39.96</v>
      </c>
      <c r="I43" s="2"/>
      <c r="J43" s="19"/>
      <c r="K43" s="2"/>
      <c r="L43" s="2">
        <f t="shared" si="0"/>
        <v>109.94999999999999</v>
      </c>
      <c r="M43" s="2"/>
      <c r="N43" s="19">
        <f t="shared" si="1"/>
        <v>2.751501501501501</v>
      </c>
      <c r="O43" s="11"/>
      <c r="P43" s="2">
        <f>--849.39</f>
        <v>849.39</v>
      </c>
      <c r="Q43" s="2"/>
      <c r="R43" s="19"/>
      <c r="S43" s="2"/>
      <c r="T43" s="2">
        <f>--884.29</f>
        <v>884.29</v>
      </c>
      <c r="U43" s="2"/>
      <c r="V43" s="19"/>
      <c r="W43" s="2"/>
      <c r="X43" s="2">
        <f t="shared" si="2"/>
        <v>-34.899999999999977</v>
      </c>
      <c r="Y43" s="2"/>
      <c r="Z43" s="19">
        <f t="shared" si="3"/>
        <v>-3.9466690791482406E-2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--76.99</f>
        <v>76.989999999999995</v>
      </c>
      <c r="E44" s="2"/>
      <c r="F44" s="19"/>
      <c r="G44" s="2"/>
      <c r="H44" s="2">
        <f>--142.17</f>
        <v>142.16999999999999</v>
      </c>
      <c r="I44" s="2"/>
      <c r="J44" s="19"/>
      <c r="K44" s="2"/>
      <c r="L44" s="2">
        <f t="shared" si="0"/>
        <v>-65.179999999999993</v>
      </c>
      <c r="M44" s="2"/>
      <c r="N44" s="19">
        <f t="shared" si="1"/>
        <v>-0.45846521769712317</v>
      </c>
      <c r="O44" s="11"/>
      <c r="P44" s="2">
        <f>--775.76</f>
        <v>775.76</v>
      </c>
      <c r="Q44" s="2"/>
      <c r="R44" s="19"/>
      <c r="S44" s="2"/>
      <c r="T44" s="2">
        <f>--1415.49</f>
        <v>1415.49</v>
      </c>
      <c r="U44" s="2"/>
      <c r="V44" s="19"/>
      <c r="W44" s="2"/>
      <c r="X44" s="2">
        <f t="shared" si="2"/>
        <v>-639.73</v>
      </c>
      <c r="Y44" s="2"/>
      <c r="Z44" s="19">
        <f t="shared" si="3"/>
        <v>-0.45194950158602321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0</f>
        <v>0</v>
      </c>
      <c r="E45" s="2"/>
      <c r="F45" s="19"/>
      <c r="G45" s="2"/>
      <c r="H45" s="2">
        <f>--129.8</f>
        <v>129.80000000000001</v>
      </c>
      <c r="I45" s="2"/>
      <c r="J45" s="19"/>
      <c r="K45" s="2"/>
      <c r="L45" s="2">
        <f t="shared" si="0"/>
        <v>-129.80000000000001</v>
      </c>
      <c r="M45" s="2"/>
      <c r="N45" s="19">
        <f t="shared" si="1"/>
        <v>-1</v>
      </c>
      <c r="O45" s="11"/>
      <c r="P45" s="2">
        <f>--7659.37</f>
        <v>7659.37</v>
      </c>
      <c r="Q45" s="2"/>
      <c r="R45" s="19"/>
      <c r="S45" s="2"/>
      <c r="T45" s="2">
        <f>--7090.86</f>
        <v>7090.86</v>
      </c>
      <c r="U45" s="2"/>
      <c r="V45" s="19"/>
      <c r="W45" s="2"/>
      <c r="X45" s="2">
        <f t="shared" si="2"/>
        <v>568.51000000000022</v>
      </c>
      <c r="Y45" s="2"/>
      <c r="Z45" s="19">
        <f t="shared" si="3"/>
        <v>8.0175042237471933E-2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--11.93</f>
        <v>11.93</v>
      </c>
      <c r="E46" s="2"/>
      <c r="F46" s="19"/>
      <c r="G46" s="2"/>
      <c r="H46" s="2">
        <f>--294.23</f>
        <v>294.23</v>
      </c>
      <c r="I46" s="2"/>
      <c r="J46" s="19"/>
      <c r="K46" s="2"/>
      <c r="L46" s="2">
        <f t="shared" si="0"/>
        <v>-282.3</v>
      </c>
      <c r="M46" s="2"/>
      <c r="N46" s="19">
        <f t="shared" si="1"/>
        <v>-0.95945348876729086</v>
      </c>
      <c r="O46" s="11"/>
      <c r="P46" s="2">
        <f>--309.26</f>
        <v>309.26</v>
      </c>
      <c r="Q46" s="2"/>
      <c r="R46" s="19"/>
      <c r="S46" s="2"/>
      <c r="T46" s="2">
        <f>--1627.01</f>
        <v>1627.01</v>
      </c>
      <c r="U46" s="2"/>
      <c r="V46" s="19"/>
      <c r="W46" s="2"/>
      <c r="X46" s="2">
        <f t="shared" si="2"/>
        <v>-1317.75</v>
      </c>
      <c r="Y46" s="2"/>
      <c r="Z46" s="19">
        <f t="shared" si="3"/>
        <v>-0.80992126661790642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--214291.61</f>
        <v>214291.61</v>
      </c>
      <c r="E47" s="2"/>
      <c r="F47" s="19"/>
      <c r="G47" s="2"/>
      <c r="H47" s="2">
        <f>--352730.12</f>
        <v>352730.12</v>
      </c>
      <c r="I47" s="2"/>
      <c r="J47" s="19"/>
      <c r="K47" s="2"/>
      <c r="L47" s="2">
        <f t="shared" si="0"/>
        <v>-138438.51</v>
      </c>
      <c r="M47" s="2"/>
      <c r="N47" s="19">
        <f t="shared" si="1"/>
        <v>-0.39247714371542758</v>
      </c>
      <c r="O47" s="11"/>
      <c r="P47" s="2">
        <f>--550220.16</f>
        <v>550220.16</v>
      </c>
      <c r="Q47" s="2"/>
      <c r="R47" s="19"/>
      <c r="S47" s="2"/>
      <c r="T47" s="2">
        <f>--743316.04</f>
        <v>743316.04</v>
      </c>
      <c r="U47" s="2"/>
      <c r="V47" s="19"/>
      <c r="W47" s="2"/>
      <c r="X47" s="2">
        <f t="shared" si="2"/>
        <v>-193095.88</v>
      </c>
      <c r="Y47" s="2"/>
      <c r="Z47" s="19">
        <f t="shared" si="3"/>
        <v>-0.259776285737087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--37117.66</f>
        <v>37117.660000000003</v>
      </c>
      <c r="E48" s="2"/>
      <c r="F48" s="19"/>
      <c r="G48" s="2"/>
      <c r="H48" s="2">
        <f>--53494.81</f>
        <v>53494.81</v>
      </c>
      <c r="I48" s="2"/>
      <c r="J48" s="19"/>
      <c r="K48" s="2"/>
      <c r="L48" s="2">
        <f t="shared" si="0"/>
        <v>-16377.149999999994</v>
      </c>
      <c r="M48" s="2"/>
      <c r="N48" s="19">
        <f t="shared" si="1"/>
        <v>-0.30614465216345277</v>
      </c>
      <c r="O48" s="11"/>
      <c r="P48" s="2">
        <f>--132405.23</f>
        <v>132405.23000000001</v>
      </c>
      <c r="Q48" s="2"/>
      <c r="R48" s="19"/>
      <c r="S48" s="2"/>
      <c r="T48" s="2">
        <f>--247756.04</f>
        <v>247756.04</v>
      </c>
      <c r="U48" s="2"/>
      <c r="V48" s="19"/>
      <c r="W48" s="2"/>
      <c r="X48" s="2">
        <f t="shared" si="2"/>
        <v>-115350.81</v>
      </c>
      <c r="Y48" s="2"/>
      <c r="Z48" s="19">
        <f t="shared" si="3"/>
        <v>-0.46558223161784468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--28414.21</f>
        <v>28414.21</v>
      </c>
      <c r="E49" s="2"/>
      <c r="F49" s="19"/>
      <c r="G49" s="2"/>
      <c r="H49" s="2">
        <f>--27386.23</f>
        <v>27386.23</v>
      </c>
      <c r="I49" s="2"/>
      <c r="J49" s="19"/>
      <c r="K49" s="2"/>
      <c r="L49" s="2">
        <f t="shared" si="0"/>
        <v>1027.9799999999996</v>
      </c>
      <c r="M49" s="2"/>
      <c r="N49" s="19">
        <f t="shared" si="1"/>
        <v>3.7536382335210054E-2</v>
      </c>
      <c r="O49" s="11"/>
      <c r="P49" s="2">
        <f>--66616.8</f>
        <v>66616.800000000003</v>
      </c>
      <c r="Q49" s="2"/>
      <c r="R49" s="19"/>
      <c r="S49" s="2"/>
      <c r="T49" s="2">
        <f>--81341.89</f>
        <v>81341.89</v>
      </c>
      <c r="U49" s="2"/>
      <c r="V49" s="19"/>
      <c r="W49" s="2"/>
      <c r="X49" s="2">
        <f t="shared" si="2"/>
        <v>-14725.089999999997</v>
      </c>
      <c r="Y49" s="2"/>
      <c r="Z49" s="19">
        <f t="shared" si="3"/>
        <v>-0.18102714357878821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--334.99</f>
        <v>334.99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334.99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155.12</v>
      </c>
      <c r="Y50" s="2"/>
      <c r="Z50" s="19">
        <f t="shared" si="3"/>
        <v>0.30424634696479358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--169179.13</f>
        <v>169179.13</v>
      </c>
      <c r="E51" s="2"/>
      <c r="F51" s="19"/>
      <c r="G51" s="2"/>
      <c r="H51" s="2">
        <f>--168068.46</f>
        <v>168068.46</v>
      </c>
      <c r="I51" s="2"/>
      <c r="J51" s="19"/>
      <c r="K51" s="2"/>
      <c r="L51" s="2">
        <f t="shared" si="0"/>
        <v>1110.6700000000128</v>
      </c>
      <c r="M51" s="2"/>
      <c r="N51" s="19">
        <f t="shared" si="1"/>
        <v>6.6084380138903684E-3</v>
      </c>
      <c r="O51" s="11"/>
      <c r="P51" s="2">
        <f>--502067.96</f>
        <v>502067.96</v>
      </c>
      <c r="Q51" s="2"/>
      <c r="R51" s="19"/>
      <c r="S51" s="2"/>
      <c r="T51" s="2">
        <f>--509033.58</f>
        <v>509033.58</v>
      </c>
      <c r="U51" s="2"/>
      <c r="V51" s="19"/>
      <c r="W51" s="2"/>
      <c r="X51" s="2">
        <f t="shared" si="2"/>
        <v>-6965.6199999999953</v>
      </c>
      <c r="Y51" s="2"/>
      <c r="Z51" s="19">
        <f t="shared" si="3"/>
        <v>-1.3684008823150715E-2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--4684.53</f>
        <v>4684.53</v>
      </c>
      <c r="E52" s="2"/>
      <c r="F52" s="19"/>
      <c r="G52" s="2"/>
      <c r="H52" s="2">
        <f>--3767.61</f>
        <v>3767.61</v>
      </c>
      <c r="I52" s="2"/>
      <c r="J52" s="19"/>
      <c r="K52" s="2"/>
      <c r="L52" s="2">
        <f t="shared" si="0"/>
        <v>916.91999999999962</v>
      </c>
      <c r="M52" s="2"/>
      <c r="N52" s="19">
        <f t="shared" si="1"/>
        <v>0.24336913852548422</v>
      </c>
      <c r="O52" s="11"/>
      <c r="P52" s="2">
        <f>--12708.5</f>
        <v>12708.5</v>
      </c>
      <c r="Q52" s="2"/>
      <c r="R52" s="19"/>
      <c r="S52" s="2"/>
      <c r="T52" s="2">
        <f>--14922.09</f>
        <v>14922.09</v>
      </c>
      <c r="U52" s="2"/>
      <c r="V52" s="19"/>
      <c r="W52" s="2"/>
      <c r="X52" s="2">
        <f t="shared" si="2"/>
        <v>-2213.59</v>
      </c>
      <c r="Y52" s="2"/>
      <c r="Z52" s="19">
        <f t="shared" si="3"/>
        <v>-0.14834316104513512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ref="D53:D54" si="4"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>
        <f>--38.23</f>
        <v>38.229999999999997</v>
      </c>
      <c r="U53" s="2"/>
      <c r="V53" s="19"/>
      <c r="W53" s="2"/>
      <c r="X53" s="2">
        <f t="shared" si="2"/>
        <v>1108.49</v>
      </c>
      <c r="Y53" s="2"/>
      <c r="Z53" s="19">
        <f t="shared" si="3"/>
        <v>28.995291655767723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si="4"/>
        <v>0</v>
      </c>
      <c r="E54" s="2"/>
      <c r="F54" s="19"/>
      <c r="G54" s="2"/>
      <c r="H54" s="2">
        <f>--87.71</f>
        <v>87.71</v>
      </c>
      <c r="I54" s="2"/>
      <c r="J54" s="19"/>
      <c r="K54" s="2"/>
      <c r="L54" s="2">
        <f t="shared" si="0"/>
        <v>-87.71</v>
      </c>
      <c r="M54" s="2"/>
      <c r="N54" s="19">
        <f t="shared" si="1"/>
        <v>-1</v>
      </c>
      <c r="O54" s="11"/>
      <c r="P54" s="2">
        <f>--41.91</f>
        <v>41.91</v>
      </c>
      <c r="Q54" s="2"/>
      <c r="R54" s="19"/>
      <c r="S54" s="2"/>
      <c r="T54" s="2">
        <f>--220.35</f>
        <v>220.35</v>
      </c>
      <c r="U54" s="2"/>
      <c r="V54" s="19"/>
      <c r="W54" s="2"/>
      <c r="X54" s="2">
        <f t="shared" si="2"/>
        <v>-178.44</v>
      </c>
      <c r="Y54" s="2"/>
      <c r="Z54" s="19">
        <f t="shared" si="3"/>
        <v>-0.80980258679373729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--98.5</f>
        <v>98.5</v>
      </c>
      <c r="E55" s="2"/>
      <c r="F55" s="19"/>
      <c r="G55" s="2"/>
      <c r="H55" s="2">
        <f>--99.83</f>
        <v>99.83</v>
      </c>
      <c r="I55" s="2"/>
      <c r="J55" s="19"/>
      <c r="K55" s="2"/>
      <c r="L55" s="2">
        <f t="shared" si="0"/>
        <v>-1.3299999999999983</v>
      </c>
      <c r="M55" s="2"/>
      <c r="N55" s="19">
        <f t="shared" si="1"/>
        <v>-1.3322648502454156E-2</v>
      </c>
      <c r="O55" s="11"/>
      <c r="P55" s="2">
        <f>--222.68</f>
        <v>222.68</v>
      </c>
      <c r="Q55" s="2"/>
      <c r="R55" s="19"/>
      <c r="S55" s="2"/>
      <c r="T55" s="2">
        <f>--271.87</f>
        <v>271.87</v>
      </c>
      <c r="U55" s="2"/>
      <c r="V55" s="19"/>
      <c r="W55" s="2"/>
      <c r="X55" s="2">
        <f t="shared" si="2"/>
        <v>-49.19</v>
      </c>
      <c r="Y55" s="2"/>
      <c r="Z55" s="19">
        <f t="shared" si="3"/>
        <v>-0.18093206311840215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--1047.53</f>
        <v>1047.53</v>
      </c>
      <c r="E56" s="2"/>
      <c r="F56" s="19"/>
      <c r="G56" s="2"/>
      <c r="H56" s="2">
        <f>--1102.77</f>
        <v>1102.77</v>
      </c>
      <c r="I56" s="2"/>
      <c r="J56" s="19"/>
      <c r="K56" s="2"/>
      <c r="L56" s="2">
        <f t="shared" si="0"/>
        <v>-55.240000000000009</v>
      </c>
      <c r="M56" s="2"/>
      <c r="N56" s="19">
        <f t="shared" si="1"/>
        <v>-5.0092040951422334E-2</v>
      </c>
      <c r="O56" s="11"/>
      <c r="P56" s="2">
        <f>--2556.64</f>
        <v>2556.64</v>
      </c>
      <c r="Q56" s="2"/>
      <c r="R56" s="19"/>
      <c r="S56" s="2"/>
      <c r="T56" s="2">
        <f>--3108.2</f>
        <v>3108.2</v>
      </c>
      <c r="U56" s="2"/>
      <c r="V56" s="19"/>
      <c r="W56" s="2"/>
      <c r="X56" s="2">
        <f t="shared" si="2"/>
        <v>-551.55999999999995</v>
      </c>
      <c r="Y56" s="2"/>
      <c r="Z56" s="19">
        <f t="shared" si="3"/>
        <v>-0.17745318834051862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--1531.2</f>
        <v>1531.2</v>
      </c>
      <c r="E57" s="2"/>
      <c r="F57" s="19"/>
      <c r="G57" s="2"/>
      <c r="H57" s="2">
        <f>--1570.59</f>
        <v>1570.59</v>
      </c>
      <c r="I57" s="2"/>
      <c r="J57" s="19"/>
      <c r="K57" s="2"/>
      <c r="L57" s="2">
        <f t="shared" si="0"/>
        <v>-39.389999999999873</v>
      </c>
      <c r="M57" s="2"/>
      <c r="N57" s="19">
        <f t="shared" si="1"/>
        <v>-2.507974710140767E-2</v>
      </c>
      <c r="O57" s="11"/>
      <c r="P57" s="2">
        <f>--4134.6</f>
        <v>4134.6000000000004</v>
      </c>
      <c r="Q57" s="2"/>
      <c r="R57" s="19"/>
      <c r="S57" s="2"/>
      <c r="T57" s="2">
        <f>--11017.12</f>
        <v>11017.12</v>
      </c>
      <c r="U57" s="2"/>
      <c r="V57" s="19"/>
      <c r="W57" s="2"/>
      <c r="X57" s="2">
        <f t="shared" si="2"/>
        <v>-6882.52</v>
      </c>
      <c r="Y57" s="2"/>
      <c r="Z57" s="19">
        <f t="shared" si="3"/>
        <v>-0.62471135832232016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--182.3</f>
        <v>182.3</v>
      </c>
      <c r="E58" s="2"/>
      <c r="F58" s="19"/>
      <c r="G58" s="2"/>
      <c r="H58" s="2">
        <f>--119.98</f>
        <v>119.98</v>
      </c>
      <c r="I58" s="2"/>
      <c r="J58" s="19"/>
      <c r="K58" s="2"/>
      <c r="L58" s="2">
        <f t="shared" si="0"/>
        <v>62.320000000000007</v>
      </c>
      <c r="M58" s="2"/>
      <c r="N58" s="19">
        <f t="shared" si="1"/>
        <v>0.51941990331721954</v>
      </c>
      <c r="O58" s="11"/>
      <c r="P58" s="2">
        <f>--531.02</f>
        <v>531.02</v>
      </c>
      <c r="Q58" s="2"/>
      <c r="R58" s="19"/>
      <c r="S58" s="2"/>
      <c r="T58" s="2">
        <f>--776.97</f>
        <v>776.97</v>
      </c>
      <c r="U58" s="2"/>
      <c r="V58" s="19"/>
      <c r="W58" s="2"/>
      <c r="X58" s="2">
        <f t="shared" si="2"/>
        <v>-245.95000000000005</v>
      </c>
      <c r="Y58" s="2"/>
      <c r="Z58" s="19">
        <f t="shared" si="3"/>
        <v>-0.31655018855296863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--3944.61</f>
        <v>3944.61</v>
      </c>
      <c r="E59" s="2"/>
      <c r="F59" s="19"/>
      <c r="G59" s="2"/>
      <c r="H59" s="2">
        <f>--4307.81</f>
        <v>4307.8100000000004</v>
      </c>
      <c r="I59" s="2"/>
      <c r="J59" s="19"/>
      <c r="K59" s="2"/>
      <c r="L59" s="2">
        <f t="shared" si="0"/>
        <v>-363.20000000000027</v>
      </c>
      <c r="M59" s="2"/>
      <c r="N59" s="19">
        <f t="shared" si="1"/>
        <v>-8.4311982190486634E-2</v>
      </c>
      <c r="O59" s="11"/>
      <c r="P59" s="2">
        <f>--43030.34</f>
        <v>43030.34</v>
      </c>
      <c r="Q59" s="2"/>
      <c r="R59" s="19"/>
      <c r="S59" s="2"/>
      <c r="T59" s="2">
        <f>--43367.53</f>
        <v>43367.53</v>
      </c>
      <c r="U59" s="2"/>
      <c r="V59" s="19"/>
      <c r="W59" s="2"/>
      <c r="X59" s="2">
        <f t="shared" si="2"/>
        <v>-337.19000000000233</v>
      </c>
      <c r="Y59" s="2"/>
      <c r="Z59" s="19">
        <f t="shared" si="3"/>
        <v>-7.7751718855097888E-3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--1102.23</f>
        <v>1102.23</v>
      </c>
      <c r="E60" s="2"/>
      <c r="F60" s="19"/>
      <c r="G60" s="2"/>
      <c r="H60" s="2">
        <f>--1026.95</f>
        <v>1026.95</v>
      </c>
      <c r="I60" s="2"/>
      <c r="J60" s="19"/>
      <c r="K60" s="2"/>
      <c r="L60" s="2">
        <f t="shared" si="0"/>
        <v>75.279999999999973</v>
      </c>
      <c r="M60" s="2"/>
      <c r="N60" s="19">
        <f t="shared" si="1"/>
        <v>7.3304445201811161E-2</v>
      </c>
      <c r="O60" s="11"/>
      <c r="P60" s="2">
        <f>--12547.43</f>
        <v>12547.43</v>
      </c>
      <c r="Q60" s="2"/>
      <c r="R60" s="19"/>
      <c r="S60" s="2"/>
      <c r="T60" s="2">
        <f>--11024.18</f>
        <v>11024.18</v>
      </c>
      <c r="U60" s="2"/>
      <c r="V60" s="19"/>
      <c r="W60" s="2"/>
      <c r="X60" s="2">
        <f t="shared" si="2"/>
        <v>1523.25</v>
      </c>
      <c r="Y60" s="2"/>
      <c r="Z60" s="19">
        <f t="shared" si="3"/>
        <v>0.13817354215914471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--1436.4</f>
        <v>1436.4</v>
      </c>
      <c r="E61" s="2"/>
      <c r="F61" s="19"/>
      <c r="G61" s="2"/>
      <c r="H61" s="2">
        <f>--1451.09</f>
        <v>1451.09</v>
      </c>
      <c r="I61" s="2"/>
      <c r="J61" s="19"/>
      <c r="K61" s="2"/>
      <c r="L61" s="2">
        <f t="shared" si="0"/>
        <v>-14.689999999999827</v>
      </c>
      <c r="M61" s="2"/>
      <c r="N61" s="19">
        <f t="shared" si="1"/>
        <v>-1.0123424460233224E-2</v>
      </c>
      <c r="O61" s="11"/>
      <c r="P61" s="2">
        <f>--13558.18</f>
        <v>13558.18</v>
      </c>
      <c r="Q61" s="2"/>
      <c r="R61" s="19"/>
      <c r="S61" s="2"/>
      <c r="T61" s="2">
        <f>--11917.8</f>
        <v>11917.8</v>
      </c>
      <c r="U61" s="2"/>
      <c r="V61" s="19"/>
      <c r="W61" s="2"/>
      <c r="X61" s="2">
        <f t="shared" si="2"/>
        <v>1640.380000000001</v>
      </c>
      <c r="Y61" s="2"/>
      <c r="Z61" s="19">
        <f t="shared" si="3"/>
        <v>0.13764117538471876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0</f>
        <v>0</v>
      </c>
      <c r="Q62" s="2"/>
      <c r="R62" s="19"/>
      <c r="S62" s="2"/>
      <c r="T62" s="2">
        <f>--109.47</f>
        <v>109.47</v>
      </c>
      <c r="U62" s="2"/>
      <c r="V62" s="19"/>
      <c r="W62" s="2"/>
      <c r="X62" s="2">
        <f t="shared" si="2"/>
        <v>-109.47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--21.54</f>
        <v>21.54</v>
      </c>
      <c r="E63" s="2"/>
      <c r="F63" s="19"/>
      <c r="G63" s="2"/>
      <c r="H63" s="2">
        <f>--32.31</f>
        <v>32.31</v>
      </c>
      <c r="I63" s="2"/>
      <c r="J63" s="19"/>
      <c r="K63" s="2"/>
      <c r="L63" s="2">
        <f t="shared" si="0"/>
        <v>-10.770000000000003</v>
      </c>
      <c r="M63" s="2"/>
      <c r="N63" s="19">
        <f t="shared" si="1"/>
        <v>-0.33333333333333343</v>
      </c>
      <c r="O63" s="11"/>
      <c r="P63" s="2">
        <f>--139.86</f>
        <v>139.86000000000001</v>
      </c>
      <c r="Q63" s="2"/>
      <c r="R63" s="19"/>
      <c r="S63" s="2"/>
      <c r="T63" s="2">
        <f>--204.91</f>
        <v>204.91</v>
      </c>
      <c r="U63" s="2"/>
      <c r="V63" s="19"/>
      <c r="W63" s="2"/>
      <c r="X63" s="2">
        <f t="shared" si="2"/>
        <v>-65.049999999999983</v>
      </c>
      <c r="Y63" s="2"/>
      <c r="Z63" s="19">
        <f t="shared" si="3"/>
        <v>-0.31745644429261621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--635.89</f>
        <v>635.89</v>
      </c>
      <c r="E64" s="2"/>
      <c r="F64" s="19"/>
      <c r="G64" s="2"/>
      <c r="H64" s="2">
        <f>--538.9</f>
        <v>538.9</v>
      </c>
      <c r="I64" s="2"/>
      <c r="J64" s="19"/>
      <c r="K64" s="2"/>
      <c r="L64" s="2">
        <f t="shared" si="0"/>
        <v>96.990000000000009</v>
      </c>
      <c r="M64" s="2"/>
      <c r="N64" s="19">
        <f t="shared" si="1"/>
        <v>0.17997773241788831</v>
      </c>
      <c r="O64" s="11"/>
      <c r="P64" s="2">
        <f>--6548.96</f>
        <v>6548.96</v>
      </c>
      <c r="Q64" s="2"/>
      <c r="R64" s="19"/>
      <c r="S64" s="2"/>
      <c r="T64" s="2">
        <f>--6074.01</f>
        <v>6074.01</v>
      </c>
      <c r="U64" s="2"/>
      <c r="V64" s="19"/>
      <c r="W64" s="2"/>
      <c r="X64" s="2">
        <f t="shared" si="2"/>
        <v>474.94999999999982</v>
      </c>
      <c r="Y64" s="2"/>
      <c r="Z64" s="19">
        <f t="shared" si="3"/>
        <v>7.8193812654243217E-2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--3758.83</f>
        <v>3758.83</v>
      </c>
      <c r="E65" s="2"/>
      <c r="F65" s="19"/>
      <c r="G65" s="2"/>
      <c r="H65" s="2">
        <f>--3145.88</f>
        <v>3145.88</v>
      </c>
      <c r="I65" s="2"/>
      <c r="J65" s="19"/>
      <c r="K65" s="2"/>
      <c r="L65" s="2">
        <f t="shared" si="0"/>
        <v>612.94999999999982</v>
      </c>
      <c r="M65" s="2"/>
      <c r="N65" s="19">
        <f t="shared" si="1"/>
        <v>0.19484214273907455</v>
      </c>
      <c r="O65" s="11"/>
      <c r="P65" s="2">
        <f>--42582.67</f>
        <v>42582.67</v>
      </c>
      <c r="Q65" s="2"/>
      <c r="R65" s="19"/>
      <c r="S65" s="2"/>
      <c r="T65" s="2">
        <f>--23533.95</f>
        <v>23533.95</v>
      </c>
      <c r="U65" s="2"/>
      <c r="V65" s="19"/>
      <c r="W65" s="2"/>
      <c r="X65" s="2">
        <f t="shared" si="2"/>
        <v>19048.719999999998</v>
      </c>
      <c r="Y65" s="2"/>
      <c r="Z65" s="19">
        <f t="shared" si="3"/>
        <v>0.80941448418136341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--1719.12</f>
        <v>1719.12</v>
      </c>
      <c r="E66" s="2"/>
      <c r="F66" s="19"/>
      <c r="G66" s="2"/>
      <c r="H66" s="2">
        <f>--972.25</f>
        <v>972.25</v>
      </c>
      <c r="I66" s="2"/>
      <c r="J66" s="19"/>
      <c r="K66" s="2"/>
      <c r="L66" s="2">
        <f t="shared" si="0"/>
        <v>746.86999999999989</v>
      </c>
      <c r="M66" s="2"/>
      <c r="N66" s="19">
        <f t="shared" si="1"/>
        <v>0.76818719465158125</v>
      </c>
      <c r="O66" s="11"/>
      <c r="P66" s="2">
        <f>--4249</f>
        <v>4249</v>
      </c>
      <c r="Q66" s="2"/>
      <c r="R66" s="19"/>
      <c r="S66" s="2"/>
      <c r="T66" s="2">
        <f>--4344.58</f>
        <v>4344.58</v>
      </c>
      <c r="U66" s="2"/>
      <c r="V66" s="19"/>
      <c r="W66" s="2"/>
      <c r="X66" s="2">
        <f t="shared" si="2"/>
        <v>-95.579999999999927</v>
      </c>
      <c r="Y66" s="2"/>
      <c r="Z66" s="19">
        <f t="shared" si="3"/>
        <v>-2.1999825069396794E-2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--1947.91</f>
        <v>1947.91</v>
      </c>
      <c r="E67" s="2"/>
      <c r="F67" s="19"/>
      <c r="G67" s="2"/>
      <c r="H67" s="2">
        <f>--969.05</f>
        <v>969.05</v>
      </c>
      <c r="I67" s="2"/>
      <c r="J67" s="19"/>
      <c r="K67" s="2"/>
      <c r="L67" s="2">
        <f t="shared" si="0"/>
        <v>978.86000000000013</v>
      </c>
      <c r="M67" s="2"/>
      <c r="N67" s="19">
        <f t="shared" si="1"/>
        <v>1.0101233166503278</v>
      </c>
      <c r="O67" s="11"/>
      <c r="P67" s="2">
        <f>--12435.29</f>
        <v>12435.29</v>
      </c>
      <c r="Q67" s="2"/>
      <c r="R67" s="19"/>
      <c r="S67" s="2"/>
      <c r="T67" s="2">
        <f>--12814.8</f>
        <v>12814.8</v>
      </c>
      <c r="U67" s="2"/>
      <c r="V67" s="19"/>
      <c r="W67" s="2"/>
      <c r="X67" s="2">
        <f t="shared" si="2"/>
        <v>-379.5099999999984</v>
      </c>
      <c r="Y67" s="2"/>
      <c r="Z67" s="19">
        <f t="shared" si="3"/>
        <v>-2.9614976433498644E-2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--374.48</f>
        <v>374.48</v>
      </c>
      <c r="E68" s="2"/>
      <c r="F68" s="19"/>
      <c r="G68" s="2"/>
      <c r="H68" s="2">
        <f>--39.85</f>
        <v>39.85</v>
      </c>
      <c r="I68" s="2"/>
      <c r="J68" s="19"/>
      <c r="K68" s="2"/>
      <c r="L68" s="2">
        <f t="shared" si="0"/>
        <v>334.63</v>
      </c>
      <c r="M68" s="2"/>
      <c r="N68" s="19">
        <f t="shared" si="1"/>
        <v>8.3972396486825591</v>
      </c>
      <c r="O68" s="11"/>
      <c r="P68" s="2">
        <f>--967.33</f>
        <v>967.33</v>
      </c>
      <c r="Q68" s="2"/>
      <c r="R68" s="19"/>
      <c r="S68" s="2"/>
      <c r="T68" s="2">
        <f>--400.39</f>
        <v>400.39</v>
      </c>
      <c r="U68" s="2"/>
      <c r="V68" s="19"/>
      <c r="W68" s="2"/>
      <c r="X68" s="2">
        <f t="shared" si="2"/>
        <v>566.94000000000005</v>
      </c>
      <c r="Y68" s="2"/>
      <c r="Z68" s="19">
        <f t="shared" si="3"/>
        <v>1.4159694298059393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0</f>
        <v>0</v>
      </c>
      <c r="E69" s="2"/>
      <c r="F69" s="19"/>
      <c r="G69" s="2"/>
      <c r="H69" s="2">
        <f>--79.8</f>
        <v>79.8</v>
      </c>
      <c r="I69" s="2"/>
      <c r="J69" s="19"/>
      <c r="K69" s="2"/>
      <c r="L69" s="2">
        <f t="shared" si="0"/>
        <v>-79.8</v>
      </c>
      <c r="M69" s="2"/>
      <c r="N69" s="19">
        <f t="shared" si="1"/>
        <v>-1</v>
      </c>
      <c r="O69" s="11"/>
      <c r="P69" s="2">
        <f>--140</f>
        <v>140</v>
      </c>
      <c r="Q69" s="2"/>
      <c r="R69" s="19"/>
      <c r="S69" s="2"/>
      <c r="T69" s="2">
        <f>--1827.2</f>
        <v>1827.2</v>
      </c>
      <c r="U69" s="2"/>
      <c r="V69" s="19"/>
      <c r="W69" s="2"/>
      <c r="X69" s="2">
        <f t="shared" si="2"/>
        <v>-1687.2</v>
      </c>
      <c r="Y69" s="2"/>
      <c r="Z69" s="19">
        <f t="shared" si="3"/>
        <v>-0.92338003502626975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--17086.55</f>
        <v>17086.55</v>
      </c>
      <c r="E70" s="2"/>
      <c r="F70" s="19"/>
      <c r="G70" s="2"/>
      <c r="H70" s="2">
        <f>--18820.04</f>
        <v>18820.04</v>
      </c>
      <c r="I70" s="2"/>
      <c r="J70" s="19"/>
      <c r="K70" s="2"/>
      <c r="L70" s="2">
        <f t="shared" si="0"/>
        <v>-1733.4900000000016</v>
      </c>
      <c r="M70" s="2"/>
      <c r="N70" s="19">
        <f t="shared" si="1"/>
        <v>-9.2108730905991781E-2</v>
      </c>
      <c r="O70" s="11"/>
      <c r="P70" s="2">
        <f>--163554.5</f>
        <v>163554.5</v>
      </c>
      <c r="Q70" s="2"/>
      <c r="R70" s="19"/>
      <c r="S70" s="2"/>
      <c r="T70" s="2">
        <f>--168304.04</f>
        <v>168304.04</v>
      </c>
      <c r="U70" s="2"/>
      <c r="V70" s="19"/>
      <c r="W70" s="2"/>
      <c r="X70" s="2">
        <f t="shared" si="2"/>
        <v>-4749.5400000000081</v>
      </c>
      <c r="Y70" s="2"/>
      <c r="Z70" s="19">
        <f t="shared" si="3"/>
        <v>-2.8219999947713719E-2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--11.5</f>
        <v>11.5</v>
      </c>
      <c r="E71" s="2"/>
      <c r="F71" s="19"/>
      <c r="G71" s="2"/>
      <c r="H71" s="2">
        <f>--31</f>
        <v>31</v>
      </c>
      <c r="I71" s="2"/>
      <c r="J71" s="19"/>
      <c r="K71" s="2"/>
      <c r="L71" s="2">
        <f t="shared" si="0"/>
        <v>-19.5</v>
      </c>
      <c r="M71" s="2"/>
      <c r="N71" s="19">
        <f t="shared" si="1"/>
        <v>-0.62903225806451613</v>
      </c>
      <c r="O71" s="11"/>
      <c r="P71" s="2">
        <f>--318.9</f>
        <v>318.89999999999998</v>
      </c>
      <c r="Q71" s="2"/>
      <c r="R71" s="19"/>
      <c r="S71" s="2"/>
      <c r="T71" s="2">
        <f>--439.5</f>
        <v>439.5</v>
      </c>
      <c r="U71" s="2"/>
      <c r="V71" s="19"/>
      <c r="W71" s="2"/>
      <c r="X71" s="2">
        <f t="shared" si="2"/>
        <v>-120.60000000000002</v>
      </c>
      <c r="Y71" s="2"/>
      <c r="Z71" s="19">
        <f t="shared" si="3"/>
        <v>-0.27440273037542667</v>
      </c>
    </row>
    <row r="72" spans="1:26" s="24" customFormat="1" hidden="1" outlineLevel="1" x14ac:dyDescent="0.25">
      <c r="A72" s="44"/>
      <c r="B72" s="11" t="str">
        <f>CONCATENATE("          ", "4186", " - ", "NON-TAXABLE SALES-COMPUTER SUP")</f>
        <v xml:space="preserve">          4186 - NON-TAXABLE SALES-COMPUTER SUP</v>
      </c>
      <c r="C72" s="11"/>
      <c r="D72" s="2">
        <f>0</f>
        <v>0</v>
      </c>
      <c r="E72" s="2"/>
      <c r="F72" s="19"/>
      <c r="G72" s="2"/>
      <c r="H72" s="2">
        <f>-12.74</f>
        <v>-12.74</v>
      </c>
      <c r="I72" s="2"/>
      <c r="J72" s="19"/>
      <c r="K72" s="2"/>
      <c r="L72" s="2">
        <f t="shared" si="0"/>
        <v>12.74</v>
      </c>
      <c r="M72" s="2"/>
      <c r="N72" s="19">
        <f t="shared" si="1"/>
        <v>-1</v>
      </c>
      <c r="O72" s="11"/>
      <c r="P72" s="2">
        <f>-30.97</f>
        <v>-30.97</v>
      </c>
      <c r="Q72" s="2"/>
      <c r="R72" s="19"/>
      <c r="S72" s="2"/>
      <c r="T72" s="2">
        <f>-140.68</f>
        <v>-140.68</v>
      </c>
      <c r="U72" s="2"/>
      <c r="V72" s="19"/>
      <c r="W72" s="2"/>
      <c r="X72" s="2">
        <f t="shared" si="2"/>
        <v>109.71000000000001</v>
      </c>
      <c r="Y72" s="2"/>
      <c r="Z72" s="19">
        <f t="shared" si="3"/>
        <v>-0.77985499004833669</v>
      </c>
    </row>
    <row r="73" spans="1:26" s="24" customFormat="1" hidden="1" outlineLevel="1" x14ac:dyDescent="0.25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>-37895.48</f>
        <v>-37895.480000000003</v>
      </c>
      <c r="E73" s="2"/>
      <c r="F73" s="19"/>
      <c r="G73" s="2"/>
      <c r="H73" s="2">
        <f>-52388.4</f>
        <v>-52388.4</v>
      </c>
      <c r="I73" s="2"/>
      <c r="J73" s="19"/>
      <c r="K73" s="2"/>
      <c r="L73" s="2">
        <f t="shared" si="0"/>
        <v>14492.919999999998</v>
      </c>
      <c r="M73" s="2"/>
      <c r="N73" s="19">
        <f t="shared" si="1"/>
        <v>-0.27664368447977028</v>
      </c>
      <c r="O73" s="11"/>
      <c r="P73" s="2">
        <f>-116625.85</f>
        <v>-116625.85</v>
      </c>
      <c r="Q73" s="2"/>
      <c r="R73" s="19"/>
      <c r="S73" s="2"/>
      <c r="T73" s="2">
        <f>-166409.27</f>
        <v>-166409.26999999999</v>
      </c>
      <c r="U73" s="2"/>
      <c r="V73" s="19"/>
      <c r="W73" s="2"/>
      <c r="X73" s="2">
        <f t="shared" si="2"/>
        <v>49783.419999999984</v>
      </c>
      <c r="Y73" s="2"/>
      <c r="Z73" s="19">
        <f t="shared" si="3"/>
        <v>-0.29916254064452052</v>
      </c>
    </row>
    <row r="74" spans="1:26" s="24" customFormat="1" hidden="1" outlineLevel="1" x14ac:dyDescent="0.25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>-16170.8</f>
        <v>-16170.8</v>
      </c>
      <c r="E74" s="2"/>
      <c r="F74" s="19"/>
      <c r="G74" s="2"/>
      <c r="H74" s="2">
        <f>-12515.4</f>
        <v>-12515.4</v>
      </c>
      <c r="I74" s="2"/>
      <c r="J74" s="19"/>
      <c r="K74" s="2"/>
      <c r="L74" s="2">
        <f t="shared" si="0"/>
        <v>-3655.3999999999996</v>
      </c>
      <c r="M74" s="2"/>
      <c r="N74" s="19">
        <f t="shared" si="1"/>
        <v>0.29207216709014494</v>
      </c>
      <c r="O74" s="11"/>
      <c r="P74" s="2">
        <f>-43379.15</f>
        <v>-43379.15</v>
      </c>
      <c r="Q74" s="2"/>
      <c r="R74" s="19"/>
      <c r="S74" s="2"/>
      <c r="T74" s="2">
        <f>-42477.35</f>
        <v>-42477.35</v>
      </c>
      <c r="U74" s="2"/>
      <c r="V74" s="19"/>
      <c r="W74" s="2"/>
      <c r="X74" s="2">
        <f t="shared" si="2"/>
        <v>-901.80000000000291</v>
      </c>
      <c r="Y74" s="2"/>
      <c r="Z74" s="19">
        <f t="shared" si="3"/>
        <v>2.1230137944104398E-2</v>
      </c>
    </row>
    <row r="75" spans="1:26" s="24" customFormat="1" hidden="1" outlineLevel="1" x14ac:dyDescent="0.25">
      <c r="A75" s="44"/>
      <c r="B75" s="11" t="str">
        <f>CONCATENATE("          ", "4203", " - ", "SALES RETURN TAXABLE-RENTAL TE")</f>
        <v xml:space="preserve">          4203 - SALES RETURN TAXABLE-RENTAL TE</v>
      </c>
      <c r="C75" s="11"/>
      <c r="D75" s="2">
        <f>0</f>
        <v>0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-144.99</f>
        <v>-144.99</v>
      </c>
      <c r="Q75" s="2"/>
      <c r="R75" s="19"/>
      <c r="S75" s="2"/>
      <c r="T75" s="2">
        <f>-1699.5</f>
        <v>-1699.5</v>
      </c>
      <c r="U75" s="2"/>
      <c r="V75" s="19"/>
      <c r="W75" s="2"/>
      <c r="X75" s="2">
        <f t="shared" si="2"/>
        <v>1554.51</v>
      </c>
      <c r="Y75" s="2"/>
      <c r="Z75" s="19">
        <f t="shared" si="3"/>
        <v>-0.9146866725507502</v>
      </c>
    </row>
    <row r="76" spans="1:26" s="24" customFormat="1" hidden="1" outlineLevel="1" x14ac:dyDescent="0.25">
      <c r="A76" s="44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>-4891.98</f>
        <v>-4891.9799999999996</v>
      </c>
      <c r="E76" s="2"/>
      <c r="F76" s="19"/>
      <c r="G76" s="2"/>
      <c r="H76" s="2">
        <f>-9964.33</f>
        <v>-9964.33</v>
      </c>
      <c r="I76" s="2"/>
      <c r="J76" s="19"/>
      <c r="K76" s="2"/>
      <c r="L76" s="2">
        <f t="shared" si="0"/>
        <v>5072.3500000000004</v>
      </c>
      <c r="M76" s="2"/>
      <c r="N76" s="19">
        <f t="shared" si="1"/>
        <v>-0.50905078414705263</v>
      </c>
      <c r="O76" s="11"/>
      <c r="P76" s="2">
        <f>-16261.44</f>
        <v>-16261.44</v>
      </c>
      <c r="Q76" s="2"/>
      <c r="R76" s="19"/>
      <c r="S76" s="2"/>
      <c r="T76" s="2">
        <f>-26008.18</f>
        <v>-26008.18</v>
      </c>
      <c r="U76" s="2"/>
      <c r="V76" s="19"/>
      <c r="W76" s="2"/>
      <c r="X76" s="2">
        <f t="shared" si="2"/>
        <v>9746.74</v>
      </c>
      <c r="Y76" s="2"/>
      <c r="Z76" s="19">
        <f t="shared" si="3"/>
        <v>-0.37475671115779724</v>
      </c>
    </row>
    <row r="77" spans="1:26" s="24" customFormat="1" hidden="1" outlineLevel="1" x14ac:dyDescent="0.25">
      <c r="A77" s="44"/>
      <c r="B77" s="11" t="str">
        <f>CONCATENATE("          ", "4213", " - ", "NON-TAXABLE SALES-TRADE BOOKS")</f>
        <v xml:space="preserve">          4213 - NON-TAXABLE SALES-TRADE BOOKS</v>
      </c>
      <c r="C77" s="11"/>
      <c r="D77" s="2">
        <f>-13.95</f>
        <v>-13.95</v>
      </c>
      <c r="E77" s="2"/>
      <c r="F77" s="19"/>
      <c r="G77" s="2"/>
      <c r="H77" s="2">
        <f>-24.94</f>
        <v>-24.94</v>
      </c>
      <c r="I77" s="2"/>
      <c r="J77" s="19"/>
      <c r="K77" s="2"/>
      <c r="L77" s="2">
        <f t="shared" si="0"/>
        <v>10.990000000000002</v>
      </c>
      <c r="M77" s="2"/>
      <c r="N77" s="19">
        <f t="shared" si="1"/>
        <v>-0.44065757818765044</v>
      </c>
      <c r="O77" s="11"/>
      <c r="P77" s="2">
        <f>-116.66</f>
        <v>-116.66</v>
      </c>
      <c r="Q77" s="2"/>
      <c r="R77" s="19"/>
      <c r="S77" s="2"/>
      <c r="T77" s="2">
        <f>-121.9</f>
        <v>-121.9</v>
      </c>
      <c r="U77" s="2"/>
      <c r="V77" s="19"/>
      <c r="W77" s="2"/>
      <c r="X77" s="2">
        <f t="shared" si="2"/>
        <v>5.2400000000000091</v>
      </c>
      <c r="Y77" s="2"/>
      <c r="Z77" s="19">
        <f t="shared" si="3"/>
        <v>-4.2986054142740024E-2</v>
      </c>
    </row>
    <row r="78" spans="1:26" s="24" customFormat="1" hidden="1" outlineLevel="1" x14ac:dyDescent="0.25">
      <c r="A78" s="44"/>
      <c r="B78" s="11" t="str">
        <f>CONCATENATE("          ", "4214", " - ", "SALES RETURN TAXABLE-REMAINDER")</f>
        <v xml:space="preserve">          4214 - SALES RETURN TAXABLE-REMAINDER</v>
      </c>
      <c r="C78" s="11"/>
      <c r="D78" s="2">
        <f t="shared" ref="D78:D79" si="5">0</f>
        <v>0</v>
      </c>
      <c r="E78" s="2"/>
      <c r="F78" s="19"/>
      <c r="G78" s="2"/>
      <c r="H78" s="2">
        <f t="shared" ref="H78:H79" si="6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-11.94</f>
        <v>-11.94</v>
      </c>
      <c r="Q78" s="2"/>
      <c r="R78" s="19"/>
      <c r="S78" s="2"/>
      <c r="T78" s="2">
        <f>-3.95</f>
        <v>-3.95</v>
      </c>
      <c r="U78" s="2"/>
      <c r="V78" s="19"/>
      <c r="W78" s="2"/>
      <c r="X78" s="2">
        <f t="shared" si="2"/>
        <v>-7.9899999999999993</v>
      </c>
      <c r="Y78" s="2"/>
      <c r="Z78" s="19">
        <f t="shared" si="3"/>
        <v>2.022784810126582</v>
      </c>
    </row>
    <row r="79" spans="1:26" s="24" customFormat="1" hidden="1" outlineLevel="1" x14ac:dyDescent="0.25">
      <c r="A79" s="44"/>
      <c r="B79" s="11" t="str">
        <f>CONCATENATE("          ", "4217", " - ", "NON-TAXABLE SALES-DORM/HOUSEWA")</f>
        <v xml:space="preserve">          4217 - NON-TAXABLE SALES-DORM/HOUSEWA</v>
      </c>
      <c r="C79" s="11"/>
      <c r="D79" s="2">
        <f t="shared" si="5"/>
        <v>0</v>
      </c>
      <c r="E79" s="2"/>
      <c r="F79" s="19"/>
      <c r="G79" s="2"/>
      <c r="H79" s="2">
        <f t="shared" si="6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-2.98</f>
        <v>-2.98</v>
      </c>
      <c r="Q79" s="2"/>
      <c r="R79" s="19"/>
      <c r="S79" s="2"/>
      <c r="T79" s="2">
        <f>-1.5</f>
        <v>-1.5</v>
      </c>
      <c r="U79" s="2"/>
      <c r="V79" s="19"/>
      <c r="W79" s="2"/>
      <c r="X79" s="2">
        <f t="shared" si="2"/>
        <v>-1.48</v>
      </c>
      <c r="Y79" s="2"/>
      <c r="Z79" s="19">
        <f t="shared" si="3"/>
        <v>0.98666666666666669</v>
      </c>
    </row>
    <row r="80" spans="1:26" s="24" customFormat="1" hidden="1" outlineLevel="1" x14ac:dyDescent="0.25">
      <c r="A80" s="44"/>
      <c r="B80" s="11" t="str">
        <f>CONCATENATE("          ", "4218", " - ", "SALES RETURN TAXABLE-STUDY GUI")</f>
        <v xml:space="preserve">          4218 - SALES RETURN TAXABLE-STUDY GUI</v>
      </c>
      <c r="C80" s="11"/>
      <c r="D80" s="2">
        <f>-6.5</f>
        <v>-6.5</v>
      </c>
      <c r="E80" s="2"/>
      <c r="F80" s="19"/>
      <c r="G80" s="2"/>
      <c r="H80" s="2">
        <f>-20.85</f>
        <v>-20.85</v>
      </c>
      <c r="I80" s="2"/>
      <c r="J80" s="19"/>
      <c r="K80" s="2"/>
      <c r="L80" s="2">
        <f t="shared" si="0"/>
        <v>14.350000000000001</v>
      </c>
      <c r="M80" s="2"/>
      <c r="N80" s="19">
        <f t="shared" si="1"/>
        <v>-0.68824940047961636</v>
      </c>
      <c r="O80" s="11"/>
      <c r="P80" s="2">
        <f>-39.25</f>
        <v>-39.25</v>
      </c>
      <c r="Q80" s="2"/>
      <c r="R80" s="19"/>
      <c r="S80" s="2"/>
      <c r="T80" s="2">
        <f>-60.65</f>
        <v>-60.65</v>
      </c>
      <c r="U80" s="2"/>
      <c r="V80" s="19"/>
      <c r="W80" s="2"/>
      <c r="X80" s="2">
        <f t="shared" si="2"/>
        <v>21.4</v>
      </c>
      <c r="Y80" s="2"/>
      <c r="Z80" s="19">
        <f t="shared" si="3"/>
        <v>-0.3528441879637263</v>
      </c>
    </row>
    <row r="81" spans="1:26" s="24" customFormat="1" hidden="1" outlineLevel="1" x14ac:dyDescent="0.25">
      <c r="A81" s="44"/>
      <c r="B81" s="11" t="str">
        <f>CONCATENATE("          ", "4225", " - ", "SALES RETURN TAXABLE-TEST FORM")</f>
        <v xml:space="preserve">          4225 - SALES RETURN TAXABLE-TEST FORM</v>
      </c>
      <c r="C81" s="11"/>
      <c r="D81" s="2">
        <f>-14.74</f>
        <v>-14.74</v>
      </c>
      <c r="E81" s="2"/>
      <c r="F81" s="19"/>
      <c r="G81" s="2"/>
      <c r="H81" s="2">
        <f>-22.32</f>
        <v>-22.32</v>
      </c>
      <c r="I81" s="2"/>
      <c r="J81" s="19"/>
      <c r="K81" s="2"/>
      <c r="L81" s="2">
        <f t="shared" si="0"/>
        <v>7.58</v>
      </c>
      <c r="M81" s="2"/>
      <c r="N81" s="19">
        <f t="shared" si="1"/>
        <v>-0.3396057347670251</v>
      </c>
      <c r="O81" s="11"/>
      <c r="P81" s="2">
        <f>-95.71</f>
        <v>-95.71</v>
      </c>
      <c r="Q81" s="2"/>
      <c r="R81" s="19"/>
      <c r="S81" s="2"/>
      <c r="T81" s="2">
        <f>-84.74</f>
        <v>-84.74</v>
      </c>
      <c r="U81" s="2"/>
      <c r="V81" s="19"/>
      <c r="W81" s="2"/>
      <c r="X81" s="2">
        <f t="shared" si="2"/>
        <v>-10.969999999999999</v>
      </c>
      <c r="Y81" s="2"/>
      <c r="Z81" s="19">
        <f t="shared" si="3"/>
        <v>0.129454802926599</v>
      </c>
    </row>
    <row r="82" spans="1:26" s="24" customFormat="1" hidden="1" outlineLevel="1" x14ac:dyDescent="0.25">
      <c r="A82" s="44"/>
      <c r="B82" s="11" t="str">
        <f>CONCATENATE("          ", "4226", " - ", "SALES RETURN TAXABLE-WRITING I")</f>
        <v xml:space="preserve">          4226 - SALES RETURN TAXABLE-WRITING I</v>
      </c>
      <c r="C82" s="11"/>
      <c r="D82" s="2">
        <f>-149.55</f>
        <v>-149.55000000000001</v>
      </c>
      <c r="E82" s="2"/>
      <c r="F82" s="19"/>
      <c r="G82" s="2"/>
      <c r="H82" s="2">
        <f>-27.76</f>
        <v>-27.76</v>
      </c>
      <c r="I82" s="2"/>
      <c r="J82" s="19"/>
      <c r="K82" s="2"/>
      <c r="L82" s="2">
        <f t="shared" si="0"/>
        <v>-121.79</v>
      </c>
      <c r="M82" s="2"/>
      <c r="N82" s="19">
        <f t="shared" si="1"/>
        <v>4.3872478386167151</v>
      </c>
      <c r="O82" s="11"/>
      <c r="P82" s="2">
        <f>-680.91</f>
        <v>-680.91</v>
      </c>
      <c r="Q82" s="2"/>
      <c r="R82" s="19"/>
      <c r="S82" s="2"/>
      <c r="T82" s="2">
        <f>-312.3</f>
        <v>-312.3</v>
      </c>
      <c r="U82" s="2"/>
      <c r="V82" s="19"/>
      <c r="W82" s="2"/>
      <c r="X82" s="2">
        <f t="shared" si="2"/>
        <v>-368.60999999999996</v>
      </c>
      <c r="Y82" s="2"/>
      <c r="Z82" s="19">
        <f t="shared" si="3"/>
        <v>1.1803073967339095</v>
      </c>
    </row>
    <row r="83" spans="1:26" s="24" customFormat="1" hidden="1" outlineLevel="1" x14ac:dyDescent="0.25">
      <c r="A83" s="44"/>
      <c r="B83" s="11" t="str">
        <f>CONCATENATE("          ", "4227", " - ", "SALES RETURN TAXABLE-SCHOOL SU")</f>
        <v xml:space="preserve">          4227 - SALES RETURN TAXABLE-SCHOOL SU</v>
      </c>
      <c r="C83" s="11"/>
      <c r="D83" s="2">
        <f>-962.28</f>
        <v>-962.28</v>
      </c>
      <c r="E83" s="2"/>
      <c r="F83" s="19"/>
      <c r="G83" s="2"/>
      <c r="H83" s="2">
        <f>-1186.6</f>
        <v>-1186.5999999999999</v>
      </c>
      <c r="I83" s="2"/>
      <c r="J83" s="19"/>
      <c r="K83" s="2"/>
      <c r="L83" s="2">
        <f t="shared" si="0"/>
        <v>224.31999999999994</v>
      </c>
      <c r="M83" s="2"/>
      <c r="N83" s="19">
        <f t="shared" si="1"/>
        <v>-0.18904432833305237</v>
      </c>
      <c r="O83" s="11"/>
      <c r="P83" s="2">
        <f>-6910.86</f>
        <v>-6910.86</v>
      </c>
      <c r="Q83" s="2"/>
      <c r="R83" s="19"/>
      <c r="S83" s="2"/>
      <c r="T83" s="2">
        <f>-3880.97</f>
        <v>-3880.97</v>
      </c>
      <c r="U83" s="2"/>
      <c r="V83" s="19"/>
      <c r="W83" s="2"/>
      <c r="X83" s="2">
        <f t="shared" si="2"/>
        <v>-3029.89</v>
      </c>
      <c r="Y83" s="2"/>
      <c r="Z83" s="19">
        <f t="shared" si="3"/>
        <v>0.78070430845896777</v>
      </c>
    </row>
    <row r="84" spans="1:26" s="24" customFormat="1" hidden="1" outlineLevel="1" x14ac:dyDescent="0.25">
      <c r="A84" s="44"/>
      <c r="B84" s="11" t="str">
        <f>CONCATENATE("          ", "4228", " - ", "SALES RETURN TAXABLE-ART/TECH")</f>
        <v xml:space="preserve">          4228 - SALES RETURN TAXABLE-ART/TECH</v>
      </c>
      <c r="C84" s="11"/>
      <c r="D84" s="2">
        <f>-766.07</f>
        <v>-766.07</v>
      </c>
      <c r="E84" s="2"/>
      <c r="F84" s="19"/>
      <c r="G84" s="2"/>
      <c r="H84" s="2">
        <f>-1234.7</f>
        <v>-1234.7</v>
      </c>
      <c r="I84" s="2"/>
      <c r="J84" s="19"/>
      <c r="K84" s="2"/>
      <c r="L84" s="2">
        <f t="shared" si="0"/>
        <v>468.63</v>
      </c>
      <c r="M84" s="2"/>
      <c r="N84" s="19">
        <f t="shared" si="1"/>
        <v>-0.37954968818336438</v>
      </c>
      <c r="O84" s="11"/>
      <c r="P84" s="2">
        <f>-3914.69</f>
        <v>-3914.69</v>
      </c>
      <c r="Q84" s="2"/>
      <c r="R84" s="19"/>
      <c r="S84" s="2"/>
      <c r="T84" s="2">
        <f>-5833.5</f>
        <v>-5833.5</v>
      </c>
      <c r="U84" s="2"/>
      <c r="V84" s="19"/>
      <c r="W84" s="2"/>
      <c r="X84" s="2">
        <f t="shared" si="2"/>
        <v>1918.81</v>
      </c>
      <c r="Y84" s="2"/>
      <c r="Z84" s="19">
        <f t="shared" si="3"/>
        <v>-0.32892945915830973</v>
      </c>
    </row>
    <row r="85" spans="1:26" s="24" customFormat="1" hidden="1" outlineLevel="1" x14ac:dyDescent="0.25">
      <c r="A85" s="44"/>
      <c r="B85" s="11" t="str">
        <f>CONCATENATE("          ", "4233", " - ", "SALES RETURN TAXABLE-CANDY")</f>
        <v xml:space="preserve">          4233 - SALES RETURN TAXABLE-CANDY</v>
      </c>
      <c r="C85" s="11"/>
      <c r="D85" s="2">
        <f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-1.29</f>
        <v>-1.29</v>
      </c>
      <c r="Q85" s="2"/>
      <c r="R85" s="19"/>
      <c r="S85" s="2"/>
      <c r="T85" s="2">
        <f>-1.89</f>
        <v>-1.89</v>
      </c>
      <c r="U85" s="2"/>
      <c r="V85" s="19"/>
      <c r="W85" s="2"/>
      <c r="X85" s="2">
        <f t="shared" si="2"/>
        <v>0.59999999999999987</v>
      </c>
      <c r="Y85" s="2"/>
      <c r="Z85" s="19">
        <f t="shared" si="3"/>
        <v>-0.31746031746031739</v>
      </c>
    </row>
    <row r="86" spans="1:26" s="24" customFormat="1" hidden="1" outlineLevel="1" x14ac:dyDescent="0.25">
      <c r="A86" s="44"/>
      <c r="B86" s="11" t="str">
        <f>CONCATENATE("          ", "4240", " - ", "SALES RETURN TAXABLE-LOGO CLOT")</f>
        <v xml:space="preserve">          4240 - SALES RETURN TAXABLE-LOGO CLOT</v>
      </c>
      <c r="C86" s="11"/>
      <c r="D86" s="2">
        <f>-12286.81</f>
        <v>-12286.81</v>
      </c>
      <c r="E86" s="2"/>
      <c r="F86" s="19"/>
      <c r="G86" s="2"/>
      <c r="H86" s="2">
        <f>-9903.76</f>
        <v>-9903.76</v>
      </c>
      <c r="I86" s="2"/>
      <c r="J86" s="19"/>
      <c r="K86" s="2"/>
      <c r="L86" s="2">
        <f t="shared" si="0"/>
        <v>-2383.0499999999993</v>
      </c>
      <c r="M86" s="2"/>
      <c r="N86" s="19">
        <f t="shared" si="1"/>
        <v>0.24062073394347189</v>
      </c>
      <c r="O86" s="11"/>
      <c r="P86" s="2">
        <f>-61608.75</f>
        <v>-61608.75</v>
      </c>
      <c r="Q86" s="2"/>
      <c r="R86" s="19"/>
      <c r="S86" s="2"/>
      <c r="T86" s="2">
        <f>-58611.84</f>
        <v>-58611.839999999997</v>
      </c>
      <c r="U86" s="2"/>
      <c r="V86" s="19"/>
      <c r="W86" s="2"/>
      <c r="X86" s="2">
        <f t="shared" si="2"/>
        <v>-2996.9100000000035</v>
      </c>
      <c r="Y86" s="2"/>
      <c r="Z86" s="19">
        <f t="shared" si="3"/>
        <v>5.1131477872047755E-2</v>
      </c>
    </row>
    <row r="87" spans="1:26" s="24" customFormat="1" hidden="1" outlineLevel="1" x14ac:dyDescent="0.25">
      <c r="A87" s="44"/>
      <c r="B87" s="11" t="str">
        <f>CONCATENATE("          ", "4241", " - ", "SALES RETURN TAXABLE-LOGO GIFT")</f>
        <v xml:space="preserve">          4241 - SALES RETURN TAXABLE-LOGO GIFT</v>
      </c>
      <c r="C87" s="11"/>
      <c r="D87" s="2">
        <f>-805.34</f>
        <v>-805.34</v>
      </c>
      <c r="E87" s="2"/>
      <c r="F87" s="19"/>
      <c r="G87" s="2"/>
      <c r="H87" s="2">
        <f>-1041.57</f>
        <v>-1041.57</v>
      </c>
      <c r="I87" s="2"/>
      <c r="J87" s="19"/>
      <c r="K87" s="2"/>
      <c r="L87" s="2">
        <f t="shared" si="0"/>
        <v>236.2299999999999</v>
      </c>
      <c r="M87" s="2"/>
      <c r="N87" s="19">
        <f t="shared" si="1"/>
        <v>-0.22680184721142113</v>
      </c>
      <c r="O87" s="11"/>
      <c r="P87" s="2">
        <f>-4954.21</f>
        <v>-4954.21</v>
      </c>
      <c r="Q87" s="2"/>
      <c r="R87" s="19"/>
      <c r="S87" s="2"/>
      <c r="T87" s="2">
        <f>-5742.21</f>
        <v>-5742.21</v>
      </c>
      <c r="U87" s="2"/>
      <c r="V87" s="19"/>
      <c r="W87" s="2"/>
      <c r="X87" s="2">
        <f t="shared" si="2"/>
        <v>788</v>
      </c>
      <c r="Y87" s="2"/>
      <c r="Z87" s="19">
        <f t="shared" si="3"/>
        <v>-0.1372293942576116</v>
      </c>
    </row>
    <row r="88" spans="1:26" s="24" customFormat="1" hidden="1" outlineLevel="1" x14ac:dyDescent="0.25">
      <c r="A88" s="44"/>
      <c r="B88" s="11" t="str">
        <f>CONCATENATE("          ", "4242", " - ", "SALES RETURN TAXABLE-EVERYDAY")</f>
        <v xml:space="preserve">          4242 - SALES RETURN TAXABLE-EVERYDAY</v>
      </c>
      <c r="C88" s="11"/>
      <c r="D88" s="2">
        <f>-754.91</f>
        <v>-754.91</v>
      </c>
      <c r="E88" s="2"/>
      <c r="F88" s="19"/>
      <c r="G88" s="2"/>
      <c r="H88" s="2">
        <f>-237.92</f>
        <v>-237.92</v>
      </c>
      <c r="I88" s="2"/>
      <c r="J88" s="19"/>
      <c r="K88" s="2"/>
      <c r="L88" s="2">
        <f t="shared" si="0"/>
        <v>-516.99</v>
      </c>
      <c r="M88" s="2"/>
      <c r="N88" s="19">
        <f t="shared" si="1"/>
        <v>2.1729572965702757</v>
      </c>
      <c r="O88" s="11"/>
      <c r="P88" s="2">
        <f>-3544.33</f>
        <v>-3544.33</v>
      </c>
      <c r="Q88" s="2"/>
      <c r="R88" s="19"/>
      <c r="S88" s="2"/>
      <c r="T88" s="2">
        <f>-1955.01</f>
        <v>-1955.01</v>
      </c>
      <c r="U88" s="2"/>
      <c r="V88" s="19"/>
      <c r="W88" s="2"/>
      <c r="X88" s="2">
        <f t="shared" si="2"/>
        <v>-1589.32</v>
      </c>
      <c r="Y88" s="2"/>
      <c r="Z88" s="19">
        <f t="shared" si="3"/>
        <v>0.81294724835167076</v>
      </c>
    </row>
    <row r="89" spans="1:26" s="24" customFormat="1" hidden="1" outlineLevel="1" x14ac:dyDescent="0.25">
      <c r="A89" s="44"/>
      <c r="B89" s="11" t="str">
        <f>CONCATENATE("          ", "4243", " - ", "SALES RETURN TAXABLE-CARDS")</f>
        <v xml:space="preserve">          4243 - SALES RETURN TAXABLE-CARDS</v>
      </c>
      <c r="C89" s="11"/>
      <c r="D89" s="2">
        <f>-344.74</f>
        <v>-344.74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-344.74</v>
      </c>
      <c r="M89" s="2"/>
      <c r="N89" s="19">
        <f t="shared" si="1"/>
        <v>0</v>
      </c>
      <c r="O89" s="11"/>
      <c r="P89" s="2">
        <f>-1224.21</f>
        <v>-1224.21</v>
      </c>
      <c r="Q89" s="2"/>
      <c r="R89" s="19"/>
      <c r="S89" s="2"/>
      <c r="T89" s="2">
        <f>-25.94</f>
        <v>-25.94</v>
      </c>
      <c r="U89" s="2"/>
      <c r="V89" s="19"/>
      <c r="W89" s="2"/>
      <c r="X89" s="2">
        <f t="shared" si="2"/>
        <v>-1198.27</v>
      </c>
      <c r="Y89" s="2"/>
      <c r="Z89" s="19">
        <f t="shared" si="3"/>
        <v>46.193909020817266</v>
      </c>
    </row>
    <row r="90" spans="1:26" s="24" customFormat="1" hidden="1" outlineLevel="1" x14ac:dyDescent="0.25">
      <c r="A90" s="44"/>
      <c r="B90" s="11" t="str">
        <f>CONCATENATE("          ", "4244", " - ", "SALES RETURN TAXABLE-ACCESSORI")</f>
        <v xml:space="preserve">          4244 - SALES RETURN TAXABLE-ACCESSORI</v>
      </c>
      <c r="C90" s="11"/>
      <c r="D90" s="2">
        <f>-370.28</f>
        <v>-370.28</v>
      </c>
      <c r="E90" s="2"/>
      <c r="F90" s="19"/>
      <c r="G90" s="2"/>
      <c r="H90" s="2">
        <f>-268.5</f>
        <v>-268.5</v>
      </c>
      <c r="I90" s="2"/>
      <c r="J90" s="19"/>
      <c r="K90" s="2"/>
      <c r="L90" s="2">
        <f t="shared" si="0"/>
        <v>-101.77999999999997</v>
      </c>
      <c r="M90" s="2"/>
      <c r="N90" s="19">
        <f t="shared" si="1"/>
        <v>0.3790689013035381</v>
      </c>
      <c r="O90" s="11"/>
      <c r="P90" s="2">
        <f>-2102.05</f>
        <v>-2102.0500000000002</v>
      </c>
      <c r="Q90" s="2"/>
      <c r="R90" s="19"/>
      <c r="S90" s="2"/>
      <c r="T90" s="2">
        <f>-3012.87</f>
        <v>-3012.87</v>
      </c>
      <c r="U90" s="2"/>
      <c r="V90" s="19"/>
      <c r="W90" s="2"/>
      <c r="X90" s="2">
        <f t="shared" si="2"/>
        <v>910.81999999999971</v>
      </c>
      <c r="Y90" s="2"/>
      <c r="Z90" s="19">
        <f t="shared" si="3"/>
        <v>-0.3023097578056802</v>
      </c>
    </row>
    <row r="91" spans="1:26" s="24" customFormat="1" hidden="1" outlineLevel="1" x14ac:dyDescent="0.25">
      <c r="A91" s="44"/>
      <c r="B91" s="11" t="str">
        <f>CONCATENATE("          ", "4245", " - ", "SALES RETURN TAXABLE-SPECIAL O")</f>
        <v xml:space="preserve">          4245 - SALES RETURN TAXABLE-SPECIAL O</v>
      </c>
      <c r="C91" s="11"/>
      <c r="D91" s="2">
        <f>-1623.09</f>
        <v>-1623.09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-1623.09</v>
      </c>
      <c r="M91" s="2"/>
      <c r="N91" s="19">
        <f t="shared" si="1"/>
        <v>0</v>
      </c>
      <c r="O91" s="11"/>
      <c r="P91" s="2">
        <f>-1715.05</f>
        <v>-1715.05</v>
      </c>
      <c r="Q91" s="2"/>
      <c r="R91" s="19"/>
      <c r="S91" s="2"/>
      <c r="T91" s="2">
        <f>-225.7</f>
        <v>-225.7</v>
      </c>
      <c r="U91" s="2"/>
      <c r="V91" s="19"/>
      <c r="W91" s="2"/>
      <c r="X91" s="2">
        <f t="shared" si="2"/>
        <v>-1489.35</v>
      </c>
      <c r="Y91" s="2"/>
      <c r="Z91" s="19">
        <f t="shared" si="3"/>
        <v>6.5988037217545417</v>
      </c>
    </row>
    <row r="92" spans="1:26" s="24" customFormat="1" hidden="1" outlineLevel="1" x14ac:dyDescent="0.25">
      <c r="A92" s="44"/>
      <c r="B92" s="11" t="str">
        <f>CONCATENATE("          ", "4281", " - ", "SALES RETURN TAXABLE-ELECTRONI")</f>
        <v xml:space="preserve">          4281 - SALES RETURN TAXABLE-ELECTRONI</v>
      </c>
      <c r="C92" s="11"/>
      <c r="D92" s="2">
        <f t="shared" ref="D92:D94" si="7">0</f>
        <v>0</v>
      </c>
      <c r="E92" s="2"/>
      <c r="F92" s="19"/>
      <c r="G92" s="2"/>
      <c r="H92" s="2">
        <f>-9.99</f>
        <v>-9.99</v>
      </c>
      <c r="I92" s="2"/>
      <c r="J92" s="19"/>
      <c r="K92" s="2"/>
      <c r="L92" s="2">
        <f t="shared" si="0"/>
        <v>9.99</v>
      </c>
      <c r="M92" s="2"/>
      <c r="N92" s="19">
        <f t="shared" si="1"/>
        <v>-1</v>
      </c>
      <c r="O92" s="11"/>
      <c r="P92" s="2">
        <f>-54.97</f>
        <v>-54.97</v>
      </c>
      <c r="Q92" s="2"/>
      <c r="R92" s="19"/>
      <c r="S92" s="2"/>
      <c r="T92" s="2">
        <f>-34.98</f>
        <v>-34.979999999999997</v>
      </c>
      <c r="U92" s="2"/>
      <c r="V92" s="19"/>
      <c r="W92" s="2"/>
      <c r="X92" s="2">
        <f t="shared" si="2"/>
        <v>-19.990000000000002</v>
      </c>
      <c r="Y92" s="2"/>
      <c r="Z92" s="19">
        <f t="shared" si="3"/>
        <v>0.57146941109205274</v>
      </c>
    </row>
    <row r="93" spans="1:26" s="24" customFormat="1" hidden="1" outlineLevel="1" x14ac:dyDescent="0.25">
      <c r="A93" s="44"/>
      <c r="B93" s="11" t="str">
        <f>CONCATENATE("          ", "4292", " - ", "SALES RETURN TAXABLE-GRAD MERC")</f>
        <v xml:space="preserve">          4292 - SALES RETURN TAXABLE-GRAD MERC</v>
      </c>
      <c r="C93" s="11"/>
      <c r="D93" s="2">
        <f t="shared" si="7"/>
        <v>0</v>
      </c>
      <c r="E93" s="2"/>
      <c r="F93" s="19"/>
      <c r="G93" s="2"/>
      <c r="H93" s="2">
        <f t="shared" ref="H93:H94" si="8"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-419.05</f>
        <v>-419.05</v>
      </c>
      <c r="Q93" s="2"/>
      <c r="R93" s="19"/>
      <c r="S93" s="2"/>
      <c r="T93" s="2">
        <f>-548.24</f>
        <v>-548.24</v>
      </c>
      <c r="U93" s="2"/>
      <c r="V93" s="19"/>
      <c r="W93" s="2"/>
      <c r="X93" s="2">
        <f t="shared" si="2"/>
        <v>129.19</v>
      </c>
      <c r="Y93" s="2"/>
      <c r="Z93" s="19">
        <f t="shared" si="3"/>
        <v>-0.23564497300452356</v>
      </c>
    </row>
    <row r="94" spans="1:26" s="24" customFormat="1" hidden="1" outlineLevel="1" x14ac:dyDescent="0.25">
      <c r="A94" s="44"/>
      <c r="B94" s="11" t="str">
        <f>CONCATENATE("          ", "4295", " - ", "SALES RETURN TAXABLE-CUSTOMER")</f>
        <v xml:space="preserve">          4295 - SALES RETURN TAXABLE-CUSTOMER</v>
      </c>
      <c r="C94" s="11"/>
      <c r="D94" s="2">
        <f t="shared" si="7"/>
        <v>0</v>
      </c>
      <c r="E94" s="2"/>
      <c r="F94" s="19"/>
      <c r="G94" s="2"/>
      <c r="H94" s="2">
        <f t="shared" si="8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--0.99</f>
        <v>0.99</v>
      </c>
      <c r="Q94" s="2"/>
      <c r="R94" s="19"/>
      <c r="S94" s="2"/>
      <c r="T94" s="2">
        <f>-126.72</f>
        <v>-126.72</v>
      </c>
      <c r="U94" s="2"/>
      <c r="V94" s="19"/>
      <c r="W94" s="2"/>
      <c r="X94" s="2">
        <f t="shared" si="2"/>
        <v>127.71</v>
      </c>
      <c r="Y94" s="2"/>
      <c r="Z94" s="19">
        <f t="shared" si="3"/>
        <v>-1.0078125</v>
      </c>
    </row>
    <row r="95" spans="1:26" s="24" customFormat="1" hidden="1" outlineLevel="1" x14ac:dyDescent="0.25">
      <c r="A95" s="44"/>
      <c r="B95" s="11" t="str">
        <f>CONCATENATE("          ", "4301", " - ", "SALES RETURN NON TAXABLE-NEW T")</f>
        <v xml:space="preserve">          4301 - SALES RETURN NON TAXABLE-NEW T</v>
      </c>
      <c r="C95" s="11"/>
      <c r="D95" s="2">
        <f>-2910.64</f>
        <v>-2910.64</v>
      </c>
      <c r="E95" s="2"/>
      <c r="F95" s="19"/>
      <c r="G95" s="2"/>
      <c r="H95" s="2">
        <f>-4939.03</f>
        <v>-4939.03</v>
      </c>
      <c r="I95" s="2"/>
      <c r="J95" s="19"/>
      <c r="K95" s="2"/>
      <c r="L95" s="2">
        <f t="shared" si="0"/>
        <v>2028.3899999999999</v>
      </c>
      <c r="M95" s="2"/>
      <c r="N95" s="19">
        <f t="shared" si="1"/>
        <v>-0.41068590391230664</v>
      </c>
      <c r="O95" s="11"/>
      <c r="P95" s="2">
        <f>-15221.62</f>
        <v>-15221.62</v>
      </c>
      <c r="Q95" s="2"/>
      <c r="R95" s="19"/>
      <c r="S95" s="2"/>
      <c r="T95" s="2">
        <f>-35074.1</f>
        <v>-35074.1</v>
      </c>
      <c r="U95" s="2"/>
      <c r="V95" s="19"/>
      <c r="W95" s="2"/>
      <c r="X95" s="2">
        <f t="shared" si="2"/>
        <v>19852.479999999996</v>
      </c>
      <c r="Y95" s="2"/>
      <c r="Z95" s="19">
        <f t="shared" si="3"/>
        <v>-0.56601537886930808</v>
      </c>
    </row>
    <row r="96" spans="1:26" s="24" customFormat="1" hidden="1" outlineLevel="1" x14ac:dyDescent="0.25">
      <c r="A96" s="44"/>
      <c r="B96" s="11" t="str">
        <f>CONCATENATE("          ", "4302", " - ", "SALES RETURN NON TAXABLE-TEXT")</f>
        <v xml:space="preserve">          4302 - SALES RETURN NON TAXABLE-TEXT</v>
      </c>
      <c r="C96" s="11"/>
      <c r="D96" s="2">
        <f>-614.47</f>
        <v>-614.47</v>
      </c>
      <c r="E96" s="2"/>
      <c r="F96" s="19"/>
      <c r="G96" s="2"/>
      <c r="H96" s="2">
        <f>-1055.72</f>
        <v>-1055.72</v>
      </c>
      <c r="I96" s="2"/>
      <c r="J96" s="19"/>
      <c r="K96" s="2"/>
      <c r="L96" s="2">
        <f t="shared" si="0"/>
        <v>441.25</v>
      </c>
      <c r="M96" s="2"/>
      <c r="N96" s="19">
        <f t="shared" si="1"/>
        <v>-0.41796120183381957</v>
      </c>
      <c r="O96" s="11"/>
      <c r="P96" s="2">
        <f>-1312.37</f>
        <v>-1312.37</v>
      </c>
      <c r="Q96" s="2"/>
      <c r="R96" s="19"/>
      <c r="S96" s="2"/>
      <c r="T96" s="2">
        <f>-3569.16</f>
        <v>-3569.16</v>
      </c>
      <c r="U96" s="2"/>
      <c r="V96" s="19"/>
      <c r="W96" s="2"/>
      <c r="X96" s="2">
        <f t="shared" si="2"/>
        <v>2256.79</v>
      </c>
      <c r="Y96" s="2"/>
      <c r="Z96" s="19">
        <f t="shared" si="3"/>
        <v>-0.63230283876318238</v>
      </c>
    </row>
    <row r="97" spans="1:26" s="24" customFormat="1" hidden="1" outlineLevel="1" x14ac:dyDescent="0.25">
      <c r="A97" s="44"/>
      <c r="B97" s="11" t="str">
        <f>CONCATENATE("          ", "4303", " - ", "SALES RETURN NON-TAXABLE-RENTA")</f>
        <v xml:space="preserve">          4303 - SALES RETURN NON-TAXABLE-RENTA</v>
      </c>
      <c r="C97" s="11"/>
      <c r="D97" s="2">
        <f>0</f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-184.99</f>
        <v>-184.99</v>
      </c>
      <c r="Q97" s="2"/>
      <c r="R97" s="19"/>
      <c r="S97" s="2"/>
      <c r="T97" s="2">
        <f>-509.85</f>
        <v>-509.85</v>
      </c>
      <c r="U97" s="2"/>
      <c r="V97" s="19"/>
      <c r="W97" s="2"/>
      <c r="X97" s="2">
        <f t="shared" si="2"/>
        <v>324.86</v>
      </c>
      <c r="Y97" s="2"/>
      <c r="Z97" s="19">
        <f t="shared" si="3"/>
        <v>-0.63716779444934779</v>
      </c>
    </row>
    <row r="98" spans="1:26" s="24" customFormat="1" hidden="1" outlineLevel="1" x14ac:dyDescent="0.25">
      <c r="A98" s="44"/>
      <c r="B98" s="11" t="str">
        <f>CONCATENATE("          ", "4304", " - ", "SALES RETURN NON TAXABLE-DIGIT")</f>
        <v xml:space="preserve">          4304 - SALES RETURN NON TAXABLE-DIGIT</v>
      </c>
      <c r="C98" s="11"/>
      <c r="D98" s="2">
        <f>-4312.43</f>
        <v>-4312.43</v>
      </c>
      <c r="E98" s="2"/>
      <c r="F98" s="19"/>
      <c r="G98" s="2"/>
      <c r="H98" s="2">
        <f>-540.96</f>
        <v>-540.96</v>
      </c>
      <c r="I98" s="2"/>
      <c r="J98" s="19"/>
      <c r="K98" s="2"/>
      <c r="L98" s="2">
        <f t="shared" si="0"/>
        <v>-3771.4700000000003</v>
      </c>
      <c r="M98" s="2"/>
      <c r="N98" s="19">
        <f t="shared" si="1"/>
        <v>6.9718093759242832</v>
      </c>
      <c r="O98" s="11"/>
      <c r="P98" s="2">
        <f>-17742.75</f>
        <v>-17742.75</v>
      </c>
      <c r="Q98" s="2"/>
      <c r="R98" s="19"/>
      <c r="S98" s="2"/>
      <c r="T98" s="2">
        <f>-4284.71</f>
        <v>-4284.71</v>
      </c>
      <c r="U98" s="2"/>
      <c r="V98" s="19"/>
      <c r="W98" s="2"/>
      <c r="X98" s="2">
        <f t="shared" si="2"/>
        <v>-13458.04</v>
      </c>
      <c r="Y98" s="2"/>
      <c r="Z98" s="19">
        <f t="shared" si="3"/>
        <v>3.1409453615297185</v>
      </c>
    </row>
    <row r="99" spans="1:26" s="24" customFormat="1" hidden="1" outlineLevel="1" x14ac:dyDescent="0.25">
      <c r="A99" s="44"/>
      <c r="B99" s="11" t="str">
        <f>CONCATENATE("          ", "4311", " - ", "SALES RETURN NON TAXABLE-NO VA")</f>
        <v xml:space="preserve">          4311 - SALES RETURN NON TAXABLE-NO VA</v>
      </c>
      <c r="C99" s="11"/>
      <c r="D99" s="2">
        <f>-237.35</f>
        <v>-237.35</v>
      </c>
      <c r="E99" s="2"/>
      <c r="F99" s="19"/>
      <c r="G99" s="2"/>
      <c r="H99" s="2">
        <f>-139.77</f>
        <v>-139.77000000000001</v>
      </c>
      <c r="I99" s="2"/>
      <c r="J99" s="19"/>
      <c r="K99" s="2"/>
      <c r="L99" s="2">
        <f t="shared" si="0"/>
        <v>-97.579999999999984</v>
      </c>
      <c r="M99" s="2"/>
      <c r="N99" s="19">
        <f t="shared" si="1"/>
        <v>0.69814695571295682</v>
      </c>
      <c r="O99" s="11"/>
      <c r="P99" s="2">
        <f>-625.31</f>
        <v>-625.30999999999995</v>
      </c>
      <c r="Q99" s="2"/>
      <c r="R99" s="19"/>
      <c r="S99" s="2"/>
      <c r="T99" s="2">
        <f>-749.03</f>
        <v>-749.03</v>
      </c>
      <c r="U99" s="2"/>
      <c r="V99" s="19"/>
      <c r="W99" s="2"/>
      <c r="X99" s="2">
        <f t="shared" si="2"/>
        <v>123.72000000000003</v>
      </c>
      <c r="Y99" s="2"/>
      <c r="Z99" s="19">
        <f t="shared" si="3"/>
        <v>-0.16517362455442378</v>
      </c>
    </row>
    <row r="100" spans="1:26" s="24" customFormat="1" hidden="1" outlineLevel="1" x14ac:dyDescent="0.25">
      <c r="A100" s="44"/>
      <c r="B100" s="11" t="str">
        <f>CONCATENATE("          ", "4326", " - ", "SALES RETURN NON TAXABLE-WRITI")</f>
        <v xml:space="preserve">          4326 - SALES RETURN NON TAXABLE-WRITI</v>
      </c>
      <c r="C100" s="11"/>
      <c r="D100" s="2">
        <f t="shared" ref="D100:D101" si="9">0</f>
        <v>0</v>
      </c>
      <c r="E100" s="2"/>
      <c r="F100" s="19"/>
      <c r="G100" s="2"/>
      <c r="H100" s="2">
        <f>-6.69</f>
        <v>-6.69</v>
      </c>
      <c r="I100" s="2"/>
      <c r="J100" s="19"/>
      <c r="K100" s="2"/>
      <c r="L100" s="2">
        <f t="shared" si="0"/>
        <v>6.69</v>
      </c>
      <c r="M100" s="2"/>
      <c r="N100" s="19">
        <f t="shared" si="1"/>
        <v>-1</v>
      </c>
      <c r="O100" s="11"/>
      <c r="P100" s="2">
        <f>0</f>
        <v>0</v>
      </c>
      <c r="Q100" s="2"/>
      <c r="R100" s="19"/>
      <c r="S100" s="2"/>
      <c r="T100" s="2">
        <f>-14.77</f>
        <v>-14.77</v>
      </c>
      <c r="U100" s="2"/>
      <c r="V100" s="19"/>
      <c r="W100" s="2"/>
      <c r="X100" s="2">
        <f t="shared" si="2"/>
        <v>14.77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si="9"/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-21.87</f>
        <v>-21.87</v>
      </c>
      <c r="Q101" s="2"/>
      <c r="R101" s="19"/>
      <c r="S101" s="2"/>
      <c r="T101" s="2">
        <f>0</f>
        <v>0</v>
      </c>
      <c r="U101" s="2"/>
      <c r="V101" s="19"/>
      <c r="W101" s="2"/>
      <c r="X101" s="2">
        <f t="shared" si="2"/>
        <v>-21.87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>-216.75</f>
        <v>-216.75</v>
      </c>
      <c r="E102" s="2"/>
      <c r="F102" s="19"/>
      <c r="G102" s="2"/>
      <c r="H102" s="2">
        <f>-194.09</f>
        <v>-194.09</v>
      </c>
      <c r="I102" s="2"/>
      <c r="J102" s="19"/>
      <c r="K102" s="2"/>
      <c r="L102" s="2">
        <f t="shared" si="0"/>
        <v>-22.659999999999997</v>
      </c>
      <c r="M102" s="2"/>
      <c r="N102" s="19">
        <f t="shared" si="1"/>
        <v>0.1167499613581328</v>
      </c>
      <c r="O102" s="11"/>
      <c r="P102" s="2">
        <f>-931.65</f>
        <v>-931.65</v>
      </c>
      <c r="Q102" s="2"/>
      <c r="R102" s="19"/>
      <c r="S102" s="2"/>
      <c r="T102" s="2">
        <f>-495.68</f>
        <v>-495.68</v>
      </c>
      <c r="U102" s="2"/>
      <c r="V102" s="19"/>
      <c r="W102" s="2"/>
      <c r="X102" s="2">
        <f t="shared" si="2"/>
        <v>-435.96999999999997</v>
      </c>
      <c r="Y102" s="2"/>
      <c r="Z102" s="19">
        <f t="shared" si="3"/>
        <v>0.8795392188508715</v>
      </c>
    </row>
    <row r="103" spans="1:26" s="24" customFormat="1" hidden="1" outlineLevel="1" x14ac:dyDescent="0.25">
      <c r="A103" s="44"/>
      <c r="B103" s="11" t="str">
        <f>CONCATENATE("          ", "4341", " - ", "SALES RETURN NON TAXABLE-LOGO")</f>
        <v xml:space="preserve">          4341 - SALES RETURN NON TAXABLE-LOGO</v>
      </c>
      <c r="C103" s="11"/>
      <c r="D103" s="2">
        <f>-9.95</f>
        <v>-9.9499999999999993</v>
      </c>
      <c r="E103" s="2"/>
      <c r="F103" s="19"/>
      <c r="G103" s="2"/>
      <c r="H103" s="2">
        <f>-23.9</f>
        <v>-23.9</v>
      </c>
      <c r="I103" s="2"/>
      <c r="J103" s="19"/>
      <c r="K103" s="2"/>
      <c r="L103" s="2">
        <f t="shared" si="0"/>
        <v>13.95</v>
      </c>
      <c r="M103" s="2"/>
      <c r="N103" s="19">
        <f t="shared" si="1"/>
        <v>-0.58368200836820083</v>
      </c>
      <c r="O103" s="11"/>
      <c r="P103" s="2">
        <f>-30.8</f>
        <v>-30.8</v>
      </c>
      <c r="Q103" s="2"/>
      <c r="R103" s="19"/>
      <c r="S103" s="2"/>
      <c r="T103" s="2">
        <f>-142.75</f>
        <v>-142.75</v>
      </c>
      <c r="U103" s="2"/>
      <c r="V103" s="19"/>
      <c r="W103" s="2"/>
      <c r="X103" s="2">
        <f t="shared" si="2"/>
        <v>111.95</v>
      </c>
      <c r="Y103" s="2"/>
      <c r="Z103" s="19">
        <f t="shared" si="3"/>
        <v>-0.78423817863397549</v>
      </c>
    </row>
    <row r="104" spans="1:26" s="24" customFormat="1" hidden="1" outlineLevel="1" x14ac:dyDescent="0.25">
      <c r="A104" s="44"/>
      <c r="B104" s="11" t="str">
        <f>CONCATENATE("          ", "4342", " - ", "SALES RETURN NON TAXABLE-EVERY")</f>
        <v xml:space="preserve">          4342 - SALES RETURN NON TAXABLE-EVERY</v>
      </c>
      <c r="C104" s="11"/>
      <c r="D104" s="2">
        <f>-39.42</f>
        <v>-39.42</v>
      </c>
      <c r="E104" s="2"/>
      <c r="F104" s="19"/>
      <c r="G104" s="2"/>
      <c r="H104" s="2">
        <f>-14.95</f>
        <v>-14.95</v>
      </c>
      <c r="I104" s="2"/>
      <c r="J104" s="19"/>
      <c r="K104" s="2"/>
      <c r="L104" s="2">
        <f t="shared" si="0"/>
        <v>-24.470000000000002</v>
      </c>
      <c r="M104" s="2"/>
      <c r="N104" s="19">
        <f t="shared" si="1"/>
        <v>1.6367892976588632</v>
      </c>
      <c r="O104" s="11"/>
      <c r="P104" s="2">
        <f>-149.22</f>
        <v>-149.22</v>
      </c>
      <c r="Q104" s="2"/>
      <c r="R104" s="19"/>
      <c r="S104" s="2"/>
      <c r="T104" s="2">
        <f>-83.7</f>
        <v>-83.7</v>
      </c>
      <c r="U104" s="2"/>
      <c r="V104" s="19"/>
      <c r="W104" s="2"/>
      <c r="X104" s="2">
        <f t="shared" si="2"/>
        <v>-65.52</v>
      </c>
      <c r="Y104" s="2"/>
      <c r="Z104" s="19">
        <f t="shared" si="3"/>
        <v>0.78279569892473111</v>
      </c>
    </row>
    <row r="105" spans="1:26" s="24" customFormat="1" hidden="1" outlineLevel="1" x14ac:dyDescent="0.25">
      <c r="A105" s="44"/>
      <c r="B105" s="11" t="str">
        <f>CONCATENATE("          ", "4346", " - ", "SALES RETURN NON TAXABLE-COIN-")</f>
        <v xml:space="preserve">          4346 - SALES RETURN NON TAXABLE-COIN-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-8.15</f>
        <v>-8.15</v>
      </c>
      <c r="Q105" s="2"/>
      <c r="R105" s="19"/>
      <c r="S105" s="2"/>
      <c r="T105" s="2">
        <f>0</f>
        <v>0</v>
      </c>
      <c r="U105" s="2"/>
      <c r="V105" s="19"/>
      <c r="W105" s="2"/>
      <c r="X105" s="2">
        <f t="shared" si="2"/>
        <v>-8.15</v>
      </c>
      <c r="Y105" s="2"/>
      <c r="Z105" s="19">
        <f t="shared" si="3"/>
        <v>0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9" t="s">
        <v>8</v>
      </c>
      <c r="C107" s="10"/>
      <c r="D107" s="4">
        <f>SUM(OSRRefD16x_0)</f>
        <v>1189522.4299999995</v>
      </c>
      <c r="E107" s="4"/>
      <c r="F107" s="12">
        <f t="shared" ref="F107:F157" si="10">IF(D$12=0,0,D107/D$12)</f>
        <v>0.54730184518958092</v>
      </c>
      <c r="G107" s="4"/>
      <c r="H107" s="4">
        <f>SUM(OSRRefH16x_0)</f>
        <v>1682614.9099999997</v>
      </c>
      <c r="I107" s="4"/>
      <c r="J107" s="12">
        <f t="shared" ref="J107:J157" si="11">IF(H$12=0,0,H107/H$12)</f>
        <v>0.64514349988811681</v>
      </c>
      <c r="K107" s="4"/>
      <c r="L107" s="4">
        <f t="shared" ref="L107:L157" si="12">+D107-H107</f>
        <v>-493092.48000000021</v>
      </c>
      <c r="M107" s="4"/>
      <c r="N107" s="12">
        <f t="shared" ref="N107:N157" si="13">IF(H107=0,0,L107/H107)</f>
        <v>-0.2930512959735988</v>
      </c>
      <c r="O107" s="10"/>
      <c r="P107" s="4">
        <f>SUM(OSRRefP16x_0)</f>
        <v>4409949.3900000025</v>
      </c>
      <c r="Q107" s="4"/>
      <c r="R107" s="12">
        <f t="shared" ref="R107:R157" si="14">IF(P$12=0,0,P107/P$12)</f>
        <v>0.57356878924029464</v>
      </c>
      <c r="S107" s="4"/>
      <c r="T107" s="4">
        <f>SUM(OSRRefT16x_0)</f>
        <v>5244979.9899999993</v>
      </c>
      <c r="U107" s="4"/>
      <c r="V107" s="12">
        <f t="shared" ref="V107:V157" si="15">IF(T$12=0,0,T107/T$12)</f>
        <v>0.61555873751540768</v>
      </c>
      <c r="W107" s="4"/>
      <c r="X107" s="4">
        <f t="shared" ref="X107:X157" si="16">+P107-T107</f>
        <v>-835030.59999999683</v>
      </c>
      <c r="Y107" s="4"/>
      <c r="Z107" s="12">
        <f t="shared" ref="Z107:Z157" si="17">IF(T107=0,0,X107/T107)</f>
        <v>-0.1592056788761928</v>
      </c>
    </row>
    <row r="108" spans="1:26" s="24" customFormat="1" hidden="1" outlineLevel="1" x14ac:dyDescent="0.25">
      <c r="A108" s="44"/>
      <c r="B108" s="11" t="str">
        <f>CONCATENATE("          ", "5001", " - ", "PURCHASES @ COST-NEW TEXT")</f>
        <v xml:space="preserve">          5001 - PURCHASES @ COST-NEW TEXT</v>
      </c>
      <c r="C108" s="11"/>
      <c r="D108" s="2">
        <v>890224.90999999992</v>
      </c>
      <c r="E108" s="2"/>
      <c r="F108" s="19">
        <f t="shared" si="10"/>
        <v>0.40959440830109334</v>
      </c>
      <c r="G108" s="2"/>
      <c r="H108" s="2">
        <v>795267.40999999992</v>
      </c>
      <c r="I108" s="2"/>
      <c r="J108" s="19">
        <f t="shared" si="11"/>
        <v>0.30491920473613177</v>
      </c>
      <c r="K108" s="2"/>
      <c r="L108" s="2">
        <f t="shared" si="12"/>
        <v>94957.5</v>
      </c>
      <c r="M108" s="2"/>
      <c r="N108" s="19">
        <f t="shared" si="13"/>
        <v>0.11940323318416884</v>
      </c>
      <c r="O108" s="11"/>
      <c r="P108" s="2">
        <v>2627294.66</v>
      </c>
      <c r="Q108" s="2"/>
      <c r="R108" s="19">
        <f t="shared" si="14"/>
        <v>0.34171236081094591</v>
      </c>
      <c r="S108" s="2"/>
      <c r="T108" s="2">
        <v>2950999.91</v>
      </c>
      <c r="U108" s="2"/>
      <c r="V108" s="19">
        <f t="shared" si="15"/>
        <v>0.34633378630061884</v>
      </c>
      <c r="W108" s="2"/>
      <c r="X108" s="2">
        <f t="shared" si="16"/>
        <v>-323705.25</v>
      </c>
      <c r="Y108" s="2"/>
      <c r="Z108" s="19">
        <f t="shared" si="17"/>
        <v>-0.10969341235933823</v>
      </c>
    </row>
    <row r="109" spans="1:26" s="24" customFormat="1" hidden="1" outlineLevel="1" x14ac:dyDescent="0.25">
      <c r="A109" s="44"/>
      <c r="B109" s="11" t="str">
        <f>CONCATENATE("          ", "5002", " - ", "PURCHASES @ COST-USED TEXT")</f>
        <v xml:space="preserve">          5002 - PURCHASES @ COST-USED TEXT</v>
      </c>
      <c r="C109" s="11"/>
      <c r="D109" s="2">
        <v>260084.68000000002</v>
      </c>
      <c r="E109" s="2"/>
      <c r="F109" s="19">
        <f t="shared" si="10"/>
        <v>0.11966552431427607</v>
      </c>
      <c r="G109" s="2"/>
      <c r="H109" s="2">
        <v>169941.1</v>
      </c>
      <c r="I109" s="2"/>
      <c r="J109" s="19">
        <f t="shared" si="11"/>
        <v>6.5158340971099835E-2</v>
      </c>
      <c r="K109" s="2"/>
      <c r="L109" s="2">
        <f t="shared" si="12"/>
        <v>90143.580000000016</v>
      </c>
      <c r="M109" s="2"/>
      <c r="N109" s="19">
        <f t="shared" si="13"/>
        <v>0.53044013484672048</v>
      </c>
      <c r="O109" s="11"/>
      <c r="P109" s="2">
        <v>512607.53</v>
      </c>
      <c r="Q109" s="2"/>
      <c r="R109" s="19">
        <f t="shared" si="14"/>
        <v>6.6670987427716918E-2</v>
      </c>
      <c r="S109" s="2"/>
      <c r="T109" s="2">
        <v>422304.25</v>
      </c>
      <c r="U109" s="2"/>
      <c r="V109" s="19">
        <f t="shared" si="15"/>
        <v>4.9562261719399071E-2</v>
      </c>
      <c r="W109" s="2"/>
      <c r="X109" s="2">
        <f t="shared" si="16"/>
        <v>90303.280000000028</v>
      </c>
      <c r="Y109" s="2"/>
      <c r="Z109" s="19">
        <f t="shared" si="17"/>
        <v>0.21383464646638065</v>
      </c>
    </row>
    <row r="110" spans="1:26" s="24" customFormat="1" hidden="1" outlineLevel="1" x14ac:dyDescent="0.25">
      <c r="A110" s="44"/>
      <c r="B110" s="11" t="str">
        <f>CONCATENATE("          ", "5003", " - ", "PURCHASES @ COST-RENTAL TEXT")</f>
        <v xml:space="preserve">          5003 - PURCHASES @ COST-RENTAL TEXT</v>
      </c>
      <c r="C110" s="11"/>
      <c r="D110" s="2"/>
      <c r="E110" s="2"/>
      <c r="F110" s="19">
        <f t="shared" si="10"/>
        <v>0</v>
      </c>
      <c r="G110" s="2"/>
      <c r="H110" s="2">
        <v>45275.65</v>
      </c>
      <c r="I110" s="2"/>
      <c r="J110" s="19">
        <f t="shared" si="11"/>
        <v>1.7359463016234308E-2</v>
      </c>
      <c r="K110" s="2"/>
      <c r="L110" s="2">
        <f t="shared" si="12"/>
        <v>-45275.65</v>
      </c>
      <c r="M110" s="2"/>
      <c r="N110" s="19">
        <f t="shared" si="13"/>
        <v>-1</v>
      </c>
      <c r="O110" s="11"/>
      <c r="P110" s="2">
        <v>-78.400000000000006</v>
      </c>
      <c r="Q110" s="2"/>
      <c r="R110" s="19">
        <f t="shared" si="14"/>
        <v>-1.0196895496897999E-5</v>
      </c>
      <c r="S110" s="2"/>
      <c r="T110" s="2">
        <v>53419.4</v>
      </c>
      <c r="U110" s="2"/>
      <c r="V110" s="19">
        <f t="shared" si="15"/>
        <v>6.2693811006952135E-3</v>
      </c>
      <c r="W110" s="2"/>
      <c r="X110" s="2">
        <f t="shared" si="16"/>
        <v>-53497.8</v>
      </c>
      <c r="Y110" s="2"/>
      <c r="Z110" s="19">
        <f t="shared" si="17"/>
        <v>-1.0014676316094901</v>
      </c>
    </row>
    <row r="111" spans="1:26" s="24" customFormat="1" hidden="1" outlineLevel="1" x14ac:dyDescent="0.25">
      <c r="A111" s="44"/>
      <c r="B111" s="11" t="str">
        <f>CONCATENATE("          ", "5004", " - ", "PURCHASES @ COST-DIGITAL TEXT")</f>
        <v xml:space="preserve">          5004 - PURCHASES @ COST-DIGITAL TEXT</v>
      </c>
      <c r="C111" s="11"/>
      <c r="D111" s="2">
        <v>119541.49999999999</v>
      </c>
      <c r="E111" s="2"/>
      <c r="F111" s="19">
        <f t="shared" si="10"/>
        <v>5.5001302940315557E-2</v>
      </c>
      <c r="G111" s="2"/>
      <c r="H111" s="2">
        <v>121328.07999999999</v>
      </c>
      <c r="I111" s="2"/>
      <c r="J111" s="19">
        <f t="shared" si="11"/>
        <v>4.6519272889306219E-2</v>
      </c>
      <c r="K111" s="2"/>
      <c r="L111" s="2">
        <f t="shared" si="12"/>
        <v>-1786.5800000000017</v>
      </c>
      <c r="M111" s="2"/>
      <c r="N111" s="19">
        <f t="shared" si="13"/>
        <v>-1.4725197992088905E-2</v>
      </c>
      <c r="O111" s="11"/>
      <c r="P111" s="2">
        <v>473893.77</v>
      </c>
      <c r="Q111" s="2"/>
      <c r="R111" s="19">
        <f t="shared" si="14"/>
        <v>6.1635781241339498E-2</v>
      </c>
      <c r="S111" s="2"/>
      <c r="T111" s="2">
        <v>453923.02</v>
      </c>
      <c r="U111" s="2"/>
      <c r="V111" s="19">
        <f t="shared" si="15"/>
        <v>5.3273088105791074E-2</v>
      </c>
      <c r="W111" s="2"/>
      <c r="X111" s="2">
        <f t="shared" si="16"/>
        <v>19970.75</v>
      </c>
      <c r="Y111" s="2"/>
      <c r="Z111" s="19">
        <f t="shared" si="17"/>
        <v>4.3995896044223534E-2</v>
      </c>
    </row>
    <row r="112" spans="1:26" s="24" customFormat="1" hidden="1" outlineLevel="1" x14ac:dyDescent="0.25">
      <c r="A112" s="44"/>
      <c r="B112" s="11" t="str">
        <f>CONCATENATE("          ", "5011", " - ", "PURCHASES @ COST-NO VALUE TEXT")</f>
        <v xml:space="preserve">          5011 - PURCHASES @ COST-NO VALUE TEXT</v>
      </c>
      <c r="C112" s="11"/>
      <c r="D112" s="2">
        <v>573</v>
      </c>
      <c r="E112" s="2"/>
      <c r="F112" s="19">
        <f t="shared" si="10"/>
        <v>2.6363854046336055E-4</v>
      </c>
      <c r="G112" s="2"/>
      <c r="H112" s="2">
        <v>357</v>
      </c>
      <c r="I112" s="2"/>
      <c r="J112" s="19">
        <f t="shared" si="11"/>
        <v>1.3687994091295537E-4</v>
      </c>
      <c r="K112" s="2"/>
      <c r="L112" s="2">
        <f t="shared" si="12"/>
        <v>216</v>
      </c>
      <c r="M112" s="2"/>
      <c r="N112" s="19">
        <f t="shared" si="13"/>
        <v>0.60504201680672265</v>
      </c>
      <c r="O112" s="11"/>
      <c r="P112" s="2">
        <v>5475</v>
      </c>
      <c r="Q112" s="2"/>
      <c r="R112" s="19">
        <f t="shared" si="14"/>
        <v>7.1209187302954783E-4</v>
      </c>
      <c r="S112" s="2"/>
      <c r="T112" s="2">
        <v>2931</v>
      </c>
      <c r="U112" s="2"/>
      <c r="V112" s="19">
        <f t="shared" si="15"/>
        <v>3.4398656679291925E-4</v>
      </c>
      <c r="W112" s="2"/>
      <c r="X112" s="2">
        <f t="shared" si="16"/>
        <v>2544</v>
      </c>
      <c r="Y112" s="2"/>
      <c r="Z112" s="19">
        <f t="shared" si="17"/>
        <v>0.86796315250767653</v>
      </c>
    </row>
    <row r="113" spans="1:26" s="24" customFormat="1" hidden="1" outlineLevel="1" x14ac:dyDescent="0.25">
      <c r="A113" s="44"/>
      <c r="B113" s="11" t="str">
        <f>CONCATENATE("          ", "5013", " - ", "PURCHASES @ COST-TRADE BOOKS")</f>
        <v xml:space="preserve">          5013 - PURCHASES @ COST-TRADE BOOKS</v>
      </c>
      <c r="C113" s="11"/>
      <c r="D113" s="2">
        <v>-276.85000000000002</v>
      </c>
      <c r="E113" s="2"/>
      <c r="F113" s="19">
        <f t="shared" si="10"/>
        <v>-1.2737928434080519E-4</v>
      </c>
      <c r="G113" s="2"/>
      <c r="H113" s="2">
        <v>-29.05</v>
      </c>
      <c r="I113" s="2"/>
      <c r="J113" s="19">
        <f t="shared" si="11"/>
        <v>-1.1138269701740486E-5</v>
      </c>
      <c r="K113" s="2"/>
      <c r="L113" s="2">
        <f t="shared" si="12"/>
        <v>-247.8</v>
      </c>
      <c r="M113" s="2"/>
      <c r="N113" s="19">
        <f t="shared" si="13"/>
        <v>8.5301204819277103</v>
      </c>
      <c r="O113" s="11"/>
      <c r="P113" s="2">
        <v>458.46</v>
      </c>
      <c r="Q113" s="2"/>
      <c r="R113" s="19">
        <f t="shared" si="14"/>
        <v>5.9628427417192045E-5</v>
      </c>
      <c r="S113" s="2"/>
      <c r="T113" s="2">
        <v>1377.89</v>
      </c>
      <c r="U113" s="2"/>
      <c r="V113" s="19">
        <f t="shared" si="15"/>
        <v>1.6171124207379583E-4</v>
      </c>
      <c r="W113" s="2"/>
      <c r="X113" s="2">
        <f t="shared" si="16"/>
        <v>-919.43000000000006</v>
      </c>
      <c r="Y113" s="2"/>
      <c r="Z113" s="19">
        <f t="shared" si="17"/>
        <v>-0.66727387527306248</v>
      </c>
    </row>
    <row r="114" spans="1:26" s="24" customFormat="1" hidden="1" outlineLevel="1" x14ac:dyDescent="0.25">
      <c r="A114" s="44"/>
      <c r="B114" s="11" t="str">
        <f>CONCATENATE("          ", "5014", " - ", "PURCHASES @ COST-REMAINDERS")</f>
        <v xml:space="preserve">          5014 - PURCHASES @ COST-REMAINDERS</v>
      </c>
      <c r="C114" s="11"/>
      <c r="D114" s="2">
        <v>69.599999999999994</v>
      </c>
      <c r="E114" s="2"/>
      <c r="F114" s="19">
        <f t="shared" si="10"/>
        <v>3.2023110674083587E-5</v>
      </c>
      <c r="G114" s="2"/>
      <c r="H114" s="2">
        <v>166.6</v>
      </c>
      <c r="I114" s="2"/>
      <c r="J114" s="19">
        <f t="shared" si="11"/>
        <v>6.3877305759379172E-5</v>
      </c>
      <c r="K114" s="2"/>
      <c r="L114" s="2">
        <f t="shared" si="12"/>
        <v>-97</v>
      </c>
      <c r="M114" s="2"/>
      <c r="N114" s="19">
        <f t="shared" si="13"/>
        <v>-0.5822328931572629</v>
      </c>
      <c r="O114" s="11"/>
      <c r="P114" s="2">
        <v>583.39</v>
      </c>
      <c r="Q114" s="2"/>
      <c r="R114" s="19">
        <f t="shared" si="14"/>
        <v>7.587712836652198E-5</v>
      </c>
      <c r="S114" s="2"/>
      <c r="T114" s="2">
        <v>954.56</v>
      </c>
      <c r="U114" s="2"/>
      <c r="V114" s="19">
        <f t="shared" si="15"/>
        <v>1.1202859679216956E-4</v>
      </c>
      <c r="W114" s="2"/>
      <c r="X114" s="2">
        <f t="shared" si="16"/>
        <v>-371.16999999999996</v>
      </c>
      <c r="Y114" s="2"/>
      <c r="Z114" s="19">
        <f t="shared" si="17"/>
        <v>-0.38883883674153535</v>
      </c>
    </row>
    <row r="115" spans="1:26" s="24" customFormat="1" hidden="1" outlineLevel="1" x14ac:dyDescent="0.25">
      <c r="A115" s="44"/>
      <c r="B115" s="11" t="str">
        <f>CONCATENATE("          ", "5017", " - ", "PURCHASES @ COST-DORM/HOUSEWAR")</f>
        <v xml:space="preserve">          5017 - PURCHASES @ COST-DORM/HOUSEWAR</v>
      </c>
      <c r="C115" s="11"/>
      <c r="D115" s="2"/>
      <c r="E115" s="2"/>
      <c r="F115" s="19">
        <f t="shared" si="10"/>
        <v>0</v>
      </c>
      <c r="G115" s="2"/>
      <c r="H115" s="2"/>
      <c r="I115" s="2"/>
      <c r="J115" s="19">
        <f t="shared" si="11"/>
        <v>0</v>
      </c>
      <c r="K115" s="2"/>
      <c r="L115" s="2">
        <f t="shared" si="12"/>
        <v>0</v>
      </c>
      <c r="M115" s="2"/>
      <c r="N115" s="19">
        <f t="shared" si="13"/>
        <v>0</v>
      </c>
      <c r="O115" s="11"/>
      <c r="P115" s="2">
        <v>0</v>
      </c>
      <c r="Q115" s="2"/>
      <c r="R115" s="19">
        <f t="shared" si="14"/>
        <v>0</v>
      </c>
      <c r="S115" s="2"/>
      <c r="T115" s="2">
        <v>239.9</v>
      </c>
      <c r="U115" s="2"/>
      <c r="V115" s="19">
        <f t="shared" si="15"/>
        <v>2.8155024692467191E-5</v>
      </c>
      <c r="W115" s="2"/>
      <c r="X115" s="2">
        <f t="shared" si="16"/>
        <v>-239.9</v>
      </c>
      <c r="Y115" s="2"/>
      <c r="Z115" s="19">
        <f t="shared" si="17"/>
        <v>-1</v>
      </c>
    </row>
    <row r="116" spans="1:26" s="24" customFormat="1" hidden="1" outlineLevel="1" x14ac:dyDescent="0.25">
      <c r="A116" s="44"/>
      <c r="B116" s="11" t="str">
        <f>CONCATENATE("          ", "5018", " - ", "PURCHASES @ COST-STUDY GUIDES")</f>
        <v xml:space="preserve">          5018 - PURCHASES @ COST-STUDY GUIDES</v>
      </c>
      <c r="C116" s="11"/>
      <c r="D116" s="2">
        <v>1032.75</v>
      </c>
      <c r="E116" s="2"/>
      <c r="F116" s="19">
        <f t="shared" si="10"/>
        <v>4.7517051075660668E-4</v>
      </c>
      <c r="G116" s="2"/>
      <c r="H116" s="2">
        <v>-1051.22</v>
      </c>
      <c r="I116" s="2"/>
      <c r="J116" s="19">
        <f t="shared" si="11"/>
        <v>-4.0305583049444522E-4</v>
      </c>
      <c r="K116" s="2"/>
      <c r="L116" s="2">
        <f t="shared" si="12"/>
        <v>2083.9700000000003</v>
      </c>
      <c r="M116" s="2"/>
      <c r="N116" s="19">
        <f t="shared" si="13"/>
        <v>-1.9824299385475925</v>
      </c>
      <c r="O116" s="11"/>
      <c r="P116" s="2">
        <v>2031.15</v>
      </c>
      <c r="Q116" s="2"/>
      <c r="R116" s="19">
        <f t="shared" si="14"/>
        <v>2.6417633021077005E-4</v>
      </c>
      <c r="S116" s="2"/>
      <c r="T116" s="2">
        <v>1034.55</v>
      </c>
      <c r="U116" s="2"/>
      <c r="V116" s="19">
        <f t="shared" si="15"/>
        <v>1.214163434580739E-4</v>
      </c>
      <c r="W116" s="2"/>
      <c r="X116" s="2">
        <f t="shared" si="16"/>
        <v>996.60000000000014</v>
      </c>
      <c r="Y116" s="2"/>
      <c r="Z116" s="19">
        <f t="shared" si="17"/>
        <v>0.96331738437001613</v>
      </c>
    </row>
    <row r="117" spans="1:26" s="24" customFormat="1" hidden="1" outlineLevel="1" x14ac:dyDescent="0.25">
      <c r="A117" s="44"/>
      <c r="B117" s="11" t="str">
        <f>CONCATENATE("          ", "5025", " - ", "PURCHASES @ COST-TEST FORMS")</f>
        <v xml:space="preserve">          5025 - PURCHASES @ COST-TEST FORMS</v>
      </c>
      <c r="C117" s="11"/>
      <c r="D117" s="2">
        <v>880</v>
      </c>
      <c r="E117" s="2"/>
      <c r="F117" s="19">
        <f t="shared" si="10"/>
        <v>4.0488990507462009E-4</v>
      </c>
      <c r="G117" s="2"/>
      <c r="H117" s="2">
        <v>1316.92</v>
      </c>
      <c r="I117" s="2"/>
      <c r="J117" s="19">
        <f t="shared" si="11"/>
        <v>5.0492978091621623E-4</v>
      </c>
      <c r="K117" s="2"/>
      <c r="L117" s="2">
        <f t="shared" si="12"/>
        <v>-436.92000000000007</v>
      </c>
      <c r="M117" s="2"/>
      <c r="N117" s="19">
        <f t="shared" si="13"/>
        <v>-0.33177413965920483</v>
      </c>
      <c r="O117" s="11"/>
      <c r="P117" s="2">
        <v>22978.390000000003</v>
      </c>
      <c r="Q117" s="2"/>
      <c r="R117" s="19">
        <f t="shared" si="14"/>
        <v>2.9886255295531383E-3</v>
      </c>
      <c r="S117" s="2"/>
      <c r="T117" s="2">
        <v>16316.070000000002</v>
      </c>
      <c r="U117" s="2"/>
      <c r="V117" s="19">
        <f t="shared" si="15"/>
        <v>1.9148785066028478E-3</v>
      </c>
      <c r="W117" s="2"/>
      <c r="X117" s="2">
        <f t="shared" si="16"/>
        <v>6662.3200000000015</v>
      </c>
      <c r="Y117" s="2"/>
      <c r="Z117" s="19">
        <f t="shared" si="17"/>
        <v>0.40832872131585612</v>
      </c>
    </row>
    <row r="118" spans="1:26" s="24" customFormat="1" hidden="1" outlineLevel="1" x14ac:dyDescent="0.25">
      <c r="A118" s="44"/>
      <c r="B118" s="11" t="str">
        <f>CONCATENATE("          ", "5026", " - ", "PURCHASES @ COST-WRITING INSTR")</f>
        <v xml:space="preserve">          5026 - PURCHASES @ COST-WRITING INSTR</v>
      </c>
      <c r="C118" s="11"/>
      <c r="D118" s="2">
        <v>9201.3799999999992</v>
      </c>
      <c r="E118" s="2"/>
      <c r="F118" s="19">
        <f t="shared" si="10"/>
        <v>4.233574857676713E-3</v>
      </c>
      <c r="G118" s="2"/>
      <c r="H118" s="2">
        <v>9855.14</v>
      </c>
      <c r="I118" s="2"/>
      <c r="J118" s="19">
        <f t="shared" si="11"/>
        <v>3.7786301985683556E-3</v>
      </c>
      <c r="K118" s="2"/>
      <c r="L118" s="2">
        <f t="shared" si="12"/>
        <v>-653.76000000000022</v>
      </c>
      <c r="M118" s="2"/>
      <c r="N118" s="19">
        <f t="shared" si="13"/>
        <v>-6.6336957161440654E-2</v>
      </c>
      <c r="O118" s="11"/>
      <c r="P118" s="2">
        <v>43496.15</v>
      </c>
      <c r="Q118" s="2"/>
      <c r="R118" s="19">
        <f t="shared" si="14"/>
        <v>5.6572155110637748E-3</v>
      </c>
      <c r="S118" s="2"/>
      <c r="T118" s="2">
        <v>41629.360000000001</v>
      </c>
      <c r="U118" s="2"/>
      <c r="V118" s="19">
        <f t="shared" si="15"/>
        <v>4.8856842798316209E-3</v>
      </c>
      <c r="W118" s="2"/>
      <c r="X118" s="2">
        <f t="shared" si="16"/>
        <v>1866.7900000000009</v>
      </c>
      <c r="Y118" s="2"/>
      <c r="Z118" s="19">
        <f t="shared" si="17"/>
        <v>4.4843110727621101E-2</v>
      </c>
    </row>
    <row r="119" spans="1:26" s="24" customFormat="1" hidden="1" outlineLevel="1" x14ac:dyDescent="0.25">
      <c r="A119" s="44"/>
      <c r="B119" s="11" t="str">
        <f>CONCATENATE("          ", "5027", " - ", "PURCHASES @ COST-SCHOOL SUPPLI")</f>
        <v xml:space="preserve">          5027 - PURCHASES @ COST-SCHOOL SUPPLI</v>
      </c>
      <c r="C119" s="11"/>
      <c r="D119" s="2">
        <v>42814.02</v>
      </c>
      <c r="E119" s="2"/>
      <c r="F119" s="19">
        <f t="shared" si="10"/>
        <v>1.9698823288253276E-2</v>
      </c>
      <c r="G119" s="2"/>
      <c r="H119" s="2">
        <v>15619.089999999998</v>
      </c>
      <c r="I119" s="2"/>
      <c r="J119" s="19">
        <f t="shared" si="11"/>
        <v>5.9886277767902856E-3</v>
      </c>
      <c r="K119" s="2"/>
      <c r="L119" s="2">
        <f t="shared" si="12"/>
        <v>27194.93</v>
      </c>
      <c r="M119" s="2"/>
      <c r="N119" s="19">
        <f t="shared" si="13"/>
        <v>1.7411340865568994</v>
      </c>
      <c r="O119" s="11"/>
      <c r="P119" s="2">
        <v>120814.02</v>
      </c>
      <c r="Q119" s="2"/>
      <c r="R119" s="19">
        <f t="shared" si="14"/>
        <v>1.5713366536991645E-2</v>
      </c>
      <c r="S119" s="2"/>
      <c r="T119" s="2">
        <v>113525.58</v>
      </c>
      <c r="U119" s="2"/>
      <c r="V119" s="19">
        <f t="shared" si="15"/>
        <v>1.3323532755842681E-2</v>
      </c>
      <c r="W119" s="2"/>
      <c r="X119" s="2">
        <f t="shared" si="16"/>
        <v>7288.4400000000023</v>
      </c>
      <c r="Y119" s="2"/>
      <c r="Z119" s="19">
        <f t="shared" si="17"/>
        <v>6.4200861162744136E-2</v>
      </c>
    </row>
    <row r="120" spans="1:26" s="24" customFormat="1" hidden="1" outlineLevel="1" x14ac:dyDescent="0.25">
      <c r="A120" s="44"/>
      <c r="B120" s="11" t="str">
        <f>CONCATENATE("          ", "5028", " - ", "PURCHASES @ COST-ART/TECH")</f>
        <v xml:space="preserve">          5028 - PURCHASES @ COST-ART/TECH</v>
      </c>
      <c r="C120" s="11"/>
      <c r="D120" s="2">
        <v>32126.68</v>
      </c>
      <c r="E120" s="2"/>
      <c r="F120" s="19">
        <f t="shared" si="10"/>
        <v>1.4781555017684881E-2</v>
      </c>
      <c r="G120" s="2"/>
      <c r="H120" s="2">
        <v>38426.899999999994</v>
      </c>
      <c r="I120" s="2"/>
      <c r="J120" s="19">
        <f t="shared" si="11"/>
        <v>1.4733534457893681E-2</v>
      </c>
      <c r="K120" s="2"/>
      <c r="L120" s="2">
        <f t="shared" si="12"/>
        <v>-6300.2199999999939</v>
      </c>
      <c r="M120" s="2"/>
      <c r="N120" s="19">
        <f t="shared" si="13"/>
        <v>-0.16395337641079544</v>
      </c>
      <c r="O120" s="11"/>
      <c r="P120" s="2">
        <v>135127.5</v>
      </c>
      <c r="Q120" s="2"/>
      <c r="R120" s="19">
        <f t="shared" si="14"/>
        <v>1.7575012707360772E-2</v>
      </c>
      <c r="S120" s="2"/>
      <c r="T120" s="2">
        <v>136220.42000000001</v>
      </c>
      <c r="U120" s="2"/>
      <c r="V120" s="19">
        <f t="shared" si="15"/>
        <v>1.5987033300201133E-2</v>
      </c>
      <c r="W120" s="2"/>
      <c r="X120" s="2">
        <f t="shared" si="16"/>
        <v>-1092.9200000000128</v>
      </c>
      <c r="Y120" s="2"/>
      <c r="Z120" s="19">
        <f t="shared" si="17"/>
        <v>-8.0231730308863575E-3</v>
      </c>
    </row>
    <row r="121" spans="1:26" s="24" customFormat="1" hidden="1" outlineLevel="1" x14ac:dyDescent="0.25">
      <c r="A121" s="44"/>
      <c r="B121" s="11" t="str">
        <f>CONCATENATE("          ", "5031", " - ", "PURCHASES @ COST-FOOD")</f>
        <v xml:space="preserve">          5031 - PURCHASES @ COST-FOOD</v>
      </c>
      <c r="C121" s="11"/>
      <c r="D121" s="2">
        <v>2390.66</v>
      </c>
      <c r="E121" s="2"/>
      <c r="F121" s="19">
        <f t="shared" si="10"/>
        <v>1.0999478414382854E-3</v>
      </c>
      <c r="G121" s="2"/>
      <c r="H121" s="2">
        <v>3763.6</v>
      </c>
      <c r="I121" s="2"/>
      <c r="J121" s="19">
        <f t="shared" si="11"/>
        <v>1.4430289793277279E-3</v>
      </c>
      <c r="K121" s="2"/>
      <c r="L121" s="2">
        <f t="shared" si="12"/>
        <v>-1372.94</v>
      </c>
      <c r="M121" s="2"/>
      <c r="N121" s="19">
        <f t="shared" si="13"/>
        <v>-0.36479434583909026</v>
      </c>
      <c r="O121" s="11"/>
      <c r="P121" s="2">
        <v>24900.390000000003</v>
      </c>
      <c r="Q121" s="2"/>
      <c r="R121" s="19">
        <f t="shared" si="14"/>
        <v>3.2386055441582145E-3</v>
      </c>
      <c r="S121" s="2"/>
      <c r="T121" s="2">
        <v>22897.390000000003</v>
      </c>
      <c r="U121" s="2"/>
      <c r="V121" s="19">
        <f t="shared" si="15"/>
        <v>2.6872721168947535E-3</v>
      </c>
      <c r="W121" s="2"/>
      <c r="X121" s="2">
        <f t="shared" si="16"/>
        <v>2003</v>
      </c>
      <c r="Y121" s="2"/>
      <c r="Z121" s="19">
        <f t="shared" si="17"/>
        <v>8.7477219019285596E-2</v>
      </c>
    </row>
    <row r="122" spans="1:26" s="24" customFormat="1" hidden="1" outlineLevel="1" x14ac:dyDescent="0.25">
      <c r="A122" s="44"/>
      <c r="B122" s="11" t="str">
        <f>CONCATENATE("          ", "5032", " - ", "PURCHASES @ COST-JUICE")</f>
        <v xml:space="preserve">          5032 - PURCHASES @ COST-JUICE</v>
      </c>
      <c r="C122" s="11"/>
      <c r="D122" s="2">
        <v>371.03</v>
      </c>
      <c r="E122" s="2"/>
      <c r="F122" s="19">
        <f t="shared" si="10"/>
        <v>1.7071170622708667E-4</v>
      </c>
      <c r="G122" s="2"/>
      <c r="H122" s="2">
        <v>423.28</v>
      </c>
      <c r="I122" s="2"/>
      <c r="J122" s="19">
        <f t="shared" si="11"/>
        <v>1.6229283302418977E-4</v>
      </c>
      <c r="K122" s="2"/>
      <c r="L122" s="2">
        <f t="shared" si="12"/>
        <v>-52.25</v>
      </c>
      <c r="M122" s="2"/>
      <c r="N122" s="19">
        <f t="shared" si="13"/>
        <v>-0.12344074844074845</v>
      </c>
      <c r="O122" s="11"/>
      <c r="P122" s="2">
        <v>5392.51</v>
      </c>
      <c r="Q122" s="2"/>
      <c r="R122" s="19">
        <f t="shared" si="14"/>
        <v>7.0136302214256934E-4</v>
      </c>
      <c r="S122" s="2"/>
      <c r="T122" s="2">
        <v>5993.53</v>
      </c>
      <c r="U122" s="2"/>
      <c r="V122" s="19">
        <f t="shared" si="15"/>
        <v>7.0340969214273809E-4</v>
      </c>
      <c r="W122" s="2"/>
      <c r="X122" s="2">
        <f t="shared" si="16"/>
        <v>-601.01999999999953</v>
      </c>
      <c r="Y122" s="2"/>
      <c r="Z122" s="19">
        <f t="shared" si="17"/>
        <v>-0.10027813325369182</v>
      </c>
    </row>
    <row r="123" spans="1:26" s="24" customFormat="1" hidden="1" outlineLevel="1" x14ac:dyDescent="0.25">
      <c r="A123" s="44"/>
      <c r="B123" s="11" t="str">
        <f>CONCATENATE("          ", "5033", " - ", "PURCHASES @ COST-CANDY")</f>
        <v xml:space="preserve">          5033 - PURCHASES @ COST-CANDY</v>
      </c>
      <c r="C123" s="11"/>
      <c r="D123" s="2">
        <v>805.69</v>
      </c>
      <c r="E123" s="2"/>
      <c r="F123" s="19">
        <f t="shared" si="10"/>
        <v>3.7069971320405755E-4</v>
      </c>
      <c r="G123" s="2"/>
      <c r="H123" s="2">
        <v>1164.18</v>
      </c>
      <c r="I123" s="2"/>
      <c r="J123" s="19">
        <f t="shared" si="11"/>
        <v>4.4636663756875182E-4</v>
      </c>
      <c r="K123" s="2"/>
      <c r="L123" s="2">
        <f t="shared" si="12"/>
        <v>-358.49</v>
      </c>
      <c r="M123" s="2"/>
      <c r="N123" s="19">
        <f t="shared" si="13"/>
        <v>-0.3079334810768094</v>
      </c>
      <c r="O123" s="11"/>
      <c r="P123" s="2">
        <v>7003.62</v>
      </c>
      <c r="Q123" s="2"/>
      <c r="R123" s="19">
        <f t="shared" si="14"/>
        <v>9.1090792397939752E-4</v>
      </c>
      <c r="S123" s="2"/>
      <c r="T123" s="2">
        <v>5746.05</v>
      </c>
      <c r="U123" s="2"/>
      <c r="V123" s="19">
        <f t="shared" si="15"/>
        <v>6.7436506725365188E-4</v>
      </c>
      <c r="W123" s="2"/>
      <c r="X123" s="2">
        <f t="shared" si="16"/>
        <v>1257.5699999999997</v>
      </c>
      <c r="Y123" s="2"/>
      <c r="Z123" s="19">
        <f t="shared" si="17"/>
        <v>0.21885817213564096</v>
      </c>
    </row>
    <row r="124" spans="1:26" s="24" customFormat="1" hidden="1" outlineLevel="1" x14ac:dyDescent="0.25">
      <c r="A124" s="44"/>
      <c r="B124" s="11" t="str">
        <f>CONCATENATE("          ", "5034", " - ", "PURCHASES @ COST-SODA")</f>
        <v xml:space="preserve">          5034 - PURCHASES @ COST-SODA</v>
      </c>
      <c r="C124" s="11"/>
      <c r="D124" s="2"/>
      <c r="E124" s="2"/>
      <c r="F124" s="19">
        <f t="shared" si="10"/>
        <v>0</v>
      </c>
      <c r="G124" s="2"/>
      <c r="H124" s="2">
        <v>243.38</v>
      </c>
      <c r="I124" s="2"/>
      <c r="J124" s="19">
        <f t="shared" si="11"/>
        <v>9.3316078485700495E-5</v>
      </c>
      <c r="K124" s="2"/>
      <c r="L124" s="2">
        <f t="shared" si="12"/>
        <v>-243.38</v>
      </c>
      <c r="M124" s="2"/>
      <c r="N124" s="19">
        <f t="shared" si="13"/>
        <v>-1</v>
      </c>
      <c r="O124" s="11"/>
      <c r="P124" s="2">
        <v>2124.16</v>
      </c>
      <c r="Q124" s="2"/>
      <c r="R124" s="19">
        <f t="shared" si="14"/>
        <v>2.7627343799350578E-4</v>
      </c>
      <c r="S124" s="2"/>
      <c r="T124" s="2">
        <v>2305.7199999999998</v>
      </c>
      <c r="U124" s="2"/>
      <c r="V124" s="19">
        <f t="shared" si="15"/>
        <v>2.7060276587709644E-4</v>
      </c>
      <c r="W124" s="2"/>
      <c r="X124" s="2">
        <f t="shared" si="16"/>
        <v>-181.55999999999995</v>
      </c>
      <c r="Y124" s="2"/>
      <c r="Z124" s="19">
        <f t="shared" si="17"/>
        <v>-7.8743299273112063E-2</v>
      </c>
    </row>
    <row r="125" spans="1:26" s="24" customFormat="1" hidden="1" outlineLevel="1" x14ac:dyDescent="0.25">
      <c r="A125" s="44"/>
      <c r="B125" s="11" t="str">
        <f>CONCATENATE("          ", "5035", " - ", "PURCHASES @ COST-HEALTH &amp; BEAU")</f>
        <v xml:space="preserve">          5035 - PURCHASES @ COST-HEALTH &amp; BEAU</v>
      </c>
      <c r="C125" s="11"/>
      <c r="D125" s="2">
        <v>32.82</v>
      </c>
      <c r="E125" s="2"/>
      <c r="F125" s="19">
        <f t="shared" si="10"/>
        <v>1.5100553050623899E-5</v>
      </c>
      <c r="G125" s="2"/>
      <c r="H125" s="2">
        <v>74.38</v>
      </c>
      <c r="I125" s="2"/>
      <c r="J125" s="19">
        <f t="shared" si="11"/>
        <v>2.8518571442872886E-5</v>
      </c>
      <c r="K125" s="2"/>
      <c r="L125" s="2">
        <f t="shared" si="12"/>
        <v>-41.559999999999995</v>
      </c>
      <c r="M125" s="2"/>
      <c r="N125" s="19">
        <f t="shared" si="13"/>
        <v>-0.55875235278300617</v>
      </c>
      <c r="O125" s="11"/>
      <c r="P125" s="2">
        <v>857.2</v>
      </c>
      <c r="Q125" s="2"/>
      <c r="R125" s="19">
        <f t="shared" si="14"/>
        <v>1.1148952576455313E-4</v>
      </c>
      <c r="S125" s="2"/>
      <c r="T125" s="2">
        <v>674.73</v>
      </c>
      <c r="U125" s="2"/>
      <c r="V125" s="19">
        <f t="shared" si="15"/>
        <v>7.9187327264478483E-5</v>
      </c>
      <c r="W125" s="2"/>
      <c r="X125" s="2">
        <f t="shared" si="16"/>
        <v>182.47000000000003</v>
      </c>
      <c r="Y125" s="2"/>
      <c r="Z125" s="19">
        <f t="shared" si="17"/>
        <v>0.27043409956575226</v>
      </c>
    </row>
    <row r="126" spans="1:26" s="24" customFormat="1" hidden="1" outlineLevel="1" x14ac:dyDescent="0.25">
      <c r="A126" s="44"/>
      <c r="B126" s="11" t="str">
        <f>CONCATENATE("          ", "5037", " - ", "PURCHASES @ COST-WATER")</f>
        <v xml:space="preserve">          5037 - PURCHASES @ COST-WATER</v>
      </c>
      <c r="C126" s="11"/>
      <c r="D126" s="2"/>
      <c r="E126" s="2"/>
      <c r="F126" s="19">
        <f t="shared" si="10"/>
        <v>0</v>
      </c>
      <c r="G126" s="2"/>
      <c r="H126" s="2">
        <v>216.7</v>
      </c>
      <c r="I126" s="2"/>
      <c r="J126" s="19">
        <f t="shared" si="11"/>
        <v>8.308650755136534E-5</v>
      </c>
      <c r="K126" s="2"/>
      <c r="L126" s="2">
        <f t="shared" si="12"/>
        <v>-216.7</v>
      </c>
      <c r="M126" s="2"/>
      <c r="N126" s="19">
        <f t="shared" si="13"/>
        <v>-1</v>
      </c>
      <c r="O126" s="11"/>
      <c r="P126" s="2">
        <v>3759.27</v>
      </c>
      <c r="Q126" s="2"/>
      <c r="R126" s="19">
        <f t="shared" si="14"/>
        <v>4.8893983845183344E-4</v>
      </c>
      <c r="S126" s="2"/>
      <c r="T126" s="2">
        <v>4112.79</v>
      </c>
      <c r="U126" s="2"/>
      <c r="V126" s="19">
        <f t="shared" si="15"/>
        <v>4.8268321802806221E-4</v>
      </c>
      <c r="W126" s="2"/>
      <c r="X126" s="2">
        <f t="shared" si="16"/>
        <v>-353.52</v>
      </c>
      <c r="Y126" s="2"/>
      <c r="Z126" s="19">
        <f t="shared" si="17"/>
        <v>-8.5956248677904773E-2</v>
      </c>
    </row>
    <row r="127" spans="1:26" s="24" customFormat="1" hidden="1" outlineLevel="1" x14ac:dyDescent="0.25">
      <c r="A127" s="44"/>
      <c r="B127" s="11" t="str">
        <f>CONCATENATE("          ", "5040", " - ", "PURCHASES @ COST-LOGO CLOTHING")</f>
        <v xml:space="preserve">          5040 - PURCHASES @ COST-LOGO CLOTHING</v>
      </c>
      <c r="C127" s="11"/>
      <c r="D127" s="2">
        <v>94500.17</v>
      </c>
      <c r="E127" s="2"/>
      <c r="F127" s="19">
        <f t="shared" si="10"/>
        <v>4.3479732796403929E-2</v>
      </c>
      <c r="G127" s="2"/>
      <c r="H127" s="2">
        <v>107805.70999999999</v>
      </c>
      <c r="I127" s="2"/>
      <c r="J127" s="19">
        <f t="shared" si="11"/>
        <v>4.133456362711261E-2</v>
      </c>
      <c r="K127" s="2"/>
      <c r="L127" s="2">
        <f t="shared" si="12"/>
        <v>-13305.539999999994</v>
      </c>
      <c r="M127" s="2"/>
      <c r="N127" s="19">
        <f t="shared" si="13"/>
        <v>-0.12342147739669813</v>
      </c>
      <c r="O127" s="11"/>
      <c r="P127" s="2">
        <v>810739.01</v>
      </c>
      <c r="Q127" s="2"/>
      <c r="R127" s="19">
        <f t="shared" si="14"/>
        <v>0.10544669592128242</v>
      </c>
      <c r="S127" s="2"/>
      <c r="T127" s="2">
        <v>718263.82</v>
      </c>
      <c r="U127" s="2"/>
      <c r="V127" s="19">
        <f t="shared" si="15"/>
        <v>8.4296521833288063E-2</v>
      </c>
      <c r="W127" s="2"/>
      <c r="X127" s="2">
        <f t="shared" si="16"/>
        <v>92475.190000000061</v>
      </c>
      <c r="Y127" s="2"/>
      <c r="Z127" s="19">
        <f t="shared" si="17"/>
        <v>0.12874822234537731</v>
      </c>
    </row>
    <row r="128" spans="1:26" s="24" customFormat="1" hidden="1" outlineLevel="1" x14ac:dyDescent="0.25">
      <c r="A128" s="44"/>
      <c r="B128" s="11" t="str">
        <f>CONCATENATE("          ", "5041", " - ", "PURCHASES @ COST-LOGO GIFTS")</f>
        <v xml:space="preserve">          5041 - PURCHASES @ COST-LOGO GIFTS</v>
      </c>
      <c r="C128" s="11"/>
      <c r="D128" s="2">
        <v>14612.2</v>
      </c>
      <c r="E128" s="2"/>
      <c r="F128" s="19">
        <f t="shared" si="10"/>
        <v>6.7231048533310947E-3</v>
      </c>
      <c r="G128" s="2"/>
      <c r="H128" s="2">
        <v>9492.9599999999991</v>
      </c>
      <c r="I128" s="2"/>
      <c r="J128" s="19">
        <f t="shared" si="11"/>
        <v>3.6397641565519574E-3</v>
      </c>
      <c r="K128" s="2"/>
      <c r="L128" s="2">
        <f t="shared" si="12"/>
        <v>5119.2400000000016</v>
      </c>
      <c r="M128" s="2"/>
      <c r="N128" s="19">
        <f t="shared" si="13"/>
        <v>0.53926699364581776</v>
      </c>
      <c r="O128" s="11"/>
      <c r="P128" s="2">
        <v>124015.87000000001</v>
      </c>
      <c r="Q128" s="2"/>
      <c r="R128" s="19">
        <f t="shared" si="14"/>
        <v>1.6129806968710303E-2</v>
      </c>
      <c r="S128" s="2"/>
      <c r="T128" s="2">
        <v>114936.31</v>
      </c>
      <c r="U128" s="2"/>
      <c r="V128" s="19">
        <f t="shared" si="15"/>
        <v>1.3489098149691802E-2</v>
      </c>
      <c r="W128" s="2"/>
      <c r="X128" s="2">
        <f t="shared" si="16"/>
        <v>9079.5600000000122</v>
      </c>
      <c r="Y128" s="2"/>
      <c r="Z128" s="19">
        <f t="shared" si="17"/>
        <v>7.8996445944715055E-2</v>
      </c>
    </row>
    <row r="129" spans="1:26" s="24" customFormat="1" hidden="1" outlineLevel="1" x14ac:dyDescent="0.25">
      <c r="A129" s="44"/>
      <c r="B129" s="11" t="str">
        <f>CONCATENATE("          ", "5042", " - ", "PURCHASES @ COST-EVERYDAY GIFT")</f>
        <v xml:space="preserve">          5042 - PURCHASES @ COST-EVERYDAY GIFT</v>
      </c>
      <c r="C129" s="11"/>
      <c r="D129" s="2">
        <v>2972.86</v>
      </c>
      <c r="E129" s="2"/>
      <c r="F129" s="19">
        <f t="shared" si="10"/>
        <v>1.3678193218183354E-3</v>
      </c>
      <c r="G129" s="2"/>
      <c r="H129" s="2">
        <v>18027.329999999998</v>
      </c>
      <c r="I129" s="2"/>
      <c r="J129" s="19">
        <f t="shared" si="11"/>
        <v>6.9119884179785649E-3</v>
      </c>
      <c r="K129" s="2"/>
      <c r="L129" s="2">
        <f t="shared" si="12"/>
        <v>-15054.469999999998</v>
      </c>
      <c r="M129" s="2"/>
      <c r="N129" s="19">
        <f t="shared" si="13"/>
        <v>-0.83509149718788078</v>
      </c>
      <c r="O129" s="11"/>
      <c r="P129" s="2">
        <v>91360.97</v>
      </c>
      <c r="Q129" s="2"/>
      <c r="R129" s="19">
        <f t="shared" si="14"/>
        <v>1.1882630913076954E-2</v>
      </c>
      <c r="S129" s="2"/>
      <c r="T129" s="2">
        <v>98601.319999999992</v>
      </c>
      <c r="U129" s="2"/>
      <c r="V129" s="19">
        <f t="shared" si="15"/>
        <v>1.1571999163442512E-2</v>
      </c>
      <c r="W129" s="2"/>
      <c r="X129" s="2">
        <f t="shared" si="16"/>
        <v>-7240.3499999999913</v>
      </c>
      <c r="Y129" s="2"/>
      <c r="Z129" s="19">
        <f t="shared" si="17"/>
        <v>-7.3430558536133103E-2</v>
      </c>
    </row>
    <row r="130" spans="1:26" s="24" customFormat="1" hidden="1" outlineLevel="1" x14ac:dyDescent="0.25">
      <c r="A130" s="44"/>
      <c r="B130" s="11" t="str">
        <f>CONCATENATE("          ", "5043", " - ", "PURCHASES @ COST-CARDS")</f>
        <v xml:space="preserve">          5043 - PURCHASES @ COST-CARDS</v>
      </c>
      <c r="C130" s="11"/>
      <c r="D130" s="2">
        <v>3909.52</v>
      </c>
      <c r="E130" s="2"/>
      <c r="F130" s="19">
        <f t="shared" si="10"/>
        <v>1.7987786155537824E-3</v>
      </c>
      <c r="G130" s="2"/>
      <c r="H130" s="2">
        <v>150.46</v>
      </c>
      <c r="I130" s="2"/>
      <c r="J130" s="19">
        <f t="shared" si="11"/>
        <v>5.7688952128188419E-5</v>
      </c>
      <c r="K130" s="2"/>
      <c r="L130" s="2">
        <f t="shared" si="12"/>
        <v>3759.06</v>
      </c>
      <c r="M130" s="2"/>
      <c r="N130" s="19">
        <f t="shared" si="13"/>
        <v>24.983783065266515</v>
      </c>
      <c r="O130" s="11"/>
      <c r="P130" s="2">
        <v>10694.41</v>
      </c>
      <c r="Q130" s="2"/>
      <c r="R130" s="19">
        <f t="shared" si="14"/>
        <v>1.3909410863645526E-3</v>
      </c>
      <c r="S130" s="2"/>
      <c r="T130" s="2">
        <v>2694.52</v>
      </c>
      <c r="U130" s="2"/>
      <c r="V130" s="19">
        <f t="shared" si="15"/>
        <v>3.1623291844246222E-4</v>
      </c>
      <c r="W130" s="2"/>
      <c r="X130" s="2">
        <f t="shared" si="16"/>
        <v>7999.8899999999994</v>
      </c>
      <c r="Y130" s="2"/>
      <c r="Z130" s="19">
        <f t="shared" si="17"/>
        <v>2.968948087228894</v>
      </c>
    </row>
    <row r="131" spans="1:26" s="24" customFormat="1" hidden="1" outlineLevel="1" x14ac:dyDescent="0.25">
      <c r="A131" s="44"/>
      <c r="B131" s="11" t="str">
        <f>CONCATENATE("          ", "5044", " - ", "PURCHASES @ COST-ACCESSORIES")</f>
        <v xml:space="preserve">          5044 - PURCHASES @ COST-ACCESSORIES</v>
      </c>
      <c r="C131" s="11"/>
      <c r="D131" s="2">
        <v>3179.63</v>
      </c>
      <c r="E131" s="2"/>
      <c r="F131" s="19">
        <f t="shared" si="10"/>
        <v>1.4629546464459253E-3</v>
      </c>
      <c r="G131" s="2"/>
      <c r="H131" s="2">
        <v>4714.93</v>
      </c>
      <c r="I131" s="2"/>
      <c r="J131" s="19">
        <f t="shared" si="11"/>
        <v>1.8077852655706463E-3</v>
      </c>
      <c r="K131" s="2"/>
      <c r="L131" s="2">
        <f t="shared" si="12"/>
        <v>-1535.3000000000002</v>
      </c>
      <c r="M131" s="2"/>
      <c r="N131" s="19">
        <f t="shared" si="13"/>
        <v>-0.32562519485973285</v>
      </c>
      <c r="O131" s="11"/>
      <c r="P131" s="2">
        <v>20867.21</v>
      </c>
      <c r="Q131" s="2"/>
      <c r="R131" s="19">
        <f t="shared" si="14"/>
        <v>2.714040302064093E-3</v>
      </c>
      <c r="S131" s="2"/>
      <c r="T131" s="2">
        <v>25689.96</v>
      </c>
      <c r="U131" s="2"/>
      <c r="V131" s="19">
        <f t="shared" si="15"/>
        <v>3.0150123307565416E-3</v>
      </c>
      <c r="W131" s="2"/>
      <c r="X131" s="2">
        <f t="shared" si="16"/>
        <v>-4822.75</v>
      </c>
      <c r="Y131" s="2"/>
      <c r="Z131" s="19">
        <f t="shared" si="17"/>
        <v>-0.18772898050444611</v>
      </c>
    </row>
    <row r="132" spans="1:26" s="24" customFormat="1" hidden="1" outlineLevel="1" x14ac:dyDescent="0.25">
      <c r="A132" s="44"/>
      <c r="B132" s="11" t="str">
        <f>CONCATENATE("          ", "5045", " - ", "PURCHASES @ COST-SPECIAL ORDER")</f>
        <v xml:space="preserve">          5045 - PURCHASES @ COST-SPECIAL ORDER</v>
      </c>
      <c r="C132" s="11"/>
      <c r="D132" s="2">
        <v>6835.65</v>
      </c>
      <c r="E132" s="2"/>
      <c r="F132" s="19">
        <f t="shared" si="10"/>
        <v>3.1450973632083257E-3</v>
      </c>
      <c r="G132" s="2"/>
      <c r="H132" s="2">
        <v>3857.1</v>
      </c>
      <c r="I132" s="2"/>
      <c r="J132" s="19">
        <f t="shared" si="11"/>
        <v>1.4788784876620734E-3</v>
      </c>
      <c r="K132" s="2"/>
      <c r="L132" s="2">
        <f t="shared" si="12"/>
        <v>2978.5499999999997</v>
      </c>
      <c r="M132" s="2"/>
      <c r="N132" s="19">
        <f t="shared" si="13"/>
        <v>0.7722252469471883</v>
      </c>
      <c r="O132" s="11"/>
      <c r="P132" s="2">
        <v>48016.23</v>
      </c>
      <c r="Q132" s="2"/>
      <c r="R132" s="19">
        <f t="shared" si="14"/>
        <v>6.2451081564415646E-3</v>
      </c>
      <c r="S132" s="2"/>
      <c r="T132" s="2">
        <v>55529.409999999996</v>
      </c>
      <c r="U132" s="2"/>
      <c r="V132" s="19">
        <f t="shared" si="15"/>
        <v>6.5170150467200264E-3</v>
      </c>
      <c r="W132" s="2"/>
      <c r="X132" s="2">
        <f t="shared" si="16"/>
        <v>-7513.179999999993</v>
      </c>
      <c r="Y132" s="2"/>
      <c r="Z132" s="19">
        <f t="shared" si="17"/>
        <v>-0.13530091531676627</v>
      </c>
    </row>
    <row r="133" spans="1:26" s="24" customFormat="1" hidden="1" outlineLevel="1" x14ac:dyDescent="0.25">
      <c r="A133" s="44"/>
      <c r="B133" s="11" t="str">
        <f>CONCATENATE("          ", "5081", " - ", "PURCHASES @ COST-ELECTRONICS")</f>
        <v xml:space="preserve">          5081 - PURCHASES @ COST-ELECTRONICS</v>
      </c>
      <c r="C133" s="11"/>
      <c r="D133" s="2">
        <v>119.66</v>
      </c>
      <c r="E133" s="2"/>
      <c r="F133" s="19">
        <f t="shared" si="10"/>
        <v>5.5055825046851179E-5</v>
      </c>
      <c r="G133" s="2"/>
      <c r="H133" s="2">
        <v>224.16</v>
      </c>
      <c r="I133" s="2"/>
      <c r="J133" s="19">
        <f t="shared" si="11"/>
        <v>8.5946799874084251E-5</v>
      </c>
      <c r="K133" s="2"/>
      <c r="L133" s="2">
        <f t="shared" si="12"/>
        <v>-104.5</v>
      </c>
      <c r="M133" s="2"/>
      <c r="N133" s="19">
        <f t="shared" si="13"/>
        <v>-0.46618486795146324</v>
      </c>
      <c r="O133" s="11"/>
      <c r="P133" s="2">
        <v>1891.21</v>
      </c>
      <c r="Q133" s="2"/>
      <c r="R133" s="19">
        <f t="shared" si="14"/>
        <v>2.4597539199857737E-4</v>
      </c>
      <c r="S133" s="2"/>
      <c r="T133" s="2">
        <v>2153.04</v>
      </c>
      <c r="U133" s="2"/>
      <c r="V133" s="19">
        <f t="shared" si="15"/>
        <v>2.5268401152092352E-4</v>
      </c>
      <c r="W133" s="2"/>
      <c r="X133" s="2">
        <f t="shared" si="16"/>
        <v>-261.82999999999993</v>
      </c>
      <c r="Y133" s="2"/>
      <c r="Z133" s="19">
        <f t="shared" si="17"/>
        <v>-0.12160944524950765</v>
      </c>
    </row>
    <row r="134" spans="1:26" s="24" customFormat="1" hidden="1" outlineLevel="1" x14ac:dyDescent="0.25">
      <c r="A134" s="44"/>
      <c r="B134" s="11" t="str">
        <f>CONCATENATE("          ", "5082", " - ", "PURCHASES @ COST-COMPUTER HARD")</f>
        <v xml:space="preserve">          5082 - PURCHASES @ COST-COMPUTER HARD</v>
      </c>
      <c r="C134" s="11"/>
      <c r="D134" s="2"/>
      <c r="E134" s="2"/>
      <c r="F134" s="19">
        <f t="shared" si="10"/>
        <v>0</v>
      </c>
      <c r="G134" s="2"/>
      <c r="H134" s="2">
        <v>174</v>
      </c>
      <c r="I134" s="2"/>
      <c r="J134" s="19">
        <f t="shared" si="11"/>
        <v>6.6714593050011862E-5</v>
      </c>
      <c r="K134" s="2"/>
      <c r="L134" s="2">
        <f t="shared" si="12"/>
        <v>-174</v>
      </c>
      <c r="M134" s="2"/>
      <c r="N134" s="19">
        <f t="shared" si="13"/>
        <v>-1</v>
      </c>
      <c r="O134" s="11"/>
      <c r="P134" s="2">
        <v>349.6</v>
      </c>
      <c r="Q134" s="2"/>
      <c r="R134" s="19">
        <f t="shared" si="14"/>
        <v>4.5469829919841083E-5</v>
      </c>
      <c r="S134" s="2"/>
      <c r="T134" s="2">
        <v>857</v>
      </c>
      <c r="U134" s="2"/>
      <c r="V134" s="19">
        <f t="shared" si="15"/>
        <v>1.005788085095639E-4</v>
      </c>
      <c r="W134" s="2"/>
      <c r="X134" s="2">
        <f t="shared" si="16"/>
        <v>-507.4</v>
      </c>
      <c r="Y134" s="2"/>
      <c r="Z134" s="19">
        <f t="shared" si="17"/>
        <v>-0.59206534422403734</v>
      </c>
    </row>
    <row r="135" spans="1:26" s="24" customFormat="1" hidden="1" outlineLevel="1" x14ac:dyDescent="0.25">
      <c r="A135" s="44"/>
      <c r="B135" s="11" t="str">
        <f>CONCATENATE("          ", "5083", " - ", "PURCHASES @ COST-COMPUTER EQUI")</f>
        <v xml:space="preserve">          5083 - PURCHASES @ COST-COMPUTER EQUI</v>
      </c>
      <c r="C135" s="11"/>
      <c r="D135" s="2">
        <v>83.36</v>
      </c>
      <c r="E135" s="2"/>
      <c r="F135" s="19">
        <f t="shared" si="10"/>
        <v>3.8354116462523103E-5</v>
      </c>
      <c r="G135" s="2"/>
      <c r="H135" s="2">
        <v>146.15</v>
      </c>
      <c r="I135" s="2"/>
      <c r="J135" s="19">
        <f t="shared" si="11"/>
        <v>5.6036423989995596E-5</v>
      </c>
      <c r="K135" s="2"/>
      <c r="L135" s="2">
        <f t="shared" si="12"/>
        <v>-62.790000000000006</v>
      </c>
      <c r="M135" s="2"/>
      <c r="N135" s="19">
        <f t="shared" si="13"/>
        <v>-0.42962709544988026</v>
      </c>
      <c r="O135" s="11"/>
      <c r="P135" s="2">
        <v>462.71</v>
      </c>
      <c r="Q135" s="2"/>
      <c r="R135" s="19">
        <f t="shared" si="14"/>
        <v>6.0181192798082565E-5</v>
      </c>
      <c r="S135" s="2"/>
      <c r="T135" s="2">
        <v>679.99</v>
      </c>
      <c r="U135" s="2"/>
      <c r="V135" s="19">
        <f t="shared" si="15"/>
        <v>7.9804648772950249E-5</v>
      </c>
      <c r="W135" s="2"/>
      <c r="X135" s="2">
        <f t="shared" si="16"/>
        <v>-217.28000000000003</v>
      </c>
      <c r="Y135" s="2"/>
      <c r="Z135" s="19">
        <f t="shared" si="17"/>
        <v>-0.31953411079574706</v>
      </c>
    </row>
    <row r="136" spans="1:26" s="24" customFormat="1" hidden="1" outlineLevel="1" x14ac:dyDescent="0.25">
      <c r="A136" s="44"/>
      <c r="B136" s="11" t="str">
        <f>CONCATENATE("          ", "5086", " - ", "PURCHASES @ COST-COMPUTER SUPP")</f>
        <v xml:space="preserve">          5086 - PURCHASES @ COST-COMPUTER SUPP</v>
      </c>
      <c r="C136" s="11"/>
      <c r="D136" s="2">
        <v>36.979999999999997</v>
      </c>
      <c r="E136" s="2"/>
      <c r="F136" s="19">
        <f t="shared" si="10"/>
        <v>1.7014578056431193E-5</v>
      </c>
      <c r="G136" s="2"/>
      <c r="H136" s="2">
        <v>62.91</v>
      </c>
      <c r="I136" s="2"/>
      <c r="J136" s="19">
        <f t="shared" si="11"/>
        <v>2.4120776142392217E-5</v>
      </c>
      <c r="K136" s="2"/>
      <c r="L136" s="2">
        <f t="shared" si="12"/>
        <v>-25.93</v>
      </c>
      <c r="M136" s="2"/>
      <c r="N136" s="19">
        <f t="shared" si="13"/>
        <v>-0.41217612462247655</v>
      </c>
      <c r="O136" s="11"/>
      <c r="P136" s="2">
        <v>416.24</v>
      </c>
      <c r="Q136" s="2"/>
      <c r="R136" s="19">
        <f t="shared" si="14"/>
        <v>5.4137191092204377E-5</v>
      </c>
      <c r="S136" s="2"/>
      <c r="T136" s="2">
        <v>698.09</v>
      </c>
      <c r="U136" s="2"/>
      <c r="V136" s="19">
        <f t="shared" si="15"/>
        <v>8.1928891986512802E-5</v>
      </c>
      <c r="W136" s="2"/>
      <c r="X136" s="2">
        <f t="shared" si="16"/>
        <v>-281.85000000000002</v>
      </c>
      <c r="Y136" s="2"/>
      <c r="Z136" s="19">
        <f t="shared" si="17"/>
        <v>-0.40374450285779773</v>
      </c>
    </row>
    <row r="137" spans="1:26" s="24" customFormat="1" hidden="1" outlineLevel="1" x14ac:dyDescent="0.25">
      <c r="A137" s="44"/>
      <c r="B137" s="11" t="str">
        <f>CONCATENATE("          ", "5092", " - ", "PURCHASES @ COST-GRAD MERCH")</f>
        <v xml:space="preserve">          5092 - PURCHASES @ COST-GRAD MERCH</v>
      </c>
      <c r="C137" s="11"/>
      <c r="D137" s="2">
        <v>122.72</v>
      </c>
      <c r="E137" s="2"/>
      <c r="F137" s="19">
        <f t="shared" si="10"/>
        <v>5.6463737671315197E-5</v>
      </c>
      <c r="G137" s="2"/>
      <c r="H137" s="2">
        <v>-820</v>
      </c>
      <c r="I137" s="2"/>
      <c r="J137" s="19">
        <f t="shared" si="11"/>
        <v>-3.1440210517821681E-4</v>
      </c>
      <c r="K137" s="2"/>
      <c r="L137" s="2">
        <f t="shared" si="12"/>
        <v>942.72</v>
      </c>
      <c r="M137" s="2"/>
      <c r="N137" s="19">
        <f t="shared" si="13"/>
        <v>-1.149658536585366</v>
      </c>
      <c r="O137" s="11"/>
      <c r="P137" s="2">
        <v>2046.86</v>
      </c>
      <c r="Q137" s="2"/>
      <c r="R137" s="19">
        <f t="shared" si="14"/>
        <v>2.6621961118342651E-4</v>
      </c>
      <c r="S137" s="2"/>
      <c r="T137" s="2">
        <v>-2690.04</v>
      </c>
      <c r="U137" s="2"/>
      <c r="V137" s="19">
        <f t="shared" si="15"/>
        <v>-3.1570713890672963E-4</v>
      </c>
      <c r="W137" s="2"/>
      <c r="X137" s="2">
        <f t="shared" si="16"/>
        <v>4736.8999999999996</v>
      </c>
      <c r="Y137" s="2"/>
      <c r="Z137" s="19">
        <f t="shared" si="17"/>
        <v>-1.7609031835957829</v>
      </c>
    </row>
    <row r="138" spans="1:26" s="24" customFormat="1" hidden="1" outlineLevel="1" x14ac:dyDescent="0.25">
      <c r="A138" s="44"/>
      <c r="B138" s="11" t="str">
        <f>CONCATENATE("          ", "5095", " - ", "PURCHASES @ COST-CUSTOMER SERV")</f>
        <v xml:space="preserve">          5095 - PURCHASES @ COST-CUSTOMER SERV</v>
      </c>
      <c r="C138" s="11"/>
      <c r="D138" s="2"/>
      <c r="E138" s="2"/>
      <c r="F138" s="19">
        <f t="shared" si="10"/>
        <v>0</v>
      </c>
      <c r="G138" s="2"/>
      <c r="H138" s="2">
        <v>0</v>
      </c>
      <c r="I138" s="2"/>
      <c r="J138" s="19">
        <f t="shared" si="11"/>
        <v>0</v>
      </c>
      <c r="K138" s="2"/>
      <c r="L138" s="2">
        <f t="shared" si="12"/>
        <v>0</v>
      </c>
      <c r="M138" s="2"/>
      <c r="N138" s="19">
        <f t="shared" si="13"/>
        <v>0</v>
      </c>
      <c r="O138" s="11"/>
      <c r="P138" s="2">
        <v>0</v>
      </c>
      <c r="Q138" s="2"/>
      <c r="R138" s="19">
        <f t="shared" si="14"/>
        <v>0</v>
      </c>
      <c r="S138" s="2"/>
      <c r="T138" s="2">
        <v>0</v>
      </c>
      <c r="U138" s="2"/>
      <c r="V138" s="19">
        <f t="shared" si="15"/>
        <v>0</v>
      </c>
      <c r="W138" s="2"/>
      <c r="X138" s="2">
        <f t="shared" si="16"/>
        <v>0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"5200", " - ", "PURCHASES OFFSET")</f>
        <v xml:space="preserve">          5200 - PURCHASES OFFSET</v>
      </c>
      <c r="C139" s="11"/>
      <c r="D139" s="2">
        <v>-1039044</v>
      </c>
      <c r="E139" s="2"/>
      <c r="F139" s="19">
        <f t="shared" si="10"/>
        <v>-0.47806639378221993</v>
      </c>
      <c r="G139" s="2"/>
      <c r="H139" s="2">
        <v>-702153</v>
      </c>
      <c r="I139" s="2"/>
      <c r="J139" s="19">
        <f t="shared" si="11"/>
        <v>-0.26921753824048839</v>
      </c>
      <c r="K139" s="2"/>
      <c r="L139" s="2">
        <f t="shared" si="12"/>
        <v>-336891</v>
      </c>
      <c r="M139" s="2"/>
      <c r="N139" s="19">
        <f t="shared" si="13"/>
        <v>0.47979713823055659</v>
      </c>
      <c r="O139" s="11"/>
      <c r="P139" s="2">
        <v>-4025566</v>
      </c>
      <c r="Q139" s="2"/>
      <c r="R139" s="19">
        <f t="shared" si="14"/>
        <v>-0.5235749466564501</v>
      </c>
      <c r="S139" s="2"/>
      <c r="T139" s="2">
        <v>-3897376</v>
      </c>
      <c r="U139" s="2"/>
      <c r="V139" s="19">
        <f t="shared" si="15"/>
        <v>-0.45740190711058359</v>
      </c>
      <c r="W139" s="2"/>
      <c r="X139" s="2">
        <f t="shared" si="16"/>
        <v>-128190</v>
      </c>
      <c r="Y139" s="2"/>
      <c r="Z139" s="19">
        <f t="shared" si="17"/>
        <v>3.2891360751438919E-2</v>
      </c>
    </row>
    <row r="140" spans="1:26" s="24" customFormat="1" hidden="1" outlineLevel="1" x14ac:dyDescent="0.25">
      <c r="A140" s="44"/>
      <c r="B140" s="11" t="str">
        <f>CONCATENATE("          ", "5300", " - ", "COG$ OFFSET")</f>
        <v xml:space="preserve">          5300 - COG$ OFFSET</v>
      </c>
      <c r="C140" s="11"/>
      <c r="D140" s="2">
        <v>732800</v>
      </c>
      <c r="E140" s="2"/>
      <c r="F140" s="19">
        <f t="shared" si="10"/>
        <v>0.33716286640759269</v>
      </c>
      <c r="G140" s="2"/>
      <c r="H140" s="2">
        <v>1018677.0000000001</v>
      </c>
      <c r="I140" s="2"/>
      <c r="J140" s="19">
        <f t="shared" si="11"/>
        <v>0.3905782845080859</v>
      </c>
      <c r="K140" s="2"/>
      <c r="L140" s="2">
        <f t="shared" si="12"/>
        <v>-285877.00000000012</v>
      </c>
      <c r="M140" s="2"/>
      <c r="N140" s="19">
        <f t="shared" si="13"/>
        <v>-0.28063556946902707</v>
      </c>
      <c r="O140" s="11"/>
      <c r="P140" s="2">
        <v>3245890.47</v>
      </c>
      <c r="Q140" s="2"/>
      <c r="R140" s="19">
        <f t="shared" si="14"/>
        <v>0.42216844281845833</v>
      </c>
      <c r="S140" s="2"/>
      <c r="T140" s="2">
        <v>3791167.9999999995</v>
      </c>
      <c r="U140" s="2"/>
      <c r="V140" s="19">
        <f t="shared" si="15"/>
        <v>0.44493717654560833</v>
      </c>
      <c r="W140" s="2"/>
      <c r="X140" s="2">
        <f t="shared" si="16"/>
        <v>-545277.52999999933</v>
      </c>
      <c r="Y140" s="2"/>
      <c r="Z140" s="19">
        <f t="shared" si="17"/>
        <v>-0.14382837426355133</v>
      </c>
    </row>
    <row r="141" spans="1:26" s="24" customFormat="1" hidden="1" outlineLevel="1" x14ac:dyDescent="0.25">
      <c r="A141" s="44"/>
      <c r="B141" s="11" t="str">
        <f>CONCATENATE("          ", "5500", " - ", "FREIGHT-IN")</f>
        <v xml:space="preserve">          5500 - FREIGHT-IN</v>
      </c>
      <c r="C141" s="11"/>
      <c r="D141" s="2">
        <v>7.3</v>
      </c>
      <c r="E141" s="2"/>
      <c r="F141" s="19">
        <f t="shared" si="10"/>
        <v>3.3587458034599164E-6</v>
      </c>
      <c r="G141" s="2"/>
      <c r="H141" s="2">
        <v>156.58000000000001</v>
      </c>
      <c r="I141" s="2"/>
      <c r="J141" s="19">
        <f t="shared" si="11"/>
        <v>6.0035465400981944E-5</v>
      </c>
      <c r="K141" s="2"/>
      <c r="L141" s="2">
        <f t="shared" si="12"/>
        <v>-149.28</v>
      </c>
      <c r="M141" s="2"/>
      <c r="N141" s="19">
        <f t="shared" si="13"/>
        <v>-0.95337846468259035</v>
      </c>
      <c r="O141" s="11"/>
      <c r="P141" s="2">
        <v>122.53</v>
      </c>
      <c r="Q141" s="2"/>
      <c r="R141" s="19">
        <f t="shared" si="14"/>
        <v>1.5936551087179997E-5</v>
      </c>
      <c r="S141" s="2"/>
      <c r="T141" s="2">
        <v>167.08</v>
      </c>
      <c r="U141" s="2"/>
      <c r="V141" s="19">
        <f t="shared" si="15"/>
        <v>1.9608760006742052E-5</v>
      </c>
      <c r="W141" s="2"/>
      <c r="X141" s="2">
        <f t="shared" si="16"/>
        <v>-44.550000000000011</v>
      </c>
      <c r="Y141" s="2"/>
      <c r="Z141" s="19">
        <f t="shared" si="17"/>
        <v>-0.26663873593488152</v>
      </c>
    </row>
    <row r="142" spans="1:26" s="24" customFormat="1" hidden="1" outlineLevel="1" x14ac:dyDescent="0.25">
      <c r="A142" s="44"/>
      <c r="B142" s="11" t="str">
        <f>CONCATENATE("          ", "5501", " - ", "FREIGHT-IN-NEW TEXT")</f>
        <v xml:space="preserve">          5501 - FREIGHT-IN-NEW TEXT</v>
      </c>
      <c r="C142" s="11"/>
      <c r="D142" s="2">
        <v>3407.43</v>
      </c>
      <c r="E142" s="2"/>
      <c r="F142" s="19">
        <f t="shared" si="10"/>
        <v>1.5677659196004687E-3</v>
      </c>
      <c r="G142" s="2"/>
      <c r="H142" s="2">
        <v>13385.88</v>
      </c>
      <c r="I142" s="2"/>
      <c r="J142" s="19">
        <f t="shared" si="11"/>
        <v>5.1323766483694988E-3</v>
      </c>
      <c r="K142" s="2"/>
      <c r="L142" s="2">
        <f t="shared" si="12"/>
        <v>-9978.4499999999989</v>
      </c>
      <c r="M142" s="2"/>
      <c r="N142" s="19">
        <f t="shared" si="13"/>
        <v>-0.74544594752082038</v>
      </c>
      <c r="O142" s="11"/>
      <c r="P142" s="2">
        <v>42077.369999999995</v>
      </c>
      <c r="Q142" s="2"/>
      <c r="R142" s="19">
        <f t="shared" si="14"/>
        <v>5.4726855188049865E-3</v>
      </c>
      <c r="S142" s="2"/>
      <c r="T142" s="2">
        <v>52281</v>
      </c>
      <c r="U142" s="2"/>
      <c r="V142" s="19">
        <f t="shared" si="15"/>
        <v>6.1357767650974454E-3</v>
      </c>
      <c r="W142" s="2"/>
      <c r="X142" s="2">
        <f t="shared" si="16"/>
        <v>-10203.630000000005</v>
      </c>
      <c r="Y142" s="2"/>
      <c r="Z142" s="19">
        <f t="shared" si="17"/>
        <v>-0.19516899064669774</v>
      </c>
    </row>
    <row r="143" spans="1:26" s="24" customFormat="1" hidden="1" outlineLevel="1" x14ac:dyDescent="0.25">
      <c r="A143" s="44"/>
      <c r="B143" s="11" t="str">
        <f>CONCATENATE("          ", "5502", " - ", "FREIGHT-IN-USED TEXT")</f>
        <v xml:space="preserve">          5502 - FREIGHT-IN-USED TEXT</v>
      </c>
      <c r="C143" s="11"/>
      <c r="D143" s="2">
        <v>4124.8100000000004</v>
      </c>
      <c r="E143" s="2"/>
      <c r="F143" s="19">
        <f t="shared" si="10"/>
        <v>1.8978340106259588E-3</v>
      </c>
      <c r="G143" s="2"/>
      <c r="H143" s="2">
        <v>3187.01</v>
      </c>
      <c r="I143" s="2"/>
      <c r="J143" s="19">
        <f t="shared" si="11"/>
        <v>1.2219544551512547E-3</v>
      </c>
      <c r="K143" s="2"/>
      <c r="L143" s="2">
        <f t="shared" si="12"/>
        <v>937.80000000000018</v>
      </c>
      <c r="M143" s="2"/>
      <c r="N143" s="19">
        <f t="shared" si="13"/>
        <v>0.29425699950737527</v>
      </c>
      <c r="O143" s="11"/>
      <c r="P143" s="2">
        <v>11778.23</v>
      </c>
      <c r="Q143" s="2"/>
      <c r="R143" s="19">
        <f t="shared" si="14"/>
        <v>1.5319053628626137E-3</v>
      </c>
      <c r="S143" s="2"/>
      <c r="T143" s="2">
        <v>11057.1</v>
      </c>
      <c r="U143" s="2"/>
      <c r="V143" s="19">
        <f t="shared" si="15"/>
        <v>1.2976778804796956E-3</v>
      </c>
      <c r="W143" s="2"/>
      <c r="X143" s="2">
        <f t="shared" si="16"/>
        <v>721.1299999999992</v>
      </c>
      <c r="Y143" s="2"/>
      <c r="Z143" s="19">
        <f t="shared" si="17"/>
        <v>6.5218728237964665E-2</v>
      </c>
    </row>
    <row r="144" spans="1:26" s="24" customFormat="1" hidden="1" outlineLevel="1" x14ac:dyDescent="0.25">
      <c r="A144" s="44"/>
      <c r="B144" s="11" t="str">
        <f>CONCATENATE("          ", "5504", " - ", "FREIGHT-IN-DIGITAL TEXT")</f>
        <v xml:space="preserve">          5504 - FREIGHT-IN-DIGITAL TEXT</v>
      </c>
      <c r="C144" s="11"/>
      <c r="D144" s="2"/>
      <c r="E144" s="2"/>
      <c r="F144" s="19">
        <f t="shared" si="10"/>
        <v>0</v>
      </c>
      <c r="G144" s="2"/>
      <c r="H144" s="2">
        <v>77.31</v>
      </c>
      <c r="I144" s="2"/>
      <c r="J144" s="19">
        <f t="shared" si="11"/>
        <v>2.9641983843082859E-5</v>
      </c>
      <c r="K144" s="2"/>
      <c r="L144" s="2">
        <f t="shared" si="12"/>
        <v>-77.31</v>
      </c>
      <c r="M144" s="2"/>
      <c r="N144" s="19">
        <f t="shared" si="13"/>
        <v>-1</v>
      </c>
      <c r="O144" s="11"/>
      <c r="P144" s="2">
        <v>105.97</v>
      </c>
      <c r="Q144" s="2"/>
      <c r="R144" s="19">
        <f t="shared" si="14"/>
        <v>1.3782717038345421E-5</v>
      </c>
      <c r="S144" s="2"/>
      <c r="T144" s="2">
        <v>243.53</v>
      </c>
      <c r="U144" s="2"/>
      <c r="V144" s="19">
        <f t="shared" si="15"/>
        <v>2.8581046950214817E-5</v>
      </c>
      <c r="W144" s="2"/>
      <c r="X144" s="2">
        <f t="shared" si="16"/>
        <v>-137.56</v>
      </c>
      <c r="Y144" s="2"/>
      <c r="Z144" s="19">
        <f t="shared" si="17"/>
        <v>-0.56485853898903626</v>
      </c>
    </row>
    <row r="145" spans="1:26" s="24" customFormat="1" hidden="1" outlineLevel="1" x14ac:dyDescent="0.25">
      <c r="A145" s="44"/>
      <c r="B145" s="11" t="str">
        <f>CONCATENATE("          ", "5513", " - ", "FREIGHT-IN-TRADE BOOKS")</f>
        <v xml:space="preserve">          5513 - FREIGHT-IN-TRADE BOOKS</v>
      </c>
      <c r="C145" s="11"/>
      <c r="D145" s="2"/>
      <c r="E145" s="2"/>
      <c r="F145" s="19">
        <f t="shared" si="10"/>
        <v>0</v>
      </c>
      <c r="G145" s="2"/>
      <c r="H145" s="2"/>
      <c r="I145" s="2"/>
      <c r="J145" s="19">
        <f t="shared" si="11"/>
        <v>0</v>
      </c>
      <c r="K145" s="2"/>
      <c r="L145" s="2">
        <f t="shared" si="12"/>
        <v>0</v>
      </c>
      <c r="M145" s="2"/>
      <c r="N145" s="19">
        <f t="shared" si="13"/>
        <v>0</v>
      </c>
      <c r="O145" s="11"/>
      <c r="P145" s="2">
        <v>21.41</v>
      </c>
      <c r="Q145" s="2"/>
      <c r="R145" s="19">
        <f t="shared" si="14"/>
        <v>2.7846368952625786E-6</v>
      </c>
      <c r="S145" s="2"/>
      <c r="T145" s="2">
        <v>12.22</v>
      </c>
      <c r="U145" s="2"/>
      <c r="V145" s="19">
        <f t="shared" si="15"/>
        <v>1.4341575729135017E-6</v>
      </c>
      <c r="W145" s="2"/>
      <c r="X145" s="2">
        <f t="shared" si="16"/>
        <v>9.19</v>
      </c>
      <c r="Y145" s="2"/>
      <c r="Z145" s="19">
        <f t="shared" si="17"/>
        <v>0.7520458265139115</v>
      </c>
    </row>
    <row r="146" spans="1:26" s="24" customFormat="1" hidden="1" outlineLevel="1" x14ac:dyDescent="0.25">
      <c r="A146" s="44"/>
      <c r="B146" s="11" t="str">
        <f>CONCATENATE("          ", "5518", " - ", "FREIGHT-IN-STUDY GUIDES")</f>
        <v xml:space="preserve">          5518 - FREIGHT-IN-STUDY GUIDES</v>
      </c>
      <c r="C146" s="11"/>
      <c r="D146" s="2"/>
      <c r="E146" s="2"/>
      <c r="F146" s="19">
        <f t="shared" si="10"/>
        <v>0</v>
      </c>
      <c r="G146" s="2"/>
      <c r="H146" s="2"/>
      <c r="I146" s="2"/>
      <c r="J146" s="19">
        <f t="shared" si="11"/>
        <v>0</v>
      </c>
      <c r="K146" s="2"/>
      <c r="L146" s="2">
        <f t="shared" si="12"/>
        <v>0</v>
      </c>
      <c r="M146" s="2"/>
      <c r="N146" s="19">
        <f t="shared" si="13"/>
        <v>0</v>
      </c>
      <c r="O146" s="11"/>
      <c r="P146" s="2">
        <v>21.13</v>
      </c>
      <c r="Q146" s="2"/>
      <c r="R146" s="19">
        <f t="shared" si="14"/>
        <v>2.7482194113450855E-6</v>
      </c>
      <c r="S146" s="2"/>
      <c r="T146" s="2"/>
      <c r="U146" s="2"/>
      <c r="V146" s="19">
        <f t="shared" si="15"/>
        <v>0</v>
      </c>
      <c r="W146" s="2"/>
      <c r="X146" s="2">
        <f t="shared" si="16"/>
        <v>21.13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"5525", " - ", "FREIGHT-IN-TEST FORMS")</f>
        <v xml:space="preserve">          5525 - FREIGHT-IN-TEST FORMS</v>
      </c>
      <c r="C147" s="11"/>
      <c r="D147" s="2"/>
      <c r="E147" s="2"/>
      <c r="F147" s="19">
        <f t="shared" si="10"/>
        <v>0</v>
      </c>
      <c r="G147" s="2"/>
      <c r="H147" s="2">
        <v>232.99</v>
      </c>
      <c r="I147" s="2"/>
      <c r="J147" s="19">
        <f t="shared" si="11"/>
        <v>8.9332373762771632E-5</v>
      </c>
      <c r="K147" s="2"/>
      <c r="L147" s="2">
        <f t="shared" si="12"/>
        <v>-232.99</v>
      </c>
      <c r="M147" s="2"/>
      <c r="N147" s="19">
        <f t="shared" si="13"/>
        <v>-1</v>
      </c>
      <c r="O147" s="11"/>
      <c r="P147" s="2">
        <v>622.41</v>
      </c>
      <c r="Q147" s="2"/>
      <c r="R147" s="19">
        <f t="shared" si="14"/>
        <v>8.0952164875309742E-5</v>
      </c>
      <c r="S147" s="2"/>
      <c r="T147" s="2">
        <v>283.91000000000003</v>
      </c>
      <c r="U147" s="2"/>
      <c r="V147" s="19">
        <f t="shared" si="15"/>
        <v>3.3320104462019011E-5</v>
      </c>
      <c r="W147" s="2"/>
      <c r="X147" s="2">
        <f t="shared" si="16"/>
        <v>338.49999999999994</v>
      </c>
      <c r="Y147" s="2"/>
      <c r="Z147" s="19">
        <f t="shared" si="17"/>
        <v>1.1922792434222109</v>
      </c>
    </row>
    <row r="148" spans="1:26" s="24" customFormat="1" hidden="1" outlineLevel="1" x14ac:dyDescent="0.25">
      <c r="A148" s="44"/>
      <c r="B148" s="11" t="str">
        <f>CONCATENATE("          ", "5526", " - ", "FREIGHT-IN-WRITING INSTRUMENTS")</f>
        <v xml:space="preserve">          5526 - FREIGHT-IN-WRITING INSTRUMENTS</v>
      </c>
      <c r="C148" s="11"/>
      <c r="D148" s="2"/>
      <c r="E148" s="2"/>
      <c r="F148" s="19">
        <f t="shared" si="10"/>
        <v>0</v>
      </c>
      <c r="G148" s="2"/>
      <c r="H148" s="2">
        <v>16.86</v>
      </c>
      <c r="I148" s="2"/>
      <c r="J148" s="19">
        <f t="shared" si="11"/>
        <v>6.4644140162252874E-6</v>
      </c>
      <c r="K148" s="2"/>
      <c r="L148" s="2">
        <f t="shared" si="12"/>
        <v>-16.86</v>
      </c>
      <c r="M148" s="2"/>
      <c r="N148" s="19">
        <f t="shared" si="13"/>
        <v>-1</v>
      </c>
      <c r="O148" s="11"/>
      <c r="P148" s="2">
        <v>260.35000000000002</v>
      </c>
      <c r="Q148" s="2"/>
      <c r="R148" s="19">
        <f t="shared" si="14"/>
        <v>3.3861756921140234E-5</v>
      </c>
      <c r="S148" s="2"/>
      <c r="T148" s="2">
        <v>131.16</v>
      </c>
      <c r="U148" s="2"/>
      <c r="V148" s="19">
        <f t="shared" si="15"/>
        <v>1.5393134800600234E-5</v>
      </c>
      <c r="W148" s="2"/>
      <c r="X148" s="2">
        <f t="shared" si="16"/>
        <v>129.19000000000003</v>
      </c>
      <c r="Y148" s="2"/>
      <c r="Z148" s="19">
        <f t="shared" si="17"/>
        <v>0.98498017688319628</v>
      </c>
    </row>
    <row r="149" spans="1:26" s="24" customFormat="1" hidden="1" outlineLevel="1" x14ac:dyDescent="0.25">
      <c r="A149" s="44"/>
      <c r="B149" s="11" t="str">
        <f>CONCATENATE("          ", "5527", " - ", "FREIGHT-IN-SCHOOL SUPPLIES")</f>
        <v xml:space="preserve">          5527 - FREIGHT-IN-SCHOOL SUPPLIES</v>
      </c>
      <c r="C149" s="11"/>
      <c r="D149" s="2">
        <v>321.92</v>
      </c>
      <c r="E149" s="2"/>
      <c r="F149" s="19">
        <f t="shared" si="10"/>
        <v>1.4811608891093374E-4</v>
      </c>
      <c r="G149" s="2"/>
      <c r="H149" s="2">
        <v>105.31</v>
      </c>
      <c r="I149" s="2"/>
      <c r="J149" s="19">
        <f t="shared" si="11"/>
        <v>4.0377665483314651E-5</v>
      </c>
      <c r="K149" s="2"/>
      <c r="L149" s="2">
        <f t="shared" si="12"/>
        <v>216.61</v>
      </c>
      <c r="M149" s="2"/>
      <c r="N149" s="19">
        <f t="shared" si="13"/>
        <v>2.0568796885386003</v>
      </c>
      <c r="O149" s="11"/>
      <c r="P149" s="2">
        <v>1219.8399999999999</v>
      </c>
      <c r="Q149" s="2"/>
      <c r="R149" s="19">
        <f t="shared" si="14"/>
        <v>1.5865536993540886E-4</v>
      </c>
      <c r="S149" s="2"/>
      <c r="T149" s="2">
        <v>1330.96</v>
      </c>
      <c r="U149" s="2"/>
      <c r="V149" s="19">
        <f t="shared" si="15"/>
        <v>1.5620346671398972E-4</v>
      </c>
      <c r="W149" s="2"/>
      <c r="X149" s="2">
        <f t="shared" si="16"/>
        <v>-111.12000000000012</v>
      </c>
      <c r="Y149" s="2"/>
      <c r="Z149" s="19">
        <f t="shared" si="17"/>
        <v>-8.3488609725311136E-2</v>
      </c>
    </row>
    <row r="150" spans="1:26" s="24" customFormat="1" hidden="1" outlineLevel="1" x14ac:dyDescent="0.25">
      <c r="A150" s="44"/>
      <c r="B150" s="11" t="str">
        <f>CONCATENATE("          ", "5528", " - ", "FREIGHT-IN-ART/TECH")</f>
        <v xml:space="preserve">          5528 - FREIGHT-IN-ART/TECH</v>
      </c>
      <c r="C150" s="11"/>
      <c r="D150" s="2">
        <v>220.82</v>
      </c>
      <c r="E150" s="2"/>
      <c r="F150" s="19">
        <f t="shared" si="10"/>
        <v>1.0159976004383818E-4</v>
      </c>
      <c r="G150" s="2"/>
      <c r="H150" s="2">
        <v>537.45000000000005</v>
      </c>
      <c r="I150" s="2"/>
      <c r="J150" s="19">
        <f t="shared" si="11"/>
        <v>2.0606757491223494E-4</v>
      </c>
      <c r="K150" s="2"/>
      <c r="L150" s="2">
        <f t="shared" si="12"/>
        <v>-316.63000000000005</v>
      </c>
      <c r="M150" s="2"/>
      <c r="N150" s="19">
        <f t="shared" si="13"/>
        <v>-0.58913387291841102</v>
      </c>
      <c r="O150" s="11"/>
      <c r="P150" s="2">
        <v>1331.46</v>
      </c>
      <c r="Q150" s="2"/>
      <c r="R150" s="19">
        <f t="shared" si="14"/>
        <v>1.7317293977423228E-4</v>
      </c>
      <c r="S150" s="2"/>
      <c r="T150" s="2">
        <v>5194.9799999999996</v>
      </c>
      <c r="U150" s="2"/>
      <c r="V150" s="19">
        <f t="shared" si="15"/>
        <v>6.0969066351343557E-4</v>
      </c>
      <c r="W150" s="2"/>
      <c r="X150" s="2">
        <f t="shared" si="16"/>
        <v>-3863.5199999999995</v>
      </c>
      <c r="Y150" s="2"/>
      <c r="Z150" s="19">
        <f t="shared" si="17"/>
        <v>-0.74370257440837118</v>
      </c>
    </row>
    <row r="151" spans="1:26" s="24" customFormat="1" hidden="1" outlineLevel="1" x14ac:dyDescent="0.25">
      <c r="A151" s="44"/>
      <c r="B151" s="11" t="str">
        <f>CONCATENATE("          ", "5540", " - ", "FREIGHT-IN-LOGO CLOTHING")</f>
        <v xml:space="preserve">          5540 - FREIGHT-IN-LOGO CLOTHING</v>
      </c>
      <c r="C151" s="11"/>
      <c r="D151" s="2">
        <v>1400.5</v>
      </c>
      <c r="E151" s="2"/>
      <c r="F151" s="19">
        <f t="shared" si="10"/>
        <v>6.4437308188296065E-4</v>
      </c>
      <c r="G151" s="2"/>
      <c r="H151" s="2">
        <v>1692.94</v>
      </c>
      <c r="I151" s="2"/>
      <c r="J151" s="19">
        <f t="shared" si="11"/>
        <v>6.4910231700050054E-4</v>
      </c>
      <c r="K151" s="2"/>
      <c r="L151" s="2">
        <f t="shared" si="12"/>
        <v>-292.44000000000005</v>
      </c>
      <c r="M151" s="2"/>
      <c r="N151" s="19">
        <f t="shared" si="13"/>
        <v>-0.17274091225914684</v>
      </c>
      <c r="O151" s="11"/>
      <c r="P151" s="2">
        <v>25677.89</v>
      </c>
      <c r="Q151" s="2"/>
      <c r="R151" s="19">
        <f t="shared" si="14"/>
        <v>3.339729093250538E-3</v>
      </c>
      <c r="S151" s="2"/>
      <c r="T151" s="2">
        <v>17945.27</v>
      </c>
      <c r="U151" s="2"/>
      <c r="V151" s="19">
        <f t="shared" si="15"/>
        <v>2.1060838681241797E-3</v>
      </c>
      <c r="W151" s="2"/>
      <c r="X151" s="2">
        <f t="shared" si="16"/>
        <v>7732.619999999999</v>
      </c>
      <c r="Y151" s="2"/>
      <c r="Z151" s="19">
        <f t="shared" si="17"/>
        <v>0.43090017592379487</v>
      </c>
    </row>
    <row r="152" spans="1:26" s="24" customFormat="1" hidden="1" outlineLevel="1" x14ac:dyDescent="0.25">
      <c r="A152" s="44"/>
      <c r="B152" s="11" t="str">
        <f>CONCATENATE("          ", "5541", " - ", "FREIGHT-IN-LOGO GIFTS")</f>
        <v xml:space="preserve">          5541 - FREIGHT-IN-LOGO GIFTS</v>
      </c>
      <c r="C152" s="11"/>
      <c r="D152" s="2">
        <v>24.8</v>
      </c>
      <c r="E152" s="2"/>
      <c r="F152" s="19">
        <f t="shared" si="10"/>
        <v>1.1410533688466566E-5</v>
      </c>
      <c r="G152" s="2"/>
      <c r="H152" s="2">
        <v>72.37</v>
      </c>
      <c r="I152" s="2"/>
      <c r="J152" s="19">
        <f t="shared" si="11"/>
        <v>2.774790286798482E-5</v>
      </c>
      <c r="K152" s="2"/>
      <c r="L152" s="2">
        <f t="shared" si="12"/>
        <v>-47.570000000000007</v>
      </c>
      <c r="M152" s="2"/>
      <c r="N152" s="19">
        <f t="shared" si="13"/>
        <v>-0.65731656763852431</v>
      </c>
      <c r="O152" s="11"/>
      <c r="P152" s="2">
        <v>3587.57</v>
      </c>
      <c r="Q152" s="2"/>
      <c r="R152" s="19">
        <f t="shared" si="14"/>
        <v>4.6660811706385658E-4</v>
      </c>
      <c r="S152" s="2"/>
      <c r="T152" s="2">
        <v>4828.58</v>
      </c>
      <c r="U152" s="2"/>
      <c r="V152" s="19">
        <f t="shared" si="15"/>
        <v>5.6668940862673292E-4</v>
      </c>
      <c r="W152" s="2"/>
      <c r="X152" s="2">
        <f t="shared" si="16"/>
        <v>-1241.0099999999998</v>
      </c>
      <c r="Y152" s="2"/>
      <c r="Z152" s="19">
        <f t="shared" si="17"/>
        <v>-0.25701344908855189</v>
      </c>
    </row>
    <row r="153" spans="1:26" s="24" customFormat="1" hidden="1" outlineLevel="1" x14ac:dyDescent="0.25">
      <c r="A153" s="44"/>
      <c r="B153" s="11" t="str">
        <f>CONCATENATE("          ", "5542", " - ", "FREIGHT-IN-EVERYDAY GIFTS")</f>
        <v xml:space="preserve">          5542 - FREIGHT-IN-EVERYDAY GIFTS</v>
      </c>
      <c r="C153" s="11"/>
      <c r="D153" s="2"/>
      <c r="E153" s="2"/>
      <c r="F153" s="19">
        <f t="shared" si="10"/>
        <v>0</v>
      </c>
      <c r="G153" s="2"/>
      <c r="H153" s="2">
        <v>120.49</v>
      </c>
      <c r="I153" s="2"/>
      <c r="J153" s="19">
        <f t="shared" si="11"/>
        <v>4.6197938601126026E-5</v>
      </c>
      <c r="K153" s="2"/>
      <c r="L153" s="2">
        <f t="shared" si="12"/>
        <v>-120.49</v>
      </c>
      <c r="M153" s="2"/>
      <c r="N153" s="19">
        <f t="shared" si="13"/>
        <v>-1</v>
      </c>
      <c r="O153" s="11"/>
      <c r="P153" s="2">
        <v>1708.33</v>
      </c>
      <c r="Q153" s="2"/>
      <c r="R153" s="19">
        <f t="shared" si="14"/>
        <v>2.2218957250275202E-4</v>
      </c>
      <c r="S153" s="2"/>
      <c r="T153" s="2">
        <v>1342.04</v>
      </c>
      <c r="U153" s="2"/>
      <c r="V153" s="19">
        <f t="shared" si="15"/>
        <v>1.5750383217289982E-4</v>
      </c>
      <c r="W153" s="2"/>
      <c r="X153" s="2">
        <f t="shared" si="16"/>
        <v>366.28999999999996</v>
      </c>
      <c r="Y153" s="2"/>
      <c r="Z153" s="19">
        <f t="shared" si="17"/>
        <v>0.27293523292897376</v>
      </c>
    </row>
    <row r="154" spans="1:26" s="24" customFormat="1" hidden="1" outlineLevel="1" x14ac:dyDescent="0.25">
      <c r="A154" s="44"/>
      <c r="B154" s="11" t="str">
        <f>CONCATENATE("          ", "5543", " - ", "FREIGHT-IN-CARDS")</f>
        <v xml:space="preserve">          5543 - FREIGHT-IN-CARDS</v>
      </c>
      <c r="C154" s="11"/>
      <c r="D154" s="2"/>
      <c r="E154" s="2"/>
      <c r="F154" s="19">
        <f t="shared" si="10"/>
        <v>0</v>
      </c>
      <c r="G154" s="2"/>
      <c r="H154" s="2">
        <v>44.71</v>
      </c>
      <c r="I154" s="2"/>
      <c r="J154" s="19">
        <f t="shared" si="11"/>
        <v>1.7142583076241555E-5</v>
      </c>
      <c r="K154" s="2"/>
      <c r="L154" s="2">
        <f t="shared" si="12"/>
        <v>-44.71</v>
      </c>
      <c r="M154" s="2"/>
      <c r="N154" s="19">
        <f t="shared" si="13"/>
        <v>-1</v>
      </c>
      <c r="O154" s="11"/>
      <c r="P154" s="2">
        <v>121.35</v>
      </c>
      <c r="Q154" s="2"/>
      <c r="R154" s="19">
        <f t="shared" si="14"/>
        <v>1.5783077404956276E-5</v>
      </c>
      <c r="S154" s="2"/>
      <c r="T154" s="2">
        <v>57.18</v>
      </c>
      <c r="U154" s="2"/>
      <c r="V154" s="19">
        <f t="shared" si="15"/>
        <v>6.7107307708014748E-6</v>
      </c>
      <c r="W154" s="2"/>
      <c r="X154" s="2">
        <f t="shared" si="16"/>
        <v>64.169999999999987</v>
      </c>
      <c r="Y154" s="2"/>
      <c r="Z154" s="19">
        <f t="shared" si="17"/>
        <v>1.1222455403987406</v>
      </c>
    </row>
    <row r="155" spans="1:26" s="24" customFormat="1" hidden="1" outlineLevel="1" x14ac:dyDescent="0.25">
      <c r="A155" s="44"/>
      <c r="B155" s="11" t="str">
        <f>CONCATENATE("          ", "5544", " - ", "FREIGHT-IN-ACCESSORIES")</f>
        <v xml:space="preserve">          5544 - FREIGHT-IN-ACCESSORIES</v>
      </c>
      <c r="C155" s="11"/>
      <c r="D155" s="2"/>
      <c r="E155" s="2"/>
      <c r="F155" s="19">
        <f t="shared" si="10"/>
        <v>0</v>
      </c>
      <c r="G155" s="2"/>
      <c r="H155" s="2">
        <v>145.19999999999999</v>
      </c>
      <c r="I155" s="2"/>
      <c r="J155" s="19">
        <f t="shared" si="11"/>
        <v>5.5672177648630586E-5</v>
      </c>
      <c r="K155" s="2"/>
      <c r="L155" s="2">
        <f t="shared" si="12"/>
        <v>-145.19999999999999</v>
      </c>
      <c r="M155" s="2"/>
      <c r="N155" s="19">
        <f t="shared" si="13"/>
        <v>-1</v>
      </c>
      <c r="O155" s="11"/>
      <c r="P155" s="2">
        <v>442.31</v>
      </c>
      <c r="Q155" s="2"/>
      <c r="R155" s="19">
        <f t="shared" si="14"/>
        <v>5.7527918969808087E-5</v>
      </c>
      <c r="S155" s="2"/>
      <c r="T155" s="2">
        <v>735.65</v>
      </c>
      <c r="U155" s="2"/>
      <c r="V155" s="19">
        <f t="shared" si="15"/>
        <v>8.6336990058413868E-5</v>
      </c>
      <c r="W155" s="2"/>
      <c r="X155" s="2">
        <f t="shared" si="16"/>
        <v>-293.33999999999997</v>
      </c>
      <c r="Y155" s="2"/>
      <c r="Z155" s="19">
        <f t="shared" si="17"/>
        <v>-0.39874940528784064</v>
      </c>
    </row>
    <row r="156" spans="1:26" s="24" customFormat="1" hidden="1" outlineLevel="1" x14ac:dyDescent="0.25">
      <c r="A156" s="44"/>
      <c r="B156" s="11" t="str">
        <f>CONCATENATE("          ", "5545", " - ", "FREIGHT-IN-SPECIAL ORDERS")</f>
        <v xml:space="preserve">          5545 - FREIGHT-IN-SPECIAL ORDERS</v>
      </c>
      <c r="C156" s="11"/>
      <c r="D156" s="2">
        <v>14.23</v>
      </c>
      <c r="E156" s="2"/>
      <c r="F156" s="19">
        <f t="shared" si="10"/>
        <v>6.5472538059225493E-6</v>
      </c>
      <c r="G156" s="2"/>
      <c r="H156" s="2">
        <v>120.96</v>
      </c>
      <c r="I156" s="2"/>
      <c r="J156" s="19">
        <f t="shared" si="11"/>
        <v>4.6378144685801347E-5</v>
      </c>
      <c r="K156" s="2"/>
      <c r="L156" s="2">
        <f t="shared" si="12"/>
        <v>-106.72999999999999</v>
      </c>
      <c r="M156" s="2"/>
      <c r="N156" s="19">
        <f t="shared" si="13"/>
        <v>-0.88235780423280419</v>
      </c>
      <c r="O156" s="11"/>
      <c r="P156" s="2">
        <v>841.9</v>
      </c>
      <c r="Q156" s="2"/>
      <c r="R156" s="19">
        <f t="shared" si="14"/>
        <v>1.0949957039334726E-4</v>
      </c>
      <c r="S156" s="2"/>
      <c r="T156" s="2">
        <v>1443.49</v>
      </c>
      <c r="U156" s="2"/>
      <c r="V156" s="19">
        <f t="shared" si="15"/>
        <v>1.6941015670416616E-4</v>
      </c>
      <c r="W156" s="2"/>
      <c r="X156" s="2">
        <f t="shared" si="16"/>
        <v>-601.59</v>
      </c>
      <c r="Y156" s="2"/>
      <c r="Z156" s="19">
        <f t="shared" si="17"/>
        <v>-0.41676076730701289</v>
      </c>
    </row>
    <row r="157" spans="1:26" s="24" customFormat="1" hidden="1" outlineLevel="1" x14ac:dyDescent="0.25">
      <c r="A157" s="44"/>
      <c r="B157" s="11" t="str">
        <f>CONCATENATE("          ", "5592", " - ", "FREIGHT-IN-GRAD MERCH")</f>
        <v xml:space="preserve">          5592 - FREIGHT-IN-GRAD MERCH</v>
      </c>
      <c r="C157" s="11"/>
      <c r="D157" s="2"/>
      <c r="E157" s="2"/>
      <c r="F157" s="19">
        <f t="shared" si="10"/>
        <v>0</v>
      </c>
      <c r="G157" s="2"/>
      <c r="H157" s="2"/>
      <c r="I157" s="2"/>
      <c r="J157" s="19">
        <f t="shared" si="11"/>
        <v>0</v>
      </c>
      <c r="K157" s="2"/>
      <c r="L157" s="2">
        <f t="shared" si="12"/>
        <v>0</v>
      </c>
      <c r="M157" s="2"/>
      <c r="N157" s="19">
        <f t="shared" si="13"/>
        <v>0</v>
      </c>
      <c r="O157" s="11"/>
      <c r="P157" s="2">
        <v>105.78</v>
      </c>
      <c r="Q157" s="2"/>
      <c r="R157" s="19">
        <f t="shared" si="14"/>
        <v>1.3758005174258551E-5</v>
      </c>
      <c r="S157" s="2"/>
      <c r="T157" s="2">
        <v>114.3</v>
      </c>
      <c r="U157" s="2"/>
      <c r="V157" s="19">
        <f t="shared" si="15"/>
        <v>1.3414419851392245E-5</v>
      </c>
      <c r="W157" s="2"/>
      <c r="X157" s="2">
        <f t="shared" si="16"/>
        <v>-8.519999999999996</v>
      </c>
      <c r="Y157" s="2"/>
      <c r="Z157" s="19">
        <f t="shared" si="17"/>
        <v>-7.4540682414698134E-2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10"/>
      <c r="B159" s="28" t="s">
        <v>6</v>
      </c>
      <c r="C159" s="28"/>
      <c r="D159" s="21">
        <f>D12-D107</f>
        <v>983907.90000000014</v>
      </c>
      <c r="E159" s="14"/>
      <c r="F159" s="22">
        <f>IF(D$12=0,0,D159/D$12)</f>
        <v>0.45269815481041914</v>
      </c>
      <c r="G159" s="14"/>
      <c r="H159" s="21">
        <f>H12-H107</f>
        <v>925510.12000000058</v>
      </c>
      <c r="I159" s="14"/>
      <c r="J159" s="22">
        <f>IF(H$12=0,0,H159/H$12)</f>
        <v>0.35485650011188324</v>
      </c>
      <c r="K159" s="16"/>
      <c r="L159" s="21">
        <f>+D159-H159</f>
        <v>58397.779999999562</v>
      </c>
      <c r="M159" s="16"/>
      <c r="N159" s="22">
        <f>IF(H159=0,0,L159/H159)</f>
        <v>6.3097937816173774E-2</v>
      </c>
      <c r="O159" s="29"/>
      <c r="P159" s="21">
        <f>P12-P107</f>
        <v>3278665.2499999944</v>
      </c>
      <c r="Q159" s="14"/>
      <c r="R159" s="22">
        <f>IF(P$12=0,0,P159/P$12)</f>
        <v>0.4264312107597053</v>
      </c>
      <c r="S159" s="14"/>
      <c r="T159" s="21">
        <f>T12-T107</f>
        <v>3275701.5799999973</v>
      </c>
      <c r="U159" s="14"/>
      <c r="V159" s="22">
        <f>IF(T$12=0,0,T159/T$12)</f>
        <v>0.38444126248459237</v>
      </c>
      <c r="W159" s="16"/>
      <c r="X159" s="21">
        <f>+P159-T159</f>
        <v>2963.6699999971315</v>
      </c>
      <c r="Y159" s="16"/>
      <c r="Z159" s="22">
        <f>IF(T159=0,0,X159/T159)</f>
        <v>9.0474358778345554E-4</v>
      </c>
    </row>
    <row r="160" spans="1:26" x14ac:dyDescent="0.25">
      <c r="A160" s="9"/>
      <c r="B160" s="10"/>
      <c r="C160" s="9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x14ac:dyDescent="0.25">
      <c r="A161" s="10"/>
      <c r="B161" s="29" t="s">
        <v>9</v>
      </c>
      <c r="C161" s="10"/>
      <c r="D161" s="20">
        <f>SUM(OSRRefD22x_0)</f>
        <v>469995.02000000014</v>
      </c>
      <c r="E161" s="20"/>
      <c r="F161" s="32">
        <f t="shared" ref="F161:F171" si="18">IF(D$12=0,0,D161/D$12)</f>
        <v>0.21624572617425478</v>
      </c>
      <c r="G161" s="20"/>
      <c r="H161" s="20">
        <f>SUM(OSRRefH22x_0)</f>
        <v>495947.59999999992</v>
      </c>
      <c r="I161" s="20"/>
      <c r="J161" s="32">
        <f t="shared" ref="J161:J171" si="19">IF(H$12=0,0,H161/H$12)</f>
        <v>0.19015484085132217</v>
      </c>
      <c r="K161" s="4"/>
      <c r="L161" s="20">
        <f t="shared" ref="L161:L171" si="20">+D161-H161</f>
        <v>-25952.579999999783</v>
      </c>
      <c r="M161" s="4"/>
      <c r="N161" s="32">
        <f t="shared" ref="N161:N171" si="21">IF(H161=0,0,L161/H161)</f>
        <v>-5.2329278335049481E-2</v>
      </c>
      <c r="O161" s="10"/>
      <c r="P161" s="20">
        <f>SUM(OSRRefP22x_0)</f>
        <v>2710081.4000000004</v>
      </c>
      <c r="Q161" s="20"/>
      <c r="R161" s="32">
        <f t="shared" ref="R161:R171" si="22">IF(P$12=0,0,P161/P$12)</f>
        <v>0.3524798064271305</v>
      </c>
      <c r="S161" s="20"/>
      <c r="T161" s="20">
        <f>SUM(OSRRefT22x_0)</f>
        <v>2834807.45</v>
      </c>
      <c r="U161" s="20"/>
      <c r="V161" s="32">
        <f t="shared" ref="V161:V171" si="23">IF(T$12=0,0,T161/T$12)</f>
        <v>0.33269726449829073</v>
      </c>
      <c r="W161" s="4"/>
      <c r="X161" s="20">
        <f t="shared" ref="X161:X171" si="24">+P161-T161</f>
        <v>-124726.04999999981</v>
      </c>
      <c r="Y161" s="4"/>
      <c r="Z161" s="32">
        <f t="shared" ref="Z161:Z171" si="25">IF(T161=0,0,X161/T161)</f>
        <v>-4.3998067664172323E-2</v>
      </c>
    </row>
    <row r="162" spans="1:26" s="26" customFormat="1" outlineLevel="1" collapsed="1" x14ac:dyDescent="0.25">
      <c r="A162" s="27"/>
      <c r="B162" s="13" t="str">
        <f>CONCATENATE("     ","*Benefits                                         ")</f>
        <v xml:space="preserve">     *Benefits                                         </v>
      </c>
      <c r="C162" s="13"/>
      <c r="D162" s="1">
        <f>SUM(OSRRefD22_0x_0)</f>
        <v>48144.320000000007</v>
      </c>
      <c r="E162" s="1"/>
      <c r="F162" s="5">
        <f t="shared" si="18"/>
        <v>2.2151305857593336E-2</v>
      </c>
      <c r="G162" s="1"/>
      <c r="H162" s="1">
        <f>SUM(OSRRefH22_0x_0)</f>
        <v>55156.63</v>
      </c>
      <c r="I162" s="1"/>
      <c r="J162" s="5">
        <f t="shared" si="19"/>
        <v>2.1148000715287791E-2</v>
      </c>
      <c r="K162" s="1"/>
      <c r="L162" s="1">
        <f t="shared" si="20"/>
        <v>-7012.3099999999904</v>
      </c>
      <c r="M162" s="1"/>
      <c r="N162" s="5">
        <f t="shared" si="21"/>
        <v>-0.12713448954368661</v>
      </c>
      <c r="O162" s="13"/>
      <c r="P162" s="1">
        <f>SUM(OSRRefP22_0x_0)</f>
        <v>349890.69</v>
      </c>
      <c r="Q162" s="1"/>
      <c r="R162" s="5">
        <f t="shared" si="22"/>
        <v>4.5507637771269566E-2</v>
      </c>
      <c r="S162" s="1"/>
      <c r="T162" s="1">
        <f>SUM(OSRRefT22_0x_0)</f>
        <v>367988.02</v>
      </c>
      <c r="U162" s="1"/>
      <c r="V162" s="5">
        <f t="shared" si="23"/>
        <v>4.3187627301509421E-2</v>
      </c>
      <c r="W162" s="1"/>
      <c r="X162" s="1">
        <f t="shared" si="24"/>
        <v>-18097.330000000016</v>
      </c>
      <c r="Y162" s="1"/>
      <c r="Z162" s="5">
        <f t="shared" si="25"/>
        <v>-4.9179128168357261E-2</v>
      </c>
    </row>
    <row r="163" spans="1:26" s="24" customFormat="1" hidden="1" outlineLevel="2" x14ac:dyDescent="0.25">
      <c r="A163" s="25"/>
      <c r="B163" s="11" t="str">
        <f>CONCATENATE("          ", "6111", " - ", "F.I.C.A.")</f>
        <v xml:space="preserve">          6111 - F.I.C.A.</v>
      </c>
      <c r="C163" s="11"/>
      <c r="D163" s="6">
        <v>7050.15</v>
      </c>
      <c r="E163" s="2"/>
      <c r="F163" s="7">
        <f t="shared" si="18"/>
        <v>3.243789277570264E-3</v>
      </c>
      <c r="G163" s="2"/>
      <c r="H163" s="6">
        <v>7855.08</v>
      </c>
      <c r="I163" s="2"/>
      <c r="J163" s="7">
        <f t="shared" si="19"/>
        <v>3.0117727906625699E-3</v>
      </c>
      <c r="K163" s="2"/>
      <c r="L163" s="6">
        <f t="shared" si="20"/>
        <v>-804.93000000000029</v>
      </c>
      <c r="M163" s="2"/>
      <c r="N163" s="7">
        <f t="shared" si="21"/>
        <v>-0.10247254006324573</v>
      </c>
      <c r="O163" s="11"/>
      <c r="P163" s="6">
        <v>67610.349999999991</v>
      </c>
      <c r="Q163" s="2"/>
      <c r="R163" s="7">
        <f t="shared" si="22"/>
        <v>8.7935672635037956E-3</v>
      </c>
      <c r="S163" s="2"/>
      <c r="T163" s="6">
        <v>69315.090000000011</v>
      </c>
      <c r="U163" s="2"/>
      <c r="V163" s="7">
        <f t="shared" si="23"/>
        <v>8.1349231784517955E-3</v>
      </c>
      <c r="W163" s="2"/>
      <c r="X163" s="6">
        <f t="shared" si="24"/>
        <v>-1704.7400000000198</v>
      </c>
      <c r="Y163" s="2"/>
      <c r="Z163" s="7">
        <f t="shared" si="25"/>
        <v>-2.4594067467848913E-2</v>
      </c>
    </row>
    <row r="164" spans="1:26" s="24" customFormat="1" hidden="1" outlineLevel="2" x14ac:dyDescent="0.25">
      <c r="A164" s="25"/>
      <c r="B164" s="11" t="str">
        <f>CONCATENATE("          ", "6112", " - ", "COMPENSATION INSURANCE")</f>
        <v xml:space="preserve">          6112 - COMPENSATION INSURANCE</v>
      </c>
      <c r="C164" s="11"/>
      <c r="D164" s="6">
        <v>3511.82</v>
      </c>
      <c r="E164" s="2"/>
      <c r="F164" s="7">
        <f t="shared" si="18"/>
        <v>1.6157959845899458E-3</v>
      </c>
      <c r="G164" s="2"/>
      <c r="H164" s="6">
        <v>2037.66</v>
      </c>
      <c r="I164" s="2"/>
      <c r="J164" s="7">
        <f t="shared" si="19"/>
        <v>7.8127389467981133E-4</v>
      </c>
      <c r="K164" s="2"/>
      <c r="L164" s="6">
        <f t="shared" si="20"/>
        <v>1474.16</v>
      </c>
      <c r="M164" s="2"/>
      <c r="N164" s="7">
        <f t="shared" si="21"/>
        <v>0.72345729905872425</v>
      </c>
      <c r="O164" s="11"/>
      <c r="P164" s="6">
        <v>16961.62</v>
      </c>
      <c r="Q164" s="2"/>
      <c r="R164" s="7">
        <f t="shared" si="22"/>
        <v>2.2060697270165183E-3</v>
      </c>
      <c r="S164" s="2"/>
      <c r="T164" s="6">
        <v>12746.99</v>
      </c>
      <c r="U164" s="2"/>
      <c r="V164" s="7">
        <f t="shared" si="23"/>
        <v>1.4960059116491552E-3</v>
      </c>
      <c r="W164" s="2"/>
      <c r="X164" s="6">
        <f t="shared" si="24"/>
        <v>4214.6299999999992</v>
      </c>
      <c r="Y164" s="2"/>
      <c r="Z164" s="7">
        <f t="shared" si="25"/>
        <v>0.33063727201480503</v>
      </c>
    </row>
    <row r="165" spans="1:26" s="24" customFormat="1" hidden="1" outlineLevel="2" x14ac:dyDescent="0.25">
      <c r="A165" s="25"/>
      <c r="B165" s="11" t="str">
        <f>CONCATENATE("          ", "6113", " - ", "GROUP INSURANCE")</f>
        <v xml:space="preserve">          6113 - GROUP INSURANCE</v>
      </c>
      <c r="C165" s="11"/>
      <c r="D165" s="6">
        <v>17435.190000000002</v>
      </c>
      <c r="E165" s="2"/>
      <c r="F165" s="7">
        <f t="shared" si="18"/>
        <v>8.0219686637022346E-3</v>
      </c>
      <c r="G165" s="2"/>
      <c r="H165" s="6">
        <v>19708.969999999998</v>
      </c>
      <c r="I165" s="2"/>
      <c r="J165" s="7">
        <f t="shared" si="19"/>
        <v>7.5567581206028283E-3</v>
      </c>
      <c r="K165" s="2"/>
      <c r="L165" s="6">
        <f t="shared" si="20"/>
        <v>-2273.7799999999952</v>
      </c>
      <c r="M165" s="2"/>
      <c r="N165" s="7">
        <f t="shared" si="21"/>
        <v>-0.11536777416577303</v>
      </c>
      <c r="O165" s="11"/>
      <c r="P165" s="6">
        <v>128355.12000000001</v>
      </c>
      <c r="Q165" s="2"/>
      <c r="R165" s="7">
        <f t="shared" si="22"/>
        <v>1.6694180422599521E-2</v>
      </c>
      <c r="S165" s="2"/>
      <c r="T165" s="6">
        <v>134872.64000000001</v>
      </c>
      <c r="U165" s="2"/>
      <c r="V165" s="7">
        <f t="shared" si="23"/>
        <v>1.5828855812998074E-2</v>
      </c>
      <c r="W165" s="2"/>
      <c r="X165" s="6">
        <f t="shared" si="24"/>
        <v>-6517.5200000000041</v>
      </c>
      <c r="Y165" s="2"/>
      <c r="Z165" s="7">
        <f t="shared" si="25"/>
        <v>-4.8323514687634225E-2</v>
      </c>
    </row>
    <row r="166" spans="1:26" s="24" customFormat="1" hidden="1" outlineLevel="2" x14ac:dyDescent="0.25">
      <c r="A166" s="25"/>
      <c r="B166" s="11" t="str">
        <f>CONCATENATE("          ", "6114", " - ", "STATE UNEMPLOYMENT INSURANCE")</f>
        <v xml:space="preserve">          6114 - STATE UNEMPLOYMENT INSURANCE</v>
      </c>
      <c r="C166" s="11"/>
      <c r="D166" s="6">
        <v>556.9</v>
      </c>
      <c r="E166" s="2"/>
      <c r="F166" s="7">
        <f t="shared" si="18"/>
        <v>2.5623089560915442E-4</v>
      </c>
      <c r="G166" s="2"/>
      <c r="H166" s="6">
        <v>552.28</v>
      </c>
      <c r="I166" s="2"/>
      <c r="J166" s="7">
        <f t="shared" si="19"/>
        <v>2.1175365200954338E-4</v>
      </c>
      <c r="K166" s="2"/>
      <c r="L166" s="6">
        <f t="shared" si="20"/>
        <v>4.6200000000000045</v>
      </c>
      <c r="M166" s="2"/>
      <c r="N166" s="7">
        <f t="shared" si="21"/>
        <v>8.3653219381473257E-3</v>
      </c>
      <c r="O166" s="11"/>
      <c r="P166" s="6">
        <v>3514.07</v>
      </c>
      <c r="Q166" s="2"/>
      <c r="R166" s="7">
        <f t="shared" si="22"/>
        <v>4.5704852753551472E-4</v>
      </c>
      <c r="S166" s="2"/>
      <c r="T166" s="6">
        <v>3581.01</v>
      </c>
      <c r="U166" s="2"/>
      <c r="V166" s="7">
        <f t="shared" si="23"/>
        <v>4.2027271769058748E-4</v>
      </c>
      <c r="W166" s="2"/>
      <c r="X166" s="6">
        <f t="shared" si="24"/>
        <v>-66.940000000000055</v>
      </c>
      <c r="Y166" s="2"/>
      <c r="Z166" s="7">
        <f t="shared" si="25"/>
        <v>-1.8693050284696231E-2</v>
      </c>
    </row>
    <row r="167" spans="1:26" s="24" customFormat="1" hidden="1" outlineLevel="2" x14ac:dyDescent="0.25">
      <c r="A167" s="25"/>
      <c r="B167" s="11" t="str">
        <f>CONCATENATE("          ", "6115", " - ", "P.E.R.S.")</f>
        <v xml:space="preserve">          6115 - P.E.R.S.</v>
      </c>
      <c r="C167" s="11"/>
      <c r="D167" s="6">
        <v>8904.76</v>
      </c>
      <c r="E167" s="2"/>
      <c r="F167" s="7">
        <f t="shared" si="18"/>
        <v>4.0970993535366746E-3</v>
      </c>
      <c r="G167" s="2"/>
      <c r="H167" s="6">
        <v>8491.16</v>
      </c>
      <c r="I167" s="2"/>
      <c r="J167" s="7">
        <f t="shared" si="19"/>
        <v>3.2556568041525215E-3</v>
      </c>
      <c r="K167" s="2"/>
      <c r="L167" s="6">
        <f t="shared" si="20"/>
        <v>413.60000000000036</v>
      </c>
      <c r="M167" s="2"/>
      <c r="N167" s="7">
        <f t="shared" si="21"/>
        <v>4.8709481390057471E-2</v>
      </c>
      <c r="O167" s="11"/>
      <c r="P167" s="6">
        <v>50671.8</v>
      </c>
      <c r="Q167" s="2"/>
      <c r="R167" s="7">
        <f t="shared" si="22"/>
        <v>6.5904980770371945E-3</v>
      </c>
      <c r="S167" s="2"/>
      <c r="T167" s="6">
        <v>49339.360000000001</v>
      </c>
      <c r="U167" s="2"/>
      <c r="V167" s="7">
        <f t="shared" si="23"/>
        <v>5.7905414719071615E-3</v>
      </c>
      <c r="W167" s="2"/>
      <c r="X167" s="6">
        <f t="shared" si="24"/>
        <v>1332.4400000000023</v>
      </c>
      <c r="Y167" s="2"/>
      <c r="Z167" s="7">
        <f t="shared" si="25"/>
        <v>2.7005619854007071E-2</v>
      </c>
    </row>
    <row r="168" spans="1:26" s="24" customFormat="1" hidden="1" outlineLevel="2" x14ac:dyDescent="0.25">
      <c r="A168" s="25"/>
      <c r="B168" s="11" t="str">
        <f>CONCATENATE("          ", "6117", " - ", "RETIREMENT STAFF HOURLY")</f>
        <v xml:space="preserve">          6117 - RETIREMENT STAFF HOURLY</v>
      </c>
      <c r="C168" s="11"/>
      <c r="D168" s="6">
        <v>213.49</v>
      </c>
      <c r="E168" s="2"/>
      <c r="F168" s="7">
        <f t="shared" si="18"/>
        <v>9.8227211175432548E-5</v>
      </c>
      <c r="G168" s="2"/>
      <c r="H168" s="6">
        <v>279.47000000000003</v>
      </c>
      <c r="I168" s="2"/>
      <c r="J168" s="7">
        <f t="shared" si="19"/>
        <v>1.0715360528555643E-4</v>
      </c>
      <c r="K168" s="2"/>
      <c r="L168" s="6">
        <f t="shared" si="20"/>
        <v>-65.980000000000018</v>
      </c>
      <c r="M168" s="2"/>
      <c r="N168" s="7">
        <f t="shared" si="21"/>
        <v>-0.23608974129602467</v>
      </c>
      <c r="O168" s="11"/>
      <c r="P168" s="6">
        <v>952.23</v>
      </c>
      <c r="Q168" s="2"/>
      <c r="R168" s="7">
        <f t="shared" si="22"/>
        <v>1.2384935968126506E-4</v>
      </c>
      <c r="S168" s="2"/>
      <c r="T168" s="6">
        <v>2022.1</v>
      </c>
      <c r="U168" s="2"/>
      <c r="V168" s="7">
        <f t="shared" si="23"/>
        <v>2.3731669625109587E-4</v>
      </c>
      <c r="W168" s="2"/>
      <c r="X168" s="6">
        <f t="shared" si="24"/>
        <v>-1069.8699999999999</v>
      </c>
      <c r="Y168" s="2"/>
      <c r="Z168" s="7">
        <f t="shared" si="25"/>
        <v>-0.5290885712872756</v>
      </c>
    </row>
    <row r="169" spans="1:26" s="24" customFormat="1" hidden="1" outlineLevel="2" x14ac:dyDescent="0.25">
      <c r="A169" s="25"/>
      <c r="B169" s="11" t="str">
        <f>CONCATENATE("          ", "6118", " - ", "VACATION")</f>
        <v xml:space="preserve">          6118 - VACATION</v>
      </c>
      <c r="C169" s="11"/>
      <c r="D169" s="6">
        <v>4317.5</v>
      </c>
      <c r="E169" s="2"/>
      <c r="F169" s="7">
        <f t="shared" si="18"/>
        <v>1.9864910967723548E-3</v>
      </c>
      <c r="G169" s="2"/>
      <c r="H169" s="6">
        <v>7117.47</v>
      </c>
      <c r="I169" s="2"/>
      <c r="J169" s="7">
        <f t="shared" si="19"/>
        <v>2.7289604287107352E-3</v>
      </c>
      <c r="K169" s="2"/>
      <c r="L169" s="6">
        <f t="shared" si="20"/>
        <v>-2799.9700000000003</v>
      </c>
      <c r="M169" s="2"/>
      <c r="N169" s="7">
        <f t="shared" si="21"/>
        <v>-0.3933940009582057</v>
      </c>
      <c r="O169" s="11"/>
      <c r="P169" s="6">
        <v>37958.800000000003</v>
      </c>
      <c r="Q169" s="2"/>
      <c r="R169" s="7">
        <f t="shared" si="22"/>
        <v>4.9370142447404571E-3</v>
      </c>
      <c r="S169" s="2"/>
      <c r="T169" s="6">
        <v>45308.2</v>
      </c>
      <c r="U169" s="2"/>
      <c r="V169" s="7">
        <f t="shared" si="23"/>
        <v>5.3174384734107618E-3</v>
      </c>
      <c r="W169" s="2"/>
      <c r="X169" s="6">
        <f t="shared" si="24"/>
        <v>-7349.3999999999942</v>
      </c>
      <c r="Y169" s="2"/>
      <c r="Z169" s="7">
        <f t="shared" si="25"/>
        <v>-0.16220904825175123</v>
      </c>
    </row>
    <row r="170" spans="1:26" s="24" customFormat="1" hidden="1" outlineLevel="2" x14ac:dyDescent="0.25">
      <c r="A170" s="25"/>
      <c r="B170" s="11" t="str">
        <f>CONCATENATE("          ", "6119", " - ", "SICK LEAVE")</f>
        <v xml:space="preserve">          6119 - SICK LEAVE</v>
      </c>
      <c r="C170" s="11"/>
      <c r="D170" s="6">
        <v>3376.33</v>
      </c>
      <c r="E170" s="2"/>
      <c r="F170" s="7">
        <f t="shared" si="18"/>
        <v>1.5534567422734E-3</v>
      </c>
      <c r="G170" s="2"/>
      <c r="H170" s="6">
        <v>6893.97</v>
      </c>
      <c r="I170" s="2"/>
      <c r="J170" s="7">
        <f t="shared" si="19"/>
        <v>2.6432666841895995E-3</v>
      </c>
      <c r="K170" s="2"/>
      <c r="L170" s="6">
        <f t="shared" si="20"/>
        <v>-3517.6400000000003</v>
      </c>
      <c r="M170" s="2"/>
      <c r="N170" s="7">
        <f t="shared" si="21"/>
        <v>-0.51024881164263847</v>
      </c>
      <c r="O170" s="11"/>
      <c r="P170" s="6">
        <v>29565.58</v>
      </c>
      <c r="Q170" s="2"/>
      <c r="R170" s="7">
        <f t="shared" si="22"/>
        <v>3.8453715505762445E-3</v>
      </c>
      <c r="S170" s="2"/>
      <c r="T170" s="6">
        <v>36151.910000000003</v>
      </c>
      <c r="U170" s="2"/>
      <c r="V170" s="7">
        <f t="shared" si="23"/>
        <v>4.2428425124212236E-3</v>
      </c>
      <c r="W170" s="2"/>
      <c r="X170" s="6">
        <f t="shared" si="24"/>
        <v>-6586.3300000000017</v>
      </c>
      <c r="Y170" s="2"/>
      <c r="Z170" s="7">
        <f t="shared" si="25"/>
        <v>-0.18218484168609628</v>
      </c>
    </row>
    <row r="171" spans="1:26" s="24" customFormat="1" hidden="1" outlineLevel="2" x14ac:dyDescent="0.25">
      <c r="A171" s="25"/>
      <c r="B171" s="11" t="str">
        <f>CONCATENATE("          ", "6156", " - ", "EMPLOYEE MEALS")</f>
        <v xml:space="preserve">          6156 - EMPLOYEE MEALS</v>
      </c>
      <c r="C171" s="11"/>
      <c r="D171" s="6">
        <v>2778.18</v>
      </c>
      <c r="E171" s="2"/>
      <c r="F171" s="7">
        <f t="shared" si="18"/>
        <v>1.2782466323638727E-3</v>
      </c>
      <c r="G171" s="2"/>
      <c r="H171" s="6">
        <v>2220.5700000000002</v>
      </c>
      <c r="I171" s="2"/>
      <c r="J171" s="7">
        <f t="shared" si="19"/>
        <v>8.5140473499462565E-4</v>
      </c>
      <c r="K171" s="2"/>
      <c r="L171" s="6">
        <f t="shared" si="20"/>
        <v>557.60999999999967</v>
      </c>
      <c r="M171" s="2"/>
      <c r="N171" s="7">
        <f t="shared" si="21"/>
        <v>0.25111120117807573</v>
      </c>
      <c r="O171" s="11"/>
      <c r="P171" s="6">
        <v>14301.12</v>
      </c>
      <c r="Q171" s="2"/>
      <c r="R171" s="7">
        <f t="shared" si="22"/>
        <v>1.8600385985790551E-3</v>
      </c>
      <c r="S171" s="2"/>
      <c r="T171" s="6">
        <v>14650.72</v>
      </c>
      <c r="U171" s="2"/>
      <c r="V171" s="7">
        <f t="shared" si="23"/>
        <v>1.7194305267295661E-3</v>
      </c>
      <c r="W171" s="2"/>
      <c r="X171" s="6">
        <f t="shared" si="24"/>
        <v>-349.59999999999854</v>
      </c>
      <c r="Y171" s="2"/>
      <c r="Z171" s="7">
        <f t="shared" si="25"/>
        <v>-2.3862308473576628E-2</v>
      </c>
    </row>
    <row r="172" spans="1:26" s="26" customFormat="1" outlineLevel="1" collapsed="1" x14ac:dyDescent="0.25">
      <c r="A172" s="27"/>
      <c r="B172" s="13" t="str">
        <f>CONCATENATE("     ","*Payroll                                          ")</f>
        <v xml:space="preserve">     *Payroll                                          </v>
      </c>
      <c r="C172" s="13"/>
      <c r="D172" s="1">
        <f>SUM(OSRRefD22_1x_0)</f>
        <v>267287.26</v>
      </c>
      <c r="E172" s="1"/>
      <c r="F172" s="5">
        <f t="shared" ref="F172:F179" si="26">IF(D$12=0,0,D172/D$12)</f>
        <v>0.12297944696483556</v>
      </c>
      <c r="G172" s="1"/>
      <c r="H172" s="1">
        <f>SUM(OSRRefH22_1x_0)</f>
        <v>259598.48</v>
      </c>
      <c r="I172" s="1"/>
      <c r="J172" s="5">
        <f t="shared" ref="J172:J179" si="27">IF(H$12=0,0,H172/H$12)</f>
        <v>9.9534522698860026E-2</v>
      </c>
      <c r="K172" s="1"/>
      <c r="L172" s="1">
        <f t="shared" ref="L172:L179" si="28">+D172-H172</f>
        <v>7688.7799999999988</v>
      </c>
      <c r="M172" s="1"/>
      <c r="N172" s="5">
        <f t="shared" ref="N172:N179" si="29">IF(H172=0,0,L172/H172)</f>
        <v>2.9617970028175813E-2</v>
      </c>
      <c r="O172" s="13"/>
      <c r="P172" s="1">
        <f>SUM(OSRRefP22_1x_0)</f>
        <v>1302058.4099999999</v>
      </c>
      <c r="Q172" s="1"/>
      <c r="R172" s="5">
        <f t="shared" ref="R172:R179" si="30">IF(P$12=0,0,P172/P$12)</f>
        <v>0.16934889716361184</v>
      </c>
      <c r="S172" s="1"/>
      <c r="T172" s="1">
        <f>SUM(OSRRefT22_1x_0)</f>
        <v>1250385.8</v>
      </c>
      <c r="U172" s="1"/>
      <c r="V172" s="5">
        <f t="shared" ref="V172:V179" si="31">IF(T$12=0,0,T172/T$12)</f>
        <v>0.14674715745773381</v>
      </c>
      <c r="W172" s="1"/>
      <c r="X172" s="1">
        <f t="shared" ref="X172:X179" si="32">+P172-T172</f>
        <v>51672.60999999987</v>
      </c>
      <c r="Y172" s="1"/>
      <c r="Z172" s="5">
        <f t="shared" ref="Z172:Z179" si="33">IF(T172=0,0,X172/T172)</f>
        <v>4.132533334911502E-2</v>
      </c>
    </row>
    <row r="173" spans="1:26" s="24" customFormat="1" hidden="1" outlineLevel="2" x14ac:dyDescent="0.25">
      <c r="A173" s="25"/>
      <c r="B173" s="11" t="str">
        <f>CONCATENATE("          ", "6001", " - ", "ADMINISTRATIVE SALARIES")</f>
        <v xml:space="preserve">          6001 - ADMINISTRATIVE SALARIES</v>
      </c>
      <c r="C173" s="11"/>
      <c r="D173" s="6">
        <v>12324.43</v>
      </c>
      <c r="E173" s="2"/>
      <c r="F173" s="7">
        <f t="shared" si="26"/>
        <v>5.6704969236349998E-3</v>
      </c>
      <c r="G173" s="2"/>
      <c r="H173" s="6">
        <v>10925</v>
      </c>
      <c r="I173" s="2"/>
      <c r="J173" s="7">
        <f t="shared" si="27"/>
        <v>4.1888329256975837E-3</v>
      </c>
      <c r="K173" s="2"/>
      <c r="L173" s="6">
        <f t="shared" si="28"/>
        <v>1399.4300000000003</v>
      </c>
      <c r="M173" s="2"/>
      <c r="N173" s="7">
        <f t="shared" si="29"/>
        <v>0.12809427917620139</v>
      </c>
      <c r="O173" s="11"/>
      <c r="P173" s="6">
        <v>79306.540000000008</v>
      </c>
      <c r="Q173" s="2"/>
      <c r="R173" s="7">
        <f t="shared" si="30"/>
        <v>1.0314802303578586E-2</v>
      </c>
      <c r="S173" s="2"/>
      <c r="T173" s="6">
        <v>78037.25</v>
      </c>
      <c r="U173" s="2"/>
      <c r="V173" s="7">
        <f t="shared" si="31"/>
        <v>9.1585689899217806E-3</v>
      </c>
      <c r="W173" s="2"/>
      <c r="X173" s="6">
        <f t="shared" si="32"/>
        <v>1269.2900000000081</v>
      </c>
      <c r="Y173" s="2"/>
      <c r="Z173" s="7">
        <f t="shared" si="33"/>
        <v>1.6265181051356988E-2</v>
      </c>
    </row>
    <row r="174" spans="1:26" s="24" customFormat="1" hidden="1" outlineLevel="2" x14ac:dyDescent="0.25">
      <c r="A174" s="25"/>
      <c r="B174" s="11" t="str">
        <f>CONCATENATE("          ", "6002", " - ", "STAFF SALARIES")</f>
        <v xml:space="preserve">          6002 - STAFF SALARIES</v>
      </c>
      <c r="C174" s="11"/>
      <c r="D174" s="6">
        <v>67079.87</v>
      </c>
      <c r="E174" s="2"/>
      <c r="F174" s="7">
        <f t="shared" si="26"/>
        <v>3.0863593405361194E-2</v>
      </c>
      <c r="G174" s="2"/>
      <c r="H174" s="6">
        <v>69254.95</v>
      </c>
      <c r="I174" s="2"/>
      <c r="J174" s="7">
        <f t="shared" si="27"/>
        <v>2.6553539114648958E-2</v>
      </c>
      <c r="K174" s="2"/>
      <c r="L174" s="6">
        <f t="shared" si="28"/>
        <v>-2175.0800000000017</v>
      </c>
      <c r="M174" s="2"/>
      <c r="N174" s="7">
        <f t="shared" si="29"/>
        <v>-3.1406852506571756E-2</v>
      </c>
      <c r="O174" s="11"/>
      <c r="P174" s="6">
        <v>416563.19</v>
      </c>
      <c r="Q174" s="2"/>
      <c r="R174" s="7">
        <f t="shared" si="30"/>
        <v>5.4179225973016144E-2</v>
      </c>
      <c r="S174" s="2"/>
      <c r="T174" s="6">
        <v>397968.44</v>
      </c>
      <c r="U174" s="2"/>
      <c r="V174" s="7">
        <f t="shared" si="31"/>
        <v>4.6706174468622956E-2</v>
      </c>
      <c r="W174" s="2"/>
      <c r="X174" s="6">
        <f t="shared" si="32"/>
        <v>18594.75</v>
      </c>
      <c r="Y174" s="2"/>
      <c r="Z174" s="7">
        <f t="shared" si="33"/>
        <v>4.6724182450246558E-2</v>
      </c>
    </row>
    <row r="175" spans="1:26" s="24" customFormat="1" hidden="1" outlineLevel="2" x14ac:dyDescent="0.25">
      <c r="A175" s="25"/>
      <c r="B175" s="11" t="str">
        <f>CONCATENATE("          ", "6004", " - ", "STAFF HOURLY")</f>
        <v xml:space="preserve">          6004 - STAFF HOURLY</v>
      </c>
      <c r="C175" s="11"/>
      <c r="D175" s="6">
        <v>4901.03</v>
      </c>
      <c r="E175" s="2"/>
      <c r="F175" s="7">
        <f t="shared" si="26"/>
        <v>2.2549745130316648E-3</v>
      </c>
      <c r="G175" s="2"/>
      <c r="H175" s="6">
        <v>6782.19</v>
      </c>
      <c r="I175" s="2"/>
      <c r="J175" s="7">
        <f t="shared" si="27"/>
        <v>2.6004083094129881E-3</v>
      </c>
      <c r="K175" s="2"/>
      <c r="L175" s="6">
        <f t="shared" si="28"/>
        <v>-1881.1599999999999</v>
      </c>
      <c r="M175" s="2"/>
      <c r="N175" s="7">
        <f t="shared" si="29"/>
        <v>-0.27736763493797728</v>
      </c>
      <c r="O175" s="11"/>
      <c r="P175" s="6">
        <v>20845.27</v>
      </c>
      <c r="Q175" s="2"/>
      <c r="R175" s="7">
        <f t="shared" si="30"/>
        <v>2.7111867320742723E-3</v>
      </c>
      <c r="S175" s="2"/>
      <c r="T175" s="6">
        <v>42650.990000000005</v>
      </c>
      <c r="U175" s="2"/>
      <c r="V175" s="7">
        <f t="shared" si="31"/>
        <v>5.0055843126643237E-3</v>
      </c>
      <c r="W175" s="2"/>
      <c r="X175" s="6">
        <f t="shared" si="32"/>
        <v>-21805.720000000005</v>
      </c>
      <c r="Y175" s="2"/>
      <c r="Z175" s="7">
        <f t="shared" si="33"/>
        <v>-0.51125941039117739</v>
      </c>
    </row>
    <row r="176" spans="1:26" s="24" customFormat="1" hidden="1" outlineLevel="2" x14ac:dyDescent="0.25">
      <c r="A176" s="25"/>
      <c r="B176" s="11" t="str">
        <f>CONCATENATE("          ", "6005", " - ", "TEMPORARY WAGES-HOURLY")</f>
        <v xml:space="preserve">          6005 - TEMPORARY WAGES-HOURLY</v>
      </c>
      <c r="C176" s="11"/>
      <c r="D176" s="6">
        <v>19670.46</v>
      </c>
      <c r="E176" s="2"/>
      <c r="F176" s="7">
        <f t="shared" si="26"/>
        <v>9.0504212297433072E-3</v>
      </c>
      <c r="G176" s="2"/>
      <c r="H176" s="6">
        <v>23052.550000000003</v>
      </c>
      <c r="I176" s="2"/>
      <c r="J176" s="7">
        <f t="shared" si="27"/>
        <v>8.838744206983053E-3</v>
      </c>
      <c r="K176" s="2"/>
      <c r="L176" s="6">
        <f t="shared" si="28"/>
        <v>-3382.0900000000038</v>
      </c>
      <c r="M176" s="2"/>
      <c r="N176" s="7">
        <f t="shared" si="29"/>
        <v>-0.14671218585362589</v>
      </c>
      <c r="O176" s="11"/>
      <c r="P176" s="6">
        <v>127875.18000000001</v>
      </c>
      <c r="Q176" s="2"/>
      <c r="R176" s="7">
        <f t="shared" si="30"/>
        <v>1.6631758253916086E-2</v>
      </c>
      <c r="S176" s="2"/>
      <c r="T176" s="6">
        <v>136269.63</v>
      </c>
      <c r="U176" s="2"/>
      <c r="V176" s="7">
        <f t="shared" si="31"/>
        <v>1.5992808659788943E-2</v>
      </c>
      <c r="W176" s="2"/>
      <c r="X176" s="6">
        <f t="shared" si="32"/>
        <v>-8394.4499999999971</v>
      </c>
      <c r="Y176" s="2"/>
      <c r="Z176" s="7">
        <f t="shared" si="33"/>
        <v>-6.1601767026152464E-2</v>
      </c>
    </row>
    <row r="177" spans="1:26" s="24" customFormat="1" hidden="1" outlineLevel="2" x14ac:dyDescent="0.25">
      <c r="A177" s="25"/>
      <c r="B177" s="11" t="str">
        <f>CONCATENATE("          ", "6006", " - ", "TEMPORARY PART TIME")</f>
        <v xml:space="preserve">          6006 - TEMPORARY PART TIME</v>
      </c>
      <c r="C177" s="11"/>
      <c r="D177" s="6">
        <v>1012.12</v>
      </c>
      <c r="E177" s="2"/>
      <c r="F177" s="7">
        <f t="shared" si="26"/>
        <v>4.65678603095596E-4</v>
      </c>
      <c r="G177" s="2"/>
      <c r="H177" s="6">
        <v>3953.5</v>
      </c>
      <c r="I177" s="2"/>
      <c r="J177" s="7">
        <f t="shared" si="27"/>
        <v>1.5158399058805856E-3</v>
      </c>
      <c r="K177" s="2"/>
      <c r="L177" s="6">
        <f t="shared" si="28"/>
        <v>-2941.38</v>
      </c>
      <c r="M177" s="2"/>
      <c r="N177" s="7">
        <f t="shared" si="29"/>
        <v>-0.74399392942961939</v>
      </c>
      <c r="O177" s="11"/>
      <c r="P177" s="6">
        <v>21519.870000000003</v>
      </c>
      <c r="Q177" s="2"/>
      <c r="R177" s="7">
        <f t="shared" si="30"/>
        <v>2.7989268558269182E-3</v>
      </c>
      <c r="S177" s="2"/>
      <c r="T177" s="6">
        <v>44294.009999999995</v>
      </c>
      <c r="U177" s="2"/>
      <c r="V177" s="7">
        <f t="shared" si="31"/>
        <v>5.1984116101641865E-3</v>
      </c>
      <c r="W177" s="2"/>
      <c r="X177" s="6">
        <f t="shared" si="32"/>
        <v>-22774.139999999992</v>
      </c>
      <c r="Y177" s="2"/>
      <c r="Z177" s="7">
        <f t="shared" si="33"/>
        <v>-0.51415846070382865</v>
      </c>
    </row>
    <row r="178" spans="1:26" s="24" customFormat="1" hidden="1" outlineLevel="2" x14ac:dyDescent="0.25">
      <c r="A178" s="25"/>
      <c r="B178" s="11" t="str">
        <f>CONCATENATE("          ", "6007", " - ", "STUDENT HOURLY")</f>
        <v xml:space="preserve">          6007 - STUDENT HOURLY</v>
      </c>
      <c r="C178" s="11"/>
      <c r="D178" s="6">
        <v>157739.96000000002</v>
      </c>
      <c r="E178" s="2"/>
      <c r="F178" s="7">
        <f t="shared" si="26"/>
        <v>7.2576497080539065E-2</v>
      </c>
      <c r="G178" s="2"/>
      <c r="H178" s="6">
        <v>141255.79</v>
      </c>
      <c r="I178" s="2"/>
      <c r="J178" s="7">
        <f t="shared" si="27"/>
        <v>5.4159899688551352E-2</v>
      </c>
      <c r="K178" s="2"/>
      <c r="L178" s="6">
        <f t="shared" si="28"/>
        <v>16484.170000000013</v>
      </c>
      <c r="M178" s="2"/>
      <c r="N178" s="7">
        <f t="shared" si="29"/>
        <v>0.11669730493879232</v>
      </c>
      <c r="O178" s="11"/>
      <c r="P178" s="6">
        <v>624945.72</v>
      </c>
      <c r="Q178" s="2"/>
      <c r="R178" s="7">
        <f t="shared" si="30"/>
        <v>8.128196681216425E-2</v>
      </c>
      <c r="S178" s="2"/>
      <c r="T178" s="6">
        <v>533409.73</v>
      </c>
      <c r="U178" s="2"/>
      <c r="V178" s="7">
        <f t="shared" si="31"/>
        <v>6.2601767900592978E-2</v>
      </c>
      <c r="W178" s="2"/>
      <c r="X178" s="6">
        <f t="shared" si="32"/>
        <v>91535.989999999991</v>
      </c>
      <c r="Y178" s="2"/>
      <c r="Z178" s="7">
        <f t="shared" si="33"/>
        <v>0.17160539984900536</v>
      </c>
    </row>
    <row r="179" spans="1:26" s="24" customFormat="1" hidden="1" outlineLevel="2" x14ac:dyDescent="0.25">
      <c r="A179" s="25"/>
      <c r="B179" s="11" t="str">
        <f>CONCATENATE("          ", "6008", " - ", "STUDENT HOURLY-FICA EXEMPT")</f>
        <v xml:space="preserve">          6008 - STUDENT HOURLY-FICA EXEMPT</v>
      </c>
      <c r="C179" s="11"/>
      <c r="D179" s="6">
        <v>4559.3900000000003</v>
      </c>
      <c r="E179" s="2"/>
      <c r="F179" s="7">
        <f t="shared" si="26"/>
        <v>2.0977852094297409E-3</v>
      </c>
      <c r="G179" s="2"/>
      <c r="H179" s="6">
        <v>4374.5</v>
      </c>
      <c r="I179" s="2"/>
      <c r="J179" s="7">
        <f t="shared" si="27"/>
        <v>1.6772585476854994E-3</v>
      </c>
      <c r="K179" s="2"/>
      <c r="L179" s="6">
        <f t="shared" si="28"/>
        <v>184.89000000000033</v>
      </c>
      <c r="M179" s="2"/>
      <c r="N179" s="7">
        <f t="shared" si="29"/>
        <v>4.2265401760201243E-2</v>
      </c>
      <c r="O179" s="11"/>
      <c r="P179" s="6">
        <v>11002.64</v>
      </c>
      <c r="Q179" s="2"/>
      <c r="R179" s="7">
        <f t="shared" si="30"/>
        <v>1.4310302330355841E-3</v>
      </c>
      <c r="S179" s="2"/>
      <c r="T179" s="6">
        <v>17755.75</v>
      </c>
      <c r="U179" s="2"/>
      <c r="V179" s="7">
        <f t="shared" si="31"/>
        <v>2.0838415159786339E-3</v>
      </c>
      <c r="W179" s="2"/>
      <c r="X179" s="6">
        <f t="shared" si="32"/>
        <v>-6753.1100000000006</v>
      </c>
      <c r="Y179" s="2"/>
      <c r="Z179" s="7">
        <f t="shared" si="33"/>
        <v>-0.38033369471861234</v>
      </c>
    </row>
    <row r="180" spans="1:26" s="26" customFormat="1" outlineLevel="1" collapsed="1" x14ac:dyDescent="0.25">
      <c r="A180" s="27"/>
      <c r="B180" s="13" t="str">
        <f>CONCATENATE("     ","Advertising/Promo                                 ")</f>
        <v xml:space="preserve">     Advertising/Promo                                 </v>
      </c>
      <c r="C180" s="13"/>
      <c r="D180" s="1">
        <f>SUM(OSRRefD22_2x_0)</f>
        <v>3053.5</v>
      </c>
      <c r="E180" s="1"/>
      <c r="F180" s="5">
        <f t="shared" ref="F180:F184" si="34">IF(D$12=0,0,D180/D$12)</f>
        <v>1.4049219603924459E-3</v>
      </c>
      <c r="G180" s="1"/>
      <c r="H180" s="1">
        <f>SUM(OSRRefH22_2x_0)</f>
        <v>8498.4500000000007</v>
      </c>
      <c r="I180" s="1"/>
      <c r="J180" s="5">
        <f t="shared" ref="J180:J184" si="35">IF(H$12=0,0,H180/H$12)</f>
        <v>3.2584519155509964E-3</v>
      </c>
      <c r="K180" s="1"/>
      <c r="L180" s="1">
        <f t="shared" ref="L180:L184" si="36">+D180-H180</f>
        <v>-5444.9500000000007</v>
      </c>
      <c r="M180" s="1"/>
      <c r="N180" s="5">
        <f t="shared" ref="N180:N184" si="37">IF(H180=0,0,L180/H180)</f>
        <v>-0.64069918632221168</v>
      </c>
      <c r="O180" s="13"/>
      <c r="P180" s="1">
        <f>SUM(OSRRefP22_2x_0)</f>
        <v>40355.03</v>
      </c>
      <c r="Q180" s="1"/>
      <c r="R180" s="5">
        <f t="shared" ref="R180:R184" si="38">IF(P$12=0,0,P180/P$12)</f>
        <v>5.2486737714819345E-3</v>
      </c>
      <c r="S180" s="1"/>
      <c r="T180" s="1">
        <f>SUM(OSRRefT22_2x_0)</f>
        <v>50552</v>
      </c>
      <c r="U180" s="1"/>
      <c r="V180" s="5">
        <f t="shared" ref="V180:V184" si="39">IF(T$12=0,0,T180/T$12)</f>
        <v>5.9328587255256414E-3</v>
      </c>
      <c r="W180" s="1"/>
      <c r="X180" s="1">
        <f t="shared" ref="X180:X184" si="40">+P180-T180</f>
        <v>-10196.970000000001</v>
      </c>
      <c r="Y180" s="1"/>
      <c r="Z180" s="5">
        <f t="shared" ref="Z180:Z184" si="41">IF(T180=0,0,X180/T180)</f>
        <v>-0.20171249406551672</v>
      </c>
    </row>
    <row r="181" spans="1:26" s="24" customFormat="1" hidden="1" outlineLevel="2" x14ac:dyDescent="0.25">
      <c r="A181" s="25"/>
      <c r="B181" s="11" t="str">
        <f>CONCATENATE("          ", "6362", " - ", "ADVERTISING EXPENSE")</f>
        <v xml:space="preserve">          6362 - ADVERTISING EXPENSE</v>
      </c>
      <c r="C181" s="11"/>
      <c r="D181" s="6">
        <v>3053.5</v>
      </c>
      <c r="E181" s="2"/>
      <c r="F181" s="7">
        <f t="shared" si="34"/>
        <v>1.4049219603924459E-3</v>
      </c>
      <c r="G181" s="2"/>
      <c r="H181" s="6">
        <v>8498.4500000000007</v>
      </c>
      <c r="I181" s="2"/>
      <c r="J181" s="7">
        <f t="shared" si="35"/>
        <v>3.2584519155509964E-3</v>
      </c>
      <c r="K181" s="2"/>
      <c r="L181" s="6">
        <f t="shared" si="36"/>
        <v>-5444.9500000000007</v>
      </c>
      <c r="M181" s="2"/>
      <c r="N181" s="7">
        <f t="shared" si="37"/>
        <v>-0.64069918632221168</v>
      </c>
      <c r="O181" s="11"/>
      <c r="P181" s="6">
        <v>40355.03</v>
      </c>
      <c r="Q181" s="2"/>
      <c r="R181" s="7">
        <f t="shared" si="38"/>
        <v>5.2486737714819345E-3</v>
      </c>
      <c r="S181" s="2"/>
      <c r="T181" s="6">
        <v>50552</v>
      </c>
      <c r="U181" s="2"/>
      <c r="V181" s="7">
        <f t="shared" si="39"/>
        <v>5.9328587255256414E-3</v>
      </c>
      <c r="W181" s="2"/>
      <c r="X181" s="6">
        <f t="shared" si="40"/>
        <v>-10196.970000000001</v>
      </c>
      <c r="Y181" s="2"/>
      <c r="Z181" s="7">
        <f t="shared" si="41"/>
        <v>-0.20171249406551672</v>
      </c>
    </row>
    <row r="182" spans="1:26" s="26" customFormat="1" outlineLevel="1" collapsed="1" x14ac:dyDescent="0.25">
      <c r="A182" s="27"/>
      <c r="B182" s="13" t="str">
        <f>CONCATENATE("     ","Bad Debts/Over/Short                              ")</f>
        <v xml:space="preserve">     Bad Debts/Over/Short                              </v>
      </c>
      <c r="C182" s="13"/>
      <c r="D182" s="1">
        <f>SUM(OSRRefD22_3x_0)</f>
        <v>-95</v>
      </c>
      <c r="E182" s="1"/>
      <c r="F182" s="5">
        <f t="shared" si="34"/>
        <v>-4.3709705661464664E-5</v>
      </c>
      <c r="G182" s="1"/>
      <c r="H182" s="1">
        <f>SUM(OSRRefH22_3x_0)</f>
        <v>387.31</v>
      </c>
      <c r="I182" s="1"/>
      <c r="J182" s="5">
        <f t="shared" si="35"/>
        <v>1.4850131628850628E-4</v>
      </c>
      <c r="K182" s="1"/>
      <c r="L182" s="1">
        <f t="shared" si="36"/>
        <v>-482.31</v>
      </c>
      <c r="M182" s="1"/>
      <c r="N182" s="5">
        <f t="shared" si="37"/>
        <v>-1.2452815574087941</v>
      </c>
      <c r="O182" s="13"/>
      <c r="P182" s="1">
        <f>SUM(OSRRefP22_3x_0)</f>
        <v>55.019999999999996</v>
      </c>
      <c r="Q182" s="1"/>
      <c r="R182" s="5">
        <f t="shared" si="38"/>
        <v>7.1560355897873451E-6</v>
      </c>
      <c r="S182" s="1"/>
      <c r="T182" s="1">
        <f>SUM(OSRRefT22_3x_0)</f>
        <v>1438.15</v>
      </c>
      <c r="U182" s="1"/>
      <c r="V182" s="5">
        <f t="shared" si="39"/>
        <v>1.6878344627541347E-4</v>
      </c>
      <c r="W182" s="1"/>
      <c r="X182" s="1">
        <f t="shared" si="40"/>
        <v>-1383.13</v>
      </c>
      <c r="Y182" s="1"/>
      <c r="Z182" s="5">
        <f t="shared" si="41"/>
        <v>-0.96174251642735464</v>
      </c>
    </row>
    <row r="183" spans="1:26" s="24" customFormat="1" hidden="1" outlineLevel="2" x14ac:dyDescent="0.25">
      <c r="A183" s="25"/>
      <c r="B183" s="11" t="str">
        <f>CONCATENATE("          ", "6272", " - ", "CASH (OVER/SHORT)")</f>
        <v xml:space="preserve">          6272 - CASH (OVER/SHORT)</v>
      </c>
      <c r="C183" s="11"/>
      <c r="D183" s="6">
        <v>-95</v>
      </c>
      <c r="E183" s="2"/>
      <c r="F183" s="7">
        <f t="shared" si="34"/>
        <v>-4.3709705661464664E-5</v>
      </c>
      <c r="G183" s="2"/>
      <c r="H183" s="6">
        <v>387.31</v>
      </c>
      <c r="I183" s="2"/>
      <c r="J183" s="7">
        <f t="shared" si="35"/>
        <v>1.4850131628850628E-4</v>
      </c>
      <c r="K183" s="2"/>
      <c r="L183" s="6">
        <f t="shared" si="36"/>
        <v>-482.31</v>
      </c>
      <c r="M183" s="2"/>
      <c r="N183" s="7">
        <f t="shared" si="37"/>
        <v>-1.2452815574087941</v>
      </c>
      <c r="O183" s="11"/>
      <c r="P183" s="6">
        <v>10.220000000000001</v>
      </c>
      <c r="Q183" s="2"/>
      <c r="R183" s="7">
        <f t="shared" si="38"/>
        <v>1.3292381629884892E-6</v>
      </c>
      <c r="S183" s="2"/>
      <c r="T183" s="6">
        <v>1438.15</v>
      </c>
      <c r="U183" s="2"/>
      <c r="V183" s="7">
        <f t="shared" si="39"/>
        <v>1.6878344627541347E-4</v>
      </c>
      <c r="W183" s="2"/>
      <c r="X183" s="6">
        <f t="shared" si="40"/>
        <v>-1427.93</v>
      </c>
      <c r="Y183" s="2"/>
      <c r="Z183" s="7">
        <f t="shared" si="41"/>
        <v>-0.99289364808955949</v>
      </c>
    </row>
    <row r="184" spans="1:26" s="24" customFormat="1" hidden="1" outlineLevel="2" x14ac:dyDescent="0.25">
      <c r="A184" s="25"/>
      <c r="B184" s="11" t="str">
        <f>CONCATENATE("          ", "6342", " - ", "BAD DEBT")</f>
        <v xml:space="preserve">          6342 - BAD DEBT</v>
      </c>
      <c r="C184" s="11"/>
      <c r="D184" s="6"/>
      <c r="E184" s="2"/>
      <c r="F184" s="7">
        <f t="shared" si="34"/>
        <v>0</v>
      </c>
      <c r="G184" s="2"/>
      <c r="H184" s="6"/>
      <c r="I184" s="2"/>
      <c r="J184" s="7">
        <f t="shared" si="35"/>
        <v>0</v>
      </c>
      <c r="K184" s="2"/>
      <c r="L184" s="6">
        <f t="shared" si="36"/>
        <v>0</v>
      </c>
      <c r="M184" s="2"/>
      <c r="N184" s="7">
        <f t="shared" si="37"/>
        <v>0</v>
      </c>
      <c r="O184" s="11"/>
      <c r="P184" s="6">
        <v>44.8</v>
      </c>
      <c r="Q184" s="2"/>
      <c r="R184" s="7">
        <f t="shared" si="38"/>
        <v>5.8267974267988567E-6</v>
      </c>
      <c r="S184" s="2"/>
      <c r="T184" s="6"/>
      <c r="U184" s="2"/>
      <c r="V184" s="7">
        <f t="shared" si="39"/>
        <v>0</v>
      </c>
      <c r="W184" s="2"/>
      <c r="X184" s="6">
        <f t="shared" si="40"/>
        <v>44.8</v>
      </c>
      <c r="Y184" s="2"/>
      <c r="Z184" s="7">
        <f t="shared" si="41"/>
        <v>0</v>
      </c>
    </row>
    <row r="185" spans="1:26" s="26" customFormat="1" outlineLevel="1" collapsed="1" x14ac:dyDescent="0.25">
      <c r="A185" s="27"/>
      <c r="B185" s="13" t="str">
        <f>CONCATENATE("     ","Bank/card Fees                                    ")</f>
        <v xml:space="preserve">     Bank/card Fees                                    </v>
      </c>
      <c r="C185" s="13"/>
      <c r="D185" s="1">
        <f>SUM(OSRRefD22_4x_0)</f>
        <v>25656.59</v>
      </c>
      <c r="E185" s="1"/>
      <c r="F185" s="5">
        <f t="shared" ref="F185:F189" si="42">IF(D$12=0,0,D185/D$12)</f>
        <v>1.1804652601861872E-2</v>
      </c>
      <c r="G185" s="1"/>
      <c r="H185" s="1">
        <f>SUM(OSRRefH22_4x_0)</f>
        <v>28344.1</v>
      </c>
      <c r="I185" s="1"/>
      <c r="J185" s="5">
        <f t="shared" ref="J185:J189" si="43">IF(H$12=0,0,H185/H$12)</f>
        <v>1.0867615499246214E-2</v>
      </c>
      <c r="K185" s="1"/>
      <c r="L185" s="1">
        <f t="shared" ref="L185:L189" si="44">+D185-H185</f>
        <v>-2687.5099999999984</v>
      </c>
      <c r="M185" s="1"/>
      <c r="N185" s="5">
        <f t="shared" ref="N185:N189" si="45">IF(H185=0,0,L185/H185)</f>
        <v>-9.481726355749516E-2</v>
      </c>
      <c r="O185" s="13"/>
      <c r="P185" s="1">
        <f>SUM(OSRRefP22_4x_0)</f>
        <v>117324.77</v>
      </c>
      <c r="Q185" s="1"/>
      <c r="R185" s="5">
        <f t="shared" ref="R185:R189" si="46">IF(P$12=0,0,P185/P$12)</f>
        <v>1.525954615928053E-2</v>
      </c>
      <c r="S185" s="1"/>
      <c r="T185" s="1">
        <f>SUM(OSRRefT22_4x_0)</f>
        <v>118068.23999999999</v>
      </c>
      <c r="U185" s="1"/>
      <c r="V185" s="5">
        <f t="shared" ref="V185:V189" si="47">IF(T$12=0,0,T185/T$12)</f>
        <v>1.3856666163385335E-2</v>
      </c>
      <c r="W185" s="1"/>
      <c r="X185" s="1">
        <f t="shared" ref="X185:X189" si="48">+P185-T185</f>
        <v>-743.46999999998661</v>
      </c>
      <c r="Y185" s="1"/>
      <c r="Z185" s="5">
        <f t="shared" ref="Z185:Z189" si="49">IF(T185=0,0,X185/T185)</f>
        <v>-6.2969516611748148E-3</v>
      </c>
    </row>
    <row r="186" spans="1:26" s="24" customFormat="1" hidden="1" outlineLevel="2" x14ac:dyDescent="0.25">
      <c r="A186" s="25"/>
      <c r="B186" s="11" t="str">
        <f>CONCATENATE("          ", "6381", " - ", "BANK/CREDIT CARD FEES")</f>
        <v xml:space="preserve">          6381 - BANK/CREDIT CARD FEES</v>
      </c>
      <c r="C186" s="11"/>
      <c r="D186" s="6">
        <v>25656.59</v>
      </c>
      <c r="E186" s="2"/>
      <c r="F186" s="7">
        <f t="shared" si="42"/>
        <v>1.1804652601861872E-2</v>
      </c>
      <c r="G186" s="2"/>
      <c r="H186" s="6">
        <v>28344.1</v>
      </c>
      <c r="I186" s="2"/>
      <c r="J186" s="7">
        <f t="shared" si="43"/>
        <v>1.0867615499246214E-2</v>
      </c>
      <c r="K186" s="2"/>
      <c r="L186" s="6">
        <f t="shared" si="44"/>
        <v>-2687.5099999999984</v>
      </c>
      <c r="M186" s="2"/>
      <c r="N186" s="7">
        <f t="shared" si="45"/>
        <v>-9.481726355749516E-2</v>
      </c>
      <c r="O186" s="11"/>
      <c r="P186" s="6">
        <v>117324.77</v>
      </c>
      <c r="Q186" s="2"/>
      <c r="R186" s="7">
        <f t="shared" si="46"/>
        <v>1.525954615928053E-2</v>
      </c>
      <c r="S186" s="2"/>
      <c r="T186" s="6">
        <v>118068.23999999999</v>
      </c>
      <c r="U186" s="2"/>
      <c r="V186" s="7">
        <f t="shared" si="47"/>
        <v>1.3856666163385335E-2</v>
      </c>
      <c r="W186" s="2"/>
      <c r="X186" s="6">
        <f t="shared" si="48"/>
        <v>-743.46999999998661</v>
      </c>
      <c r="Y186" s="2"/>
      <c r="Z186" s="7">
        <f t="shared" si="49"/>
        <v>-6.2969516611748148E-3</v>
      </c>
    </row>
    <row r="187" spans="1:26" s="26" customFormat="1" outlineLevel="1" collapsed="1" x14ac:dyDescent="0.25">
      <c r="A187" s="27"/>
      <c r="B187" s="13" t="str">
        <f>CONCATENATE("     ","Depreciation                                      ")</f>
        <v xml:space="preserve">     Depreciation                                      </v>
      </c>
      <c r="C187" s="13"/>
      <c r="D187" s="1">
        <f>SUM(OSRRefD22_5x_0)</f>
        <v>29777.31</v>
      </c>
      <c r="E187" s="1"/>
      <c r="F187" s="5">
        <f t="shared" si="42"/>
        <v>1.3700604794633562E-2</v>
      </c>
      <c r="G187" s="1"/>
      <c r="H187" s="1">
        <f>SUM(OSRRefH22_5x_0)</f>
        <v>29330.07</v>
      </c>
      <c r="I187" s="1"/>
      <c r="J187" s="5">
        <f t="shared" si="43"/>
        <v>1.1245653357346905E-2</v>
      </c>
      <c r="K187" s="1"/>
      <c r="L187" s="1">
        <f t="shared" si="44"/>
        <v>447.2400000000016</v>
      </c>
      <c r="M187" s="1"/>
      <c r="N187" s="5">
        <f t="shared" si="45"/>
        <v>1.5248514579065158E-2</v>
      </c>
      <c r="O187" s="13"/>
      <c r="P187" s="1">
        <f>SUM(OSRRefP22_5x_0)</f>
        <v>207591.77000000002</v>
      </c>
      <c r="Q187" s="1"/>
      <c r="R187" s="5">
        <f t="shared" si="46"/>
        <v>2.6999892662067416E-2</v>
      </c>
      <c r="S187" s="1"/>
      <c r="T187" s="1">
        <f>SUM(OSRRefT22_5x_0)</f>
        <v>205310.49</v>
      </c>
      <c r="U187" s="1"/>
      <c r="V187" s="5">
        <f t="shared" si="47"/>
        <v>2.4095547793132711E-2</v>
      </c>
      <c r="W187" s="1"/>
      <c r="X187" s="1">
        <f t="shared" si="48"/>
        <v>2281.2800000000279</v>
      </c>
      <c r="Y187" s="1"/>
      <c r="Z187" s="5">
        <f t="shared" si="49"/>
        <v>1.1111366009598575E-2</v>
      </c>
    </row>
    <row r="188" spans="1:26" s="24" customFormat="1" hidden="1" outlineLevel="2" x14ac:dyDescent="0.25">
      <c r="A188" s="25"/>
      <c r="B188" s="11" t="str">
        <f>CONCATENATE("          ", "6321", " - ", "BUILDING DEPRECIATION")</f>
        <v xml:space="preserve">          6321 - BUILDING DEPRECIATION</v>
      </c>
      <c r="C188" s="11"/>
      <c r="D188" s="6">
        <v>16396.52</v>
      </c>
      <c r="E188" s="2"/>
      <c r="F188" s="7">
        <f t="shared" si="42"/>
        <v>7.5440743481296696E-3</v>
      </c>
      <c r="G188" s="2"/>
      <c r="H188" s="6">
        <v>16453.38</v>
      </c>
      <c r="I188" s="2"/>
      <c r="J188" s="7">
        <f t="shared" si="43"/>
        <v>6.3085089137770358E-3</v>
      </c>
      <c r="K188" s="2"/>
      <c r="L188" s="6">
        <f t="shared" si="44"/>
        <v>-56.860000000000582</v>
      </c>
      <c r="M188" s="2"/>
      <c r="N188" s="7">
        <f t="shared" si="45"/>
        <v>-3.4558248821822978E-3</v>
      </c>
      <c r="O188" s="11"/>
      <c r="P188" s="6">
        <v>114775.64</v>
      </c>
      <c r="Q188" s="2"/>
      <c r="R188" s="7">
        <f t="shared" si="46"/>
        <v>1.4928000085071249E-2</v>
      </c>
      <c r="S188" s="2"/>
      <c r="T188" s="6">
        <v>115173.66</v>
      </c>
      <c r="U188" s="2"/>
      <c r="V188" s="7">
        <f t="shared" si="47"/>
        <v>1.3516953902550316E-2</v>
      </c>
      <c r="W188" s="2"/>
      <c r="X188" s="6">
        <f t="shared" si="48"/>
        <v>-398.02000000000407</v>
      </c>
      <c r="Y188" s="2"/>
      <c r="Z188" s="7">
        <f t="shared" si="49"/>
        <v>-3.4558248821822983E-3</v>
      </c>
    </row>
    <row r="189" spans="1:26" s="24" customFormat="1" hidden="1" outlineLevel="2" x14ac:dyDescent="0.25">
      <c r="A189" s="25"/>
      <c r="B189" s="11" t="str">
        <f>CONCATENATE("          ", "6322", " - ", "EQUIPMENT DEPRECIATION EXPENSE")</f>
        <v xml:space="preserve">          6322 - EQUIPMENT DEPRECIATION EXPENSE</v>
      </c>
      <c r="C189" s="11"/>
      <c r="D189" s="6">
        <v>13380.79</v>
      </c>
      <c r="E189" s="2"/>
      <c r="F189" s="7">
        <f t="shared" si="42"/>
        <v>6.1565304465038932E-3</v>
      </c>
      <c r="G189" s="2"/>
      <c r="H189" s="6">
        <v>12876.69</v>
      </c>
      <c r="I189" s="2"/>
      <c r="J189" s="7">
        <f t="shared" si="43"/>
        <v>4.9371444435698693E-3</v>
      </c>
      <c r="K189" s="2"/>
      <c r="L189" s="6">
        <f t="shared" si="44"/>
        <v>504.10000000000036</v>
      </c>
      <c r="M189" s="2"/>
      <c r="N189" s="7">
        <f t="shared" si="45"/>
        <v>3.9148259374109366E-2</v>
      </c>
      <c r="O189" s="11"/>
      <c r="P189" s="6">
        <v>92816.13</v>
      </c>
      <c r="Q189" s="2"/>
      <c r="R189" s="7">
        <f t="shared" si="46"/>
        <v>1.2071892576996165E-2</v>
      </c>
      <c r="S189" s="2"/>
      <c r="T189" s="6">
        <v>90136.83</v>
      </c>
      <c r="U189" s="2"/>
      <c r="V189" s="7">
        <f t="shared" si="47"/>
        <v>1.0578593890582398E-2</v>
      </c>
      <c r="W189" s="2"/>
      <c r="X189" s="6">
        <f t="shared" si="48"/>
        <v>2679.3000000000029</v>
      </c>
      <c r="Y189" s="2"/>
      <c r="Z189" s="7">
        <f t="shared" si="49"/>
        <v>2.9724808382988428E-2</v>
      </c>
    </row>
    <row r="190" spans="1:26" s="26" customFormat="1" outlineLevel="1" collapsed="1" x14ac:dyDescent="0.25">
      <c r="A190" s="27"/>
      <c r="B190" s="13" t="str">
        <f>CONCATENATE("     ","Discounts and Markdowns                           ")</f>
        <v xml:space="preserve">     Discounts and Markdowns                           </v>
      </c>
      <c r="C190" s="13"/>
      <c r="D190" s="1">
        <f>SUM(OSRRefD22_6x_0)</f>
        <v>36956.35</v>
      </c>
      <c r="E190" s="1"/>
      <c r="F190" s="5">
        <f t="shared" ref="F190:F192" si="50">IF(D$12=0,0,D190/D$12)</f>
        <v>1.700369664023231E-2</v>
      </c>
      <c r="G190" s="1"/>
      <c r="H190" s="1">
        <f>SUM(OSRRefH22_6x_0)</f>
        <v>42463.58</v>
      </c>
      <c r="I190" s="1"/>
      <c r="J190" s="5">
        <f t="shared" ref="J190:J192" si="51">IF(H$12=0,0,H190/H$12)</f>
        <v>1.6281267006589786E-2</v>
      </c>
      <c r="K190" s="1"/>
      <c r="L190" s="1">
        <f t="shared" ref="L190:L192" si="52">+D190-H190</f>
        <v>-5507.2300000000032</v>
      </c>
      <c r="M190" s="1"/>
      <c r="N190" s="5">
        <f t="shared" ref="N190:N192" si="53">IF(H190=0,0,L190/H190)</f>
        <v>-0.12969302164348845</v>
      </c>
      <c r="O190" s="13"/>
      <c r="P190" s="1">
        <f>SUM(OSRRefP22_6x_0)</f>
        <v>224660.69</v>
      </c>
      <c r="Q190" s="1"/>
      <c r="R190" s="5">
        <f t="shared" ref="R190:R192" si="54">IF(P$12=0,0,P190/P$12)</f>
        <v>2.9219918089170887E-2</v>
      </c>
      <c r="S190" s="1"/>
      <c r="T190" s="1">
        <f>SUM(OSRRefT22_6x_0)</f>
        <v>211820.38999999998</v>
      </c>
      <c r="U190" s="1"/>
      <c r="V190" s="5">
        <f t="shared" ref="V190:V192" si="55">IF(T$12=0,0,T190/T$12)</f>
        <v>2.4859559444843807E-2</v>
      </c>
      <c r="W190" s="1"/>
      <c r="X190" s="1">
        <f t="shared" ref="X190:X192" si="56">+P190-T190</f>
        <v>12840.300000000017</v>
      </c>
      <c r="Y190" s="1"/>
      <c r="Z190" s="5">
        <f t="shared" ref="Z190:Z192" si="57">IF(T190=0,0,X190/T190)</f>
        <v>6.0618810115494637E-2</v>
      </c>
    </row>
    <row r="191" spans="1:26" s="24" customFormat="1" hidden="1" outlineLevel="2" x14ac:dyDescent="0.25">
      <c r="A191" s="25"/>
      <c r="B191" s="11" t="str">
        <f>CONCATENATE("          ", "6382", " - ", "DISCOUNTS/MARK DOWNS")</f>
        <v xml:space="preserve">          6382 - DISCOUNTS/MARK DOWNS</v>
      </c>
      <c r="C191" s="11"/>
      <c r="D191" s="6">
        <v>37376.85</v>
      </c>
      <c r="E191" s="2"/>
      <c r="F191" s="7">
        <f t="shared" si="50"/>
        <v>1.7197169600554899E-2</v>
      </c>
      <c r="G191" s="2"/>
      <c r="H191" s="6">
        <v>43117.78</v>
      </c>
      <c r="I191" s="2"/>
      <c r="J191" s="7">
        <f t="shared" si="51"/>
        <v>1.6532098539769773E-2</v>
      </c>
      <c r="K191" s="2"/>
      <c r="L191" s="6">
        <f t="shared" si="52"/>
        <v>-5740.93</v>
      </c>
      <c r="M191" s="2"/>
      <c r="N191" s="7">
        <f t="shared" si="53"/>
        <v>-0.13314530571842986</v>
      </c>
      <c r="O191" s="11"/>
      <c r="P191" s="6">
        <v>227567.69</v>
      </c>
      <c r="Q191" s="2"/>
      <c r="R191" s="7">
        <f t="shared" si="54"/>
        <v>2.9598009609699997E-2</v>
      </c>
      <c r="S191" s="2"/>
      <c r="T191" s="6">
        <v>215301.28</v>
      </c>
      <c r="U191" s="2"/>
      <c r="V191" s="7">
        <f t="shared" si="55"/>
        <v>2.5268081928802803E-2</v>
      </c>
      <c r="W191" s="2"/>
      <c r="X191" s="6">
        <f t="shared" si="56"/>
        <v>12266.410000000003</v>
      </c>
      <c r="Y191" s="2"/>
      <c r="Z191" s="7">
        <f t="shared" si="57"/>
        <v>5.6973233043482154E-2</v>
      </c>
    </row>
    <row r="192" spans="1:26" s="24" customFormat="1" hidden="1" outlineLevel="2" x14ac:dyDescent="0.25">
      <c r="A192" s="25"/>
      <c r="B192" s="11" t="str">
        <f>CONCATENATE("          ", "9175", " - ", "EARNED DISCOUNTS")</f>
        <v xml:space="preserve">          9175 - EARNED DISCOUNTS</v>
      </c>
      <c r="C192" s="11"/>
      <c r="D192" s="6">
        <v>-420.5</v>
      </c>
      <c r="E192" s="2"/>
      <c r="F192" s="7">
        <f t="shared" si="50"/>
        <v>-1.9347296032258833E-4</v>
      </c>
      <c r="G192" s="2"/>
      <c r="H192" s="6">
        <v>-654.20000000000005</v>
      </c>
      <c r="I192" s="2"/>
      <c r="J192" s="7">
        <f t="shared" si="51"/>
        <v>-2.5083153317998717E-4</v>
      </c>
      <c r="K192" s="2"/>
      <c r="L192" s="6">
        <f t="shared" si="52"/>
        <v>233.70000000000005</v>
      </c>
      <c r="M192" s="2"/>
      <c r="N192" s="7">
        <f t="shared" si="53"/>
        <v>-0.35723020483032714</v>
      </c>
      <c r="O192" s="11"/>
      <c r="P192" s="6">
        <v>-2907</v>
      </c>
      <c r="Q192" s="2"/>
      <c r="R192" s="7">
        <f t="shared" si="54"/>
        <v>-3.780915205291133E-4</v>
      </c>
      <c r="S192" s="2"/>
      <c r="T192" s="6">
        <v>-3480.89</v>
      </c>
      <c r="U192" s="2"/>
      <c r="V192" s="7">
        <f t="shared" si="55"/>
        <v>-4.0852248395899173E-4</v>
      </c>
      <c r="W192" s="2"/>
      <c r="X192" s="6">
        <f t="shared" si="56"/>
        <v>573.88999999999987</v>
      </c>
      <c r="Y192" s="2"/>
      <c r="Z192" s="7">
        <f t="shared" si="57"/>
        <v>-0.1648687548299429</v>
      </c>
    </row>
    <row r="193" spans="1:26" s="26" customFormat="1" outlineLevel="1" collapsed="1" x14ac:dyDescent="0.25">
      <c r="A193" s="27"/>
      <c r="B193" s="13" t="str">
        <f>CONCATENATE("     ","Donations                                         ")</f>
        <v xml:space="preserve">     Donations                                         </v>
      </c>
      <c r="C193" s="13"/>
      <c r="D193" s="1">
        <f>SUM(OSRRefD22_7x_0)</f>
        <v>0</v>
      </c>
      <c r="E193" s="1"/>
      <c r="F193" s="5">
        <f t="shared" ref="F193:F201" si="58">IF(D$12=0,0,D193/D$12)</f>
        <v>0</v>
      </c>
      <c r="G193" s="1"/>
      <c r="H193" s="1">
        <f>SUM(OSRRefH22_7x_0)</f>
        <v>760.12</v>
      </c>
      <c r="I193" s="1"/>
      <c r="J193" s="5">
        <f t="shared" ref="J193:J201" si="59">IF(H$12=0,0,H193/H$12)</f>
        <v>2.9144308315617824E-4</v>
      </c>
      <c r="K193" s="1"/>
      <c r="L193" s="1">
        <f t="shared" ref="L193:L201" si="60">+D193-H193</f>
        <v>-760.12</v>
      </c>
      <c r="M193" s="1"/>
      <c r="N193" s="5">
        <f t="shared" ref="N193:N201" si="61">IF(H193=0,0,L193/H193)</f>
        <v>-1</v>
      </c>
      <c r="O193" s="13"/>
      <c r="P193" s="1">
        <f>SUM(OSRRefP22_7x_0)</f>
        <v>9798.2199999999993</v>
      </c>
      <c r="Q193" s="1"/>
      <c r="R193" s="5">
        <f t="shared" ref="R193:R201" si="62">IF(P$12=0,0,P193/P$12)</f>
        <v>1.2743804259644886E-3</v>
      </c>
      <c r="S193" s="1"/>
      <c r="T193" s="1">
        <f>SUM(OSRRefT22_7x_0)</f>
        <v>6160.82</v>
      </c>
      <c r="U193" s="1"/>
      <c r="V193" s="5">
        <f t="shared" ref="V193:V201" si="63">IF(T$12=0,0,T193/T$12)</f>
        <v>7.2304309806521755E-4</v>
      </c>
      <c r="W193" s="1"/>
      <c r="X193" s="1">
        <f t="shared" ref="X193:X201" si="64">+P193-T193</f>
        <v>3637.3999999999996</v>
      </c>
      <c r="Y193" s="1"/>
      <c r="Z193" s="5">
        <f t="shared" ref="Z193:Z201" si="65">IF(T193=0,0,X193/T193)</f>
        <v>0.59040841965842206</v>
      </c>
    </row>
    <row r="194" spans="1:26" s="24" customFormat="1" hidden="1" outlineLevel="2" x14ac:dyDescent="0.25">
      <c r="A194" s="25"/>
      <c r="B194" s="11" t="str">
        <f>CONCATENATE("          ", "6399", " - ", "DONATION-ON CAMPUS")</f>
        <v xml:space="preserve">          6399 - DONATION-ON CAMPUS</v>
      </c>
      <c r="C194" s="11"/>
      <c r="D194" s="6"/>
      <c r="E194" s="2"/>
      <c r="F194" s="7">
        <f t="shared" si="58"/>
        <v>0</v>
      </c>
      <c r="G194" s="2"/>
      <c r="H194" s="6">
        <v>760.12</v>
      </c>
      <c r="I194" s="2"/>
      <c r="J194" s="7">
        <f t="shared" si="59"/>
        <v>2.9144308315617824E-4</v>
      </c>
      <c r="K194" s="2"/>
      <c r="L194" s="6">
        <f t="shared" si="60"/>
        <v>-760.12</v>
      </c>
      <c r="M194" s="2"/>
      <c r="N194" s="7">
        <f t="shared" si="61"/>
        <v>-1</v>
      </c>
      <c r="O194" s="11"/>
      <c r="P194" s="6">
        <v>9798.2199999999993</v>
      </c>
      <c r="Q194" s="2"/>
      <c r="R194" s="7">
        <f t="shared" si="62"/>
        <v>1.2743804259644886E-3</v>
      </c>
      <c r="S194" s="2"/>
      <c r="T194" s="6">
        <v>6160.82</v>
      </c>
      <c r="U194" s="2"/>
      <c r="V194" s="7">
        <f t="shared" si="63"/>
        <v>7.2304309806521755E-4</v>
      </c>
      <c r="W194" s="2"/>
      <c r="X194" s="6">
        <f t="shared" si="64"/>
        <v>3637.3999999999996</v>
      </c>
      <c r="Y194" s="2"/>
      <c r="Z194" s="7">
        <f t="shared" si="65"/>
        <v>0.59040841965842206</v>
      </c>
    </row>
    <row r="195" spans="1:26" s="26" customFormat="1" outlineLevel="1" collapsed="1" x14ac:dyDescent="0.25">
      <c r="A195" s="27"/>
      <c r="B195" s="13" t="str">
        <f>CONCATENATE("     ","Employees' Appreciation                           ")</f>
        <v xml:space="preserve">     Employees' Appreciation                           </v>
      </c>
      <c r="C195" s="13"/>
      <c r="D195" s="1">
        <f>SUM(OSRRefD22_8x_0)</f>
        <v>0</v>
      </c>
      <c r="E195" s="1"/>
      <c r="F195" s="5">
        <f t="shared" si="58"/>
        <v>0</v>
      </c>
      <c r="G195" s="1"/>
      <c r="H195" s="1">
        <f>SUM(OSRRefH22_8x_0)</f>
        <v>711.05</v>
      </c>
      <c r="I195" s="1"/>
      <c r="J195" s="5">
        <f t="shared" si="59"/>
        <v>2.7262880108167205E-4</v>
      </c>
      <c r="K195" s="1"/>
      <c r="L195" s="1">
        <f t="shared" si="60"/>
        <v>-711.05</v>
      </c>
      <c r="M195" s="1"/>
      <c r="N195" s="5">
        <f t="shared" si="61"/>
        <v>-1</v>
      </c>
      <c r="O195" s="13"/>
      <c r="P195" s="1">
        <f>SUM(OSRRefP22_8x_0)</f>
        <v>1194.04</v>
      </c>
      <c r="Q195" s="1"/>
      <c r="R195" s="5">
        <f t="shared" si="62"/>
        <v>1.5529975891729703E-4</v>
      </c>
      <c r="S195" s="1"/>
      <c r="T195" s="1">
        <f>SUM(OSRRefT22_8x_0)</f>
        <v>3334.66</v>
      </c>
      <c r="U195" s="1"/>
      <c r="V195" s="5">
        <f t="shared" si="63"/>
        <v>3.9136071130046947E-4</v>
      </c>
      <c r="W195" s="1"/>
      <c r="X195" s="1">
        <f t="shared" si="64"/>
        <v>-2140.62</v>
      </c>
      <c r="Y195" s="1"/>
      <c r="Z195" s="5">
        <f t="shared" si="65"/>
        <v>-0.64193051165636072</v>
      </c>
    </row>
    <row r="196" spans="1:26" s="24" customFormat="1" hidden="1" outlineLevel="2" x14ac:dyDescent="0.25">
      <c r="A196" s="25"/>
      <c r="B196" s="11" t="str">
        <f>CONCATENATE("          ", "6277", " - ", "EMPLOYEE APPRECIATION")</f>
        <v xml:space="preserve">          6277 - EMPLOYEE APPRECIATION</v>
      </c>
      <c r="C196" s="11"/>
      <c r="D196" s="6"/>
      <c r="E196" s="2"/>
      <c r="F196" s="7">
        <f t="shared" si="58"/>
        <v>0</v>
      </c>
      <c r="G196" s="2"/>
      <c r="H196" s="6">
        <v>711.05</v>
      </c>
      <c r="I196" s="2"/>
      <c r="J196" s="7">
        <f t="shared" si="59"/>
        <v>2.7262880108167205E-4</v>
      </c>
      <c r="K196" s="2"/>
      <c r="L196" s="6">
        <f t="shared" si="60"/>
        <v>-711.05</v>
      </c>
      <c r="M196" s="2"/>
      <c r="N196" s="7">
        <f t="shared" si="61"/>
        <v>-1</v>
      </c>
      <c r="O196" s="11"/>
      <c r="P196" s="6">
        <v>1194.04</v>
      </c>
      <c r="Q196" s="2"/>
      <c r="R196" s="7">
        <f t="shared" si="62"/>
        <v>1.5529975891729703E-4</v>
      </c>
      <c r="S196" s="2"/>
      <c r="T196" s="6">
        <v>3334.66</v>
      </c>
      <c r="U196" s="2"/>
      <c r="V196" s="7">
        <f t="shared" si="63"/>
        <v>3.9136071130046947E-4</v>
      </c>
      <c r="W196" s="2"/>
      <c r="X196" s="6">
        <f t="shared" si="64"/>
        <v>-2140.62</v>
      </c>
      <c r="Y196" s="2"/>
      <c r="Z196" s="7">
        <f t="shared" si="65"/>
        <v>-0.64193051165636072</v>
      </c>
    </row>
    <row r="197" spans="1:26" s="26" customFormat="1" outlineLevel="1" collapsed="1" x14ac:dyDescent="0.25">
      <c r="A197" s="27"/>
      <c r="B197" s="13" t="str">
        <f>CONCATENATE("     ","Equipment Rental                                  ")</f>
        <v xml:space="preserve">     Equipment Rental                                  </v>
      </c>
      <c r="C197" s="13"/>
      <c r="D197" s="1">
        <f>SUM(OSRRefD22_9x_0)</f>
        <v>1388.16</v>
      </c>
      <c r="E197" s="1"/>
      <c r="F197" s="5">
        <f t="shared" si="58"/>
        <v>6.3869542116861886E-4</v>
      </c>
      <c r="G197" s="1"/>
      <c r="H197" s="1">
        <f>SUM(OSRRefH22_9x_0)</f>
        <v>3425.25</v>
      </c>
      <c r="I197" s="1"/>
      <c r="J197" s="5">
        <f t="shared" si="59"/>
        <v>1.3132997692215697E-3</v>
      </c>
      <c r="K197" s="1"/>
      <c r="L197" s="1">
        <f t="shared" si="60"/>
        <v>-2037.09</v>
      </c>
      <c r="M197" s="1"/>
      <c r="N197" s="5">
        <f t="shared" si="61"/>
        <v>-0.59472739216115611</v>
      </c>
      <c r="O197" s="13"/>
      <c r="P197" s="1">
        <f>SUM(OSRRefP22_9x_0)</f>
        <v>12478.3</v>
      </c>
      <c r="Q197" s="1"/>
      <c r="R197" s="5">
        <f t="shared" si="62"/>
        <v>1.6229581770273252E-3</v>
      </c>
      <c r="S197" s="1"/>
      <c r="T197" s="1">
        <f>SUM(OSRRefT22_9x_0)</f>
        <v>23828.99</v>
      </c>
      <c r="U197" s="1"/>
      <c r="V197" s="5">
        <f t="shared" si="63"/>
        <v>2.7966060935662933E-3</v>
      </c>
      <c r="W197" s="1"/>
      <c r="X197" s="1">
        <f t="shared" si="64"/>
        <v>-11350.690000000002</v>
      </c>
      <c r="Y197" s="1"/>
      <c r="Z197" s="5">
        <f t="shared" si="65"/>
        <v>-0.47633953432352782</v>
      </c>
    </row>
    <row r="198" spans="1:26" s="24" customFormat="1" hidden="1" outlineLevel="2" x14ac:dyDescent="0.25">
      <c r="A198" s="25"/>
      <c r="B198" s="11" t="str">
        <f>CONCATENATE("          ", "6351", " - ", "EQUIPMENT RENTAL")</f>
        <v xml:space="preserve">          6351 - EQUIPMENT RENTAL</v>
      </c>
      <c r="C198" s="11"/>
      <c r="D198" s="6">
        <v>1388.16</v>
      </c>
      <c r="E198" s="2"/>
      <c r="F198" s="7">
        <f t="shared" si="58"/>
        <v>6.3869542116861886E-4</v>
      </c>
      <c r="G198" s="2"/>
      <c r="H198" s="6">
        <v>3425.25</v>
      </c>
      <c r="I198" s="2"/>
      <c r="J198" s="7">
        <f t="shared" si="59"/>
        <v>1.3132997692215697E-3</v>
      </c>
      <c r="K198" s="2"/>
      <c r="L198" s="6">
        <f t="shared" si="60"/>
        <v>-2037.09</v>
      </c>
      <c r="M198" s="2"/>
      <c r="N198" s="7">
        <f t="shared" si="61"/>
        <v>-0.59472739216115611</v>
      </c>
      <c r="O198" s="11"/>
      <c r="P198" s="6">
        <v>12478.3</v>
      </c>
      <c r="Q198" s="2"/>
      <c r="R198" s="7">
        <f t="shared" si="62"/>
        <v>1.6229581770273252E-3</v>
      </c>
      <c r="S198" s="2"/>
      <c r="T198" s="6">
        <v>23828.99</v>
      </c>
      <c r="U198" s="2"/>
      <c r="V198" s="7">
        <f t="shared" si="63"/>
        <v>2.7966060935662933E-3</v>
      </c>
      <c r="W198" s="2"/>
      <c r="X198" s="6">
        <f t="shared" si="64"/>
        <v>-11350.690000000002</v>
      </c>
      <c r="Y198" s="2"/>
      <c r="Z198" s="7">
        <f t="shared" si="65"/>
        <v>-0.47633953432352782</v>
      </c>
    </row>
    <row r="199" spans="1:26" s="26" customFormat="1" outlineLevel="1" collapsed="1" x14ac:dyDescent="0.25">
      <c r="A199" s="27"/>
      <c r="B199" s="13" t="str">
        <f>CONCATENATE("     ","Freight out/Postage                               ")</f>
        <v xml:space="preserve">     Freight out/Postage                               </v>
      </c>
      <c r="C199" s="13"/>
      <c r="D199" s="1">
        <f>SUM(OSRRefD22_10x_0)</f>
        <v>-13215.979999999998</v>
      </c>
      <c r="E199" s="1"/>
      <c r="F199" s="5">
        <f t="shared" si="58"/>
        <v>-6.0807010087137233E-3</v>
      </c>
      <c r="G199" s="1"/>
      <c r="H199" s="1">
        <f>SUM(OSRRefH22_10x_0)</f>
        <v>-8434.0899999999983</v>
      </c>
      <c r="I199" s="1"/>
      <c r="J199" s="5">
        <f t="shared" si="59"/>
        <v>-3.2337751844665197E-3</v>
      </c>
      <c r="K199" s="1"/>
      <c r="L199" s="1">
        <f t="shared" si="60"/>
        <v>-4781.8899999999994</v>
      </c>
      <c r="M199" s="1"/>
      <c r="N199" s="5">
        <f t="shared" si="61"/>
        <v>0.56697165906458202</v>
      </c>
      <c r="O199" s="13"/>
      <c r="P199" s="1">
        <f>SUM(OSRRefP22_10x_0)</f>
        <v>-6657.6999999999971</v>
      </c>
      <c r="Q199" s="1"/>
      <c r="R199" s="5">
        <f t="shared" si="62"/>
        <v>-8.6591672384818592E-4</v>
      </c>
      <c r="S199" s="1"/>
      <c r="T199" s="1">
        <f>SUM(OSRRefT22_10x_0)</f>
        <v>2563.4599999999991</v>
      </c>
      <c r="U199" s="1"/>
      <c r="V199" s="5">
        <f t="shared" si="63"/>
        <v>3.0085151979221305E-4</v>
      </c>
      <c r="W199" s="1"/>
      <c r="X199" s="1">
        <f t="shared" si="64"/>
        <v>-9221.1599999999962</v>
      </c>
      <c r="Y199" s="1"/>
      <c r="Z199" s="5">
        <f t="shared" si="65"/>
        <v>-3.5971538467539963</v>
      </c>
    </row>
    <row r="200" spans="1:26" s="24" customFormat="1" hidden="1" outlineLevel="2" x14ac:dyDescent="0.25">
      <c r="A200" s="25"/>
      <c r="B200" s="11" t="str">
        <f>CONCATENATE("          ", "6305", " - ", "FREIGHT OUT")</f>
        <v xml:space="preserve">          6305 - FREIGHT OUT</v>
      </c>
      <c r="C200" s="11"/>
      <c r="D200" s="6">
        <v>2307.9899999999998</v>
      </c>
      <c r="E200" s="2"/>
      <c r="F200" s="7">
        <f t="shared" si="58"/>
        <v>1.0619111954695139E-3</v>
      </c>
      <c r="G200" s="2"/>
      <c r="H200" s="6">
        <v>7406.76</v>
      </c>
      <c r="I200" s="2"/>
      <c r="J200" s="7">
        <f t="shared" si="59"/>
        <v>2.8398791909144015E-3</v>
      </c>
      <c r="K200" s="2"/>
      <c r="L200" s="6">
        <f t="shared" si="60"/>
        <v>-5098.7700000000004</v>
      </c>
      <c r="M200" s="2"/>
      <c r="N200" s="7">
        <f t="shared" si="61"/>
        <v>-0.68839411564570752</v>
      </c>
      <c r="O200" s="11"/>
      <c r="P200" s="6">
        <v>37020.11</v>
      </c>
      <c r="Q200" s="2"/>
      <c r="R200" s="7">
        <f t="shared" si="62"/>
        <v>4.8149259305314872E-3</v>
      </c>
      <c r="S200" s="2"/>
      <c r="T200" s="6">
        <v>43354.94</v>
      </c>
      <c r="U200" s="2"/>
      <c r="V200" s="7">
        <f t="shared" si="63"/>
        <v>5.0882009430614156E-3</v>
      </c>
      <c r="W200" s="2"/>
      <c r="X200" s="6">
        <f t="shared" si="64"/>
        <v>-6334.8300000000017</v>
      </c>
      <c r="Y200" s="2"/>
      <c r="Z200" s="7">
        <f t="shared" si="65"/>
        <v>-0.14611552916461196</v>
      </c>
    </row>
    <row r="201" spans="1:26" s="24" customFormat="1" hidden="1" outlineLevel="2" x14ac:dyDescent="0.25">
      <c r="A201" s="25"/>
      <c r="B201" s="11" t="str">
        <f>CONCATENATE("          ", "6307", " - ", "POSTAGE")</f>
        <v xml:space="preserve">          6307 - POSTAGE</v>
      </c>
      <c r="C201" s="11"/>
      <c r="D201" s="6">
        <v>-15523.969999999998</v>
      </c>
      <c r="E201" s="2"/>
      <c r="F201" s="7">
        <f t="shared" si="58"/>
        <v>-7.1426122041832367E-3</v>
      </c>
      <c r="G201" s="2"/>
      <c r="H201" s="6">
        <v>-15840.849999999999</v>
      </c>
      <c r="I201" s="2"/>
      <c r="J201" s="7">
        <f t="shared" si="59"/>
        <v>-6.0736543753809212E-3</v>
      </c>
      <c r="K201" s="2"/>
      <c r="L201" s="6">
        <f t="shared" si="60"/>
        <v>316.88000000000102</v>
      </c>
      <c r="M201" s="2"/>
      <c r="N201" s="7">
        <f t="shared" si="61"/>
        <v>-2.0003977059311909E-2</v>
      </c>
      <c r="O201" s="11"/>
      <c r="P201" s="6">
        <v>-43677.81</v>
      </c>
      <c r="Q201" s="2"/>
      <c r="R201" s="7">
        <f t="shared" si="62"/>
        <v>-5.680842654379673E-3</v>
      </c>
      <c r="S201" s="2"/>
      <c r="T201" s="6">
        <v>-40791.480000000003</v>
      </c>
      <c r="U201" s="2"/>
      <c r="V201" s="7">
        <f t="shared" si="63"/>
        <v>-4.7873494232692024E-3</v>
      </c>
      <c r="W201" s="2"/>
      <c r="X201" s="6">
        <f t="shared" si="64"/>
        <v>-2886.3299999999945</v>
      </c>
      <c r="Y201" s="2"/>
      <c r="Z201" s="7">
        <f t="shared" si="65"/>
        <v>7.0758158321296366E-2</v>
      </c>
    </row>
    <row r="202" spans="1:26" s="26" customFormat="1" outlineLevel="1" collapsed="1" x14ac:dyDescent="0.25">
      <c r="A202" s="27"/>
      <c r="B202" s="13" t="str">
        <f>CONCATENATE("     ","General                                           ")</f>
        <v xml:space="preserve">     General                                           </v>
      </c>
      <c r="C202" s="13"/>
      <c r="D202" s="1">
        <f>SUM(OSRRefD22_11x_0)</f>
        <v>316.16000000000003</v>
      </c>
      <c r="E202" s="1"/>
      <c r="F202" s="5">
        <f t="shared" ref="F202:F216" si="66">IF(D$12=0,0,D202/D$12)</f>
        <v>1.4546590044135443E-4</v>
      </c>
      <c r="G202" s="1"/>
      <c r="H202" s="1">
        <f>SUM(OSRRefH22_11x_0)</f>
        <v>423.56</v>
      </c>
      <c r="I202" s="1"/>
      <c r="J202" s="5">
        <f t="shared" ref="J202:J216" si="67">IF(H$12=0,0,H202/H$12)</f>
        <v>1.624001898405921E-4</v>
      </c>
      <c r="K202" s="1"/>
      <c r="L202" s="1">
        <f t="shared" ref="L202:L216" si="68">+D202-H202</f>
        <v>-107.39999999999998</v>
      </c>
      <c r="M202" s="1"/>
      <c r="N202" s="5">
        <f t="shared" ref="N202:N216" si="69">IF(H202=0,0,L202/H202)</f>
        <v>-0.25356502030408912</v>
      </c>
      <c r="O202" s="13"/>
      <c r="P202" s="1">
        <f>SUM(OSRRefP22_11x_0)</f>
        <v>-1031.5899999999999</v>
      </c>
      <c r="Q202" s="1"/>
      <c r="R202" s="5">
        <f t="shared" ref="R202:R216" si="70">IF(P$12=0,0,P202/P$12)</f>
        <v>-1.3417111512302303E-4</v>
      </c>
      <c r="S202" s="1"/>
      <c r="T202" s="1">
        <f>SUM(OSRRefT22_11x_0)</f>
        <v>14131.68</v>
      </c>
      <c r="U202" s="1"/>
      <c r="V202" s="5">
        <f t="shared" ref="V202:V216" si="71">IF(T$12=0,0,T202/T$12)</f>
        <v>1.6585152119468309E-3</v>
      </c>
      <c r="W202" s="1"/>
      <c r="X202" s="1">
        <f t="shared" ref="X202:X216" si="72">+P202-T202</f>
        <v>-15163.27</v>
      </c>
      <c r="Y202" s="1"/>
      <c r="Z202" s="5">
        <f t="shared" ref="Z202:Z216" si="73">IF(T202=0,0,X202/T202)</f>
        <v>-1.0729983979257951</v>
      </c>
    </row>
    <row r="203" spans="1:26" s="24" customFormat="1" hidden="1" outlineLevel="2" x14ac:dyDescent="0.25">
      <c r="A203" s="25"/>
      <c r="B203" s="11" t="str">
        <f>CONCATENATE("          ", "6279", " - ", "GENERAL EXPENSE")</f>
        <v xml:space="preserve">          6279 - GENERAL EXPENSE</v>
      </c>
      <c r="C203" s="11"/>
      <c r="D203" s="6">
        <v>316.16000000000003</v>
      </c>
      <c r="E203" s="2"/>
      <c r="F203" s="7">
        <f t="shared" si="66"/>
        <v>1.4546590044135443E-4</v>
      </c>
      <c r="G203" s="2"/>
      <c r="H203" s="6">
        <v>423.56</v>
      </c>
      <c r="I203" s="2"/>
      <c r="J203" s="7">
        <f t="shared" si="67"/>
        <v>1.624001898405921E-4</v>
      </c>
      <c r="K203" s="2"/>
      <c r="L203" s="6">
        <f t="shared" si="68"/>
        <v>-107.39999999999998</v>
      </c>
      <c r="M203" s="2"/>
      <c r="N203" s="7">
        <f t="shared" si="69"/>
        <v>-0.25356502030408912</v>
      </c>
      <c r="O203" s="11"/>
      <c r="P203" s="6">
        <v>-1031.5899999999999</v>
      </c>
      <c r="Q203" s="2"/>
      <c r="R203" s="7">
        <f t="shared" si="70"/>
        <v>-1.3417111512302303E-4</v>
      </c>
      <c r="S203" s="2"/>
      <c r="T203" s="6">
        <v>14131.68</v>
      </c>
      <c r="U203" s="2"/>
      <c r="V203" s="7">
        <f t="shared" si="71"/>
        <v>1.6585152119468309E-3</v>
      </c>
      <c r="W203" s="2"/>
      <c r="X203" s="6">
        <f t="shared" si="72"/>
        <v>-15163.27</v>
      </c>
      <c r="Y203" s="2"/>
      <c r="Z203" s="7">
        <f t="shared" si="73"/>
        <v>-1.0729983979257951</v>
      </c>
    </row>
    <row r="204" spans="1:26" s="26" customFormat="1" outlineLevel="1" collapsed="1" x14ac:dyDescent="0.25">
      <c r="A204" s="27"/>
      <c r="B204" s="13" t="str">
        <f>CONCATENATE("     ","Insurance                                         ")</f>
        <v xml:space="preserve">     Insurance                                         </v>
      </c>
      <c r="C204" s="13"/>
      <c r="D204" s="1">
        <f>SUM(OSRRefD22_12x_0)</f>
        <v>4044.74</v>
      </c>
      <c r="E204" s="1"/>
      <c r="F204" s="5">
        <f t="shared" si="66"/>
        <v>1.8609936302858166E-3</v>
      </c>
      <c r="G204" s="1"/>
      <c r="H204" s="1">
        <f>SUM(OSRRefH22_12x_0)</f>
        <v>3809.97</v>
      </c>
      <c r="I204" s="1"/>
      <c r="J204" s="5">
        <f t="shared" si="67"/>
        <v>1.4608080349583544E-3</v>
      </c>
      <c r="K204" s="1"/>
      <c r="L204" s="1">
        <f t="shared" si="68"/>
        <v>234.76999999999998</v>
      </c>
      <c r="M204" s="1"/>
      <c r="N204" s="5">
        <f t="shared" si="69"/>
        <v>6.1619907768302638E-2</v>
      </c>
      <c r="O204" s="13"/>
      <c r="P204" s="1">
        <f>SUM(OSRRefP22_12x_0)</f>
        <v>28313.18</v>
      </c>
      <c r="Q204" s="1"/>
      <c r="R204" s="5">
        <f t="shared" si="70"/>
        <v>3.6824813475110013E-3</v>
      </c>
      <c r="S204" s="1"/>
      <c r="T204" s="1">
        <f>SUM(OSRRefT22_12x_0)</f>
        <v>26669.79</v>
      </c>
      <c r="U204" s="1"/>
      <c r="V204" s="5">
        <f t="shared" si="71"/>
        <v>3.1300066527424533E-3</v>
      </c>
      <c r="W204" s="1"/>
      <c r="X204" s="1">
        <f t="shared" si="72"/>
        <v>1643.3899999999994</v>
      </c>
      <c r="Y204" s="1"/>
      <c r="Z204" s="5">
        <f t="shared" si="73"/>
        <v>6.1619907768302611E-2</v>
      </c>
    </row>
    <row r="205" spans="1:26" s="24" customFormat="1" hidden="1" outlineLevel="2" x14ac:dyDescent="0.25">
      <c r="A205" s="25"/>
      <c r="B205" s="11" t="str">
        <f>CONCATENATE("          ", "6314", " - ", "LIABILITY INSURANCE")</f>
        <v xml:space="preserve">          6314 - LIABILITY INSURANCE</v>
      </c>
      <c r="C205" s="11"/>
      <c r="D205" s="6">
        <v>4044.74</v>
      </c>
      <c r="E205" s="2"/>
      <c r="F205" s="7">
        <f t="shared" si="66"/>
        <v>1.8609936302858166E-3</v>
      </c>
      <c r="G205" s="2"/>
      <c r="H205" s="6">
        <v>3809.97</v>
      </c>
      <c r="I205" s="2"/>
      <c r="J205" s="7">
        <f t="shared" si="67"/>
        <v>1.4608080349583544E-3</v>
      </c>
      <c r="K205" s="2"/>
      <c r="L205" s="6">
        <f t="shared" si="68"/>
        <v>234.76999999999998</v>
      </c>
      <c r="M205" s="2"/>
      <c r="N205" s="7">
        <f t="shared" si="69"/>
        <v>6.1619907768302638E-2</v>
      </c>
      <c r="O205" s="11"/>
      <c r="P205" s="6">
        <v>28313.18</v>
      </c>
      <c r="Q205" s="2"/>
      <c r="R205" s="7">
        <f t="shared" si="70"/>
        <v>3.6824813475110013E-3</v>
      </c>
      <c r="S205" s="2"/>
      <c r="T205" s="6">
        <v>26669.79</v>
      </c>
      <c r="U205" s="2"/>
      <c r="V205" s="7">
        <f t="shared" si="71"/>
        <v>3.1300066527424533E-3</v>
      </c>
      <c r="W205" s="2"/>
      <c r="X205" s="6">
        <f t="shared" si="72"/>
        <v>1643.3899999999994</v>
      </c>
      <c r="Y205" s="2"/>
      <c r="Z205" s="7">
        <f t="shared" si="73"/>
        <v>6.1619907768302611E-2</v>
      </c>
    </row>
    <row r="206" spans="1:26" s="26" customFormat="1" outlineLevel="1" collapsed="1" x14ac:dyDescent="0.25">
      <c r="A206" s="27"/>
      <c r="B206" s="13" t="str">
        <f>CONCATENATE("     ","Inventory Adjustment                              ")</f>
        <v xml:space="preserve">     Inventory Adjustment                              </v>
      </c>
      <c r="C206" s="13"/>
      <c r="D206" s="1">
        <f>SUM(OSRRefD22_13x_0)</f>
        <v>4250</v>
      </c>
      <c r="E206" s="1"/>
      <c r="F206" s="5">
        <f t="shared" si="66"/>
        <v>1.9554342006444718E-3</v>
      </c>
      <c r="G206" s="1"/>
      <c r="H206" s="1">
        <f>SUM(OSRRefH22_13x_0)</f>
        <v>8750</v>
      </c>
      <c r="I206" s="1"/>
      <c r="J206" s="5">
        <f t="shared" si="67"/>
        <v>3.3549005125724355E-3</v>
      </c>
      <c r="K206" s="1"/>
      <c r="L206" s="1">
        <f t="shared" si="68"/>
        <v>-4500</v>
      </c>
      <c r="M206" s="1"/>
      <c r="N206" s="5">
        <f t="shared" si="69"/>
        <v>-0.51428571428571423</v>
      </c>
      <c r="O206" s="13"/>
      <c r="P206" s="1">
        <f>SUM(OSRRefP22_13x_0)</f>
        <v>35450</v>
      </c>
      <c r="Q206" s="1"/>
      <c r="R206" s="5">
        <f t="shared" si="70"/>
        <v>4.6107135888397207E-3</v>
      </c>
      <c r="S206" s="1"/>
      <c r="T206" s="1">
        <f>SUM(OSRRefT22_13x_0)</f>
        <v>61250</v>
      </c>
      <c r="U206" s="1"/>
      <c r="V206" s="5">
        <f t="shared" si="71"/>
        <v>7.1883920900942698E-3</v>
      </c>
      <c r="W206" s="1"/>
      <c r="X206" s="1">
        <f t="shared" si="72"/>
        <v>-25800</v>
      </c>
      <c r="Y206" s="1"/>
      <c r="Z206" s="5">
        <f t="shared" si="73"/>
        <v>-0.42122448979591837</v>
      </c>
    </row>
    <row r="207" spans="1:26" s="24" customFormat="1" hidden="1" outlineLevel="2" x14ac:dyDescent="0.25">
      <c r="A207" s="25"/>
      <c r="B207" s="11" t="str">
        <f>CONCATENATE("          ", "6408", " - ", "INVENTORY ADJUSTMENT")</f>
        <v xml:space="preserve">          6408 - INVENTORY ADJUSTMENT</v>
      </c>
      <c r="C207" s="11"/>
      <c r="D207" s="6">
        <v>4250</v>
      </c>
      <c r="E207" s="2"/>
      <c r="F207" s="7">
        <f t="shared" si="66"/>
        <v>1.9554342006444718E-3</v>
      </c>
      <c r="G207" s="2"/>
      <c r="H207" s="6">
        <v>8750</v>
      </c>
      <c r="I207" s="2"/>
      <c r="J207" s="7">
        <f t="shared" si="67"/>
        <v>3.3549005125724355E-3</v>
      </c>
      <c r="K207" s="2"/>
      <c r="L207" s="6">
        <f t="shared" si="68"/>
        <v>-4500</v>
      </c>
      <c r="M207" s="2"/>
      <c r="N207" s="7">
        <f t="shared" si="69"/>
        <v>-0.51428571428571423</v>
      </c>
      <c r="O207" s="11"/>
      <c r="P207" s="6">
        <v>35450</v>
      </c>
      <c r="Q207" s="2"/>
      <c r="R207" s="7">
        <f t="shared" si="70"/>
        <v>4.6107135888397207E-3</v>
      </c>
      <c r="S207" s="2"/>
      <c r="T207" s="6">
        <v>61250</v>
      </c>
      <c r="U207" s="2"/>
      <c r="V207" s="7">
        <f t="shared" si="71"/>
        <v>7.1883920900942698E-3</v>
      </c>
      <c r="W207" s="2"/>
      <c r="X207" s="6">
        <f t="shared" si="72"/>
        <v>-25800</v>
      </c>
      <c r="Y207" s="2"/>
      <c r="Z207" s="7">
        <f t="shared" si="73"/>
        <v>-0.42122448979591837</v>
      </c>
    </row>
    <row r="208" spans="1:26" s="26" customFormat="1" outlineLevel="1" collapsed="1" x14ac:dyDescent="0.25">
      <c r="A208" s="27"/>
      <c r="B208" s="13" t="str">
        <f>CONCATENATE("     ","Professional Services                             ")</f>
        <v xml:space="preserve">     Professional Services                             </v>
      </c>
      <c r="C208" s="13"/>
      <c r="D208" s="1">
        <f>SUM(OSRRefD22_14x_0)</f>
        <v>0</v>
      </c>
      <c r="E208" s="1"/>
      <c r="F208" s="5">
        <f t="shared" si="66"/>
        <v>0</v>
      </c>
      <c r="G208" s="1"/>
      <c r="H208" s="1">
        <f>SUM(OSRRefH22_14x_0)</f>
        <v>0</v>
      </c>
      <c r="I208" s="1"/>
      <c r="J208" s="5">
        <f t="shared" si="67"/>
        <v>0</v>
      </c>
      <c r="K208" s="1"/>
      <c r="L208" s="1">
        <f t="shared" si="68"/>
        <v>0</v>
      </c>
      <c r="M208" s="1"/>
      <c r="N208" s="5">
        <f t="shared" si="69"/>
        <v>0</v>
      </c>
      <c r="O208" s="13"/>
      <c r="P208" s="1">
        <f>SUM(OSRRefP22_14x_0)</f>
        <v>6199.56</v>
      </c>
      <c r="Q208" s="1"/>
      <c r="R208" s="5">
        <f t="shared" si="70"/>
        <v>8.0632991641261436E-4</v>
      </c>
      <c r="S208" s="1"/>
      <c r="T208" s="1">
        <f>SUM(OSRRefT22_14x_0)</f>
        <v>8276.43</v>
      </c>
      <c r="U208" s="1"/>
      <c r="V208" s="5">
        <f t="shared" si="71"/>
        <v>9.713342685096967E-4</v>
      </c>
      <c r="W208" s="1"/>
      <c r="X208" s="1">
        <f t="shared" si="72"/>
        <v>-2076.87</v>
      </c>
      <c r="Y208" s="1"/>
      <c r="Z208" s="5">
        <f t="shared" si="73"/>
        <v>-0.25093790438631147</v>
      </c>
    </row>
    <row r="209" spans="1:26" s="24" customFormat="1" hidden="1" outlineLevel="2" x14ac:dyDescent="0.25">
      <c r="A209" s="25"/>
      <c r="B209" s="11" t="str">
        <f>CONCATENATE("          ", "6336", " - ", "PROFESSIONAL SERVICES")</f>
        <v xml:space="preserve">          6336 - PROFESSIONAL SERVICES</v>
      </c>
      <c r="C209" s="11"/>
      <c r="D209" s="6"/>
      <c r="E209" s="2"/>
      <c r="F209" s="7">
        <f t="shared" si="66"/>
        <v>0</v>
      </c>
      <c r="G209" s="2"/>
      <c r="H209" s="6"/>
      <c r="I209" s="2"/>
      <c r="J209" s="7">
        <f t="shared" si="67"/>
        <v>0</v>
      </c>
      <c r="K209" s="2"/>
      <c r="L209" s="6">
        <f t="shared" si="68"/>
        <v>0</v>
      </c>
      <c r="M209" s="2"/>
      <c r="N209" s="7">
        <f t="shared" si="69"/>
        <v>0</v>
      </c>
      <c r="O209" s="11"/>
      <c r="P209" s="6">
        <v>6199.56</v>
      </c>
      <c r="Q209" s="2"/>
      <c r="R209" s="7">
        <f t="shared" si="70"/>
        <v>8.0632991641261436E-4</v>
      </c>
      <c r="S209" s="2"/>
      <c r="T209" s="6">
        <v>8276.43</v>
      </c>
      <c r="U209" s="2"/>
      <c r="V209" s="7">
        <f t="shared" si="71"/>
        <v>9.713342685096967E-4</v>
      </c>
      <c r="W209" s="2"/>
      <c r="X209" s="6">
        <f t="shared" si="72"/>
        <v>-2076.87</v>
      </c>
      <c r="Y209" s="2"/>
      <c r="Z209" s="7">
        <f t="shared" si="73"/>
        <v>-0.25093790438631147</v>
      </c>
    </row>
    <row r="210" spans="1:26" s="26" customFormat="1" outlineLevel="1" collapsed="1" x14ac:dyDescent="0.25">
      <c r="A210" s="27"/>
      <c r="B210" s="13" t="str">
        <f>CONCATENATE("     ","Rent                                              ")</f>
        <v xml:space="preserve">     Rent                                              </v>
      </c>
      <c r="C210" s="13"/>
      <c r="D210" s="1">
        <f>SUM(OSRRefD22_15x_0)</f>
        <v>7700</v>
      </c>
      <c r="E210" s="1"/>
      <c r="F210" s="5">
        <f t="shared" si="66"/>
        <v>3.5427866694029255E-3</v>
      </c>
      <c r="G210" s="1"/>
      <c r="H210" s="1">
        <f>SUM(OSRRefH22_15x_0)</f>
        <v>6100</v>
      </c>
      <c r="I210" s="1"/>
      <c r="J210" s="5">
        <f t="shared" si="67"/>
        <v>2.3388449287647839E-3</v>
      </c>
      <c r="K210" s="1"/>
      <c r="L210" s="1">
        <f t="shared" si="68"/>
        <v>1600</v>
      </c>
      <c r="M210" s="1"/>
      <c r="N210" s="5">
        <f t="shared" si="69"/>
        <v>0.26229508196721313</v>
      </c>
      <c r="O210" s="13"/>
      <c r="P210" s="1">
        <f>SUM(OSRRefP22_15x_0)</f>
        <v>44300</v>
      </c>
      <c r="Q210" s="1"/>
      <c r="R210" s="5">
        <f t="shared" si="70"/>
        <v>5.7617662055176192E-3</v>
      </c>
      <c r="S210" s="1"/>
      <c r="T210" s="1">
        <f>SUM(OSRRefT22_15x_0)</f>
        <v>43600.85</v>
      </c>
      <c r="U210" s="1"/>
      <c r="V210" s="5">
        <f t="shared" si="71"/>
        <v>5.1170613103899872E-3</v>
      </c>
      <c r="W210" s="1"/>
      <c r="X210" s="1">
        <f t="shared" si="72"/>
        <v>699.15000000000146</v>
      </c>
      <c r="Y210" s="1"/>
      <c r="Z210" s="5">
        <f t="shared" si="73"/>
        <v>1.6035237845133787E-2</v>
      </c>
    </row>
    <row r="211" spans="1:26" s="24" customFormat="1" hidden="1" outlineLevel="2" x14ac:dyDescent="0.25">
      <c r="A211" s="25"/>
      <c r="B211" s="11" t="str">
        <f>CONCATENATE("          ", "6273", " - ", "RENT")</f>
        <v xml:space="preserve">          6273 - RENT</v>
      </c>
      <c r="C211" s="11"/>
      <c r="D211" s="6">
        <v>7700</v>
      </c>
      <c r="E211" s="2"/>
      <c r="F211" s="7">
        <f t="shared" si="66"/>
        <v>3.5427866694029255E-3</v>
      </c>
      <c r="G211" s="2"/>
      <c r="H211" s="6">
        <v>6100</v>
      </c>
      <c r="I211" s="2"/>
      <c r="J211" s="7">
        <f t="shared" si="67"/>
        <v>2.3388449287647839E-3</v>
      </c>
      <c r="K211" s="2"/>
      <c r="L211" s="6">
        <f t="shared" si="68"/>
        <v>1600</v>
      </c>
      <c r="M211" s="2"/>
      <c r="N211" s="7">
        <f t="shared" si="69"/>
        <v>0.26229508196721313</v>
      </c>
      <c r="O211" s="11"/>
      <c r="P211" s="6">
        <v>44300</v>
      </c>
      <c r="Q211" s="2"/>
      <c r="R211" s="7">
        <f t="shared" si="70"/>
        <v>5.7617662055176192E-3</v>
      </c>
      <c r="S211" s="2"/>
      <c r="T211" s="6">
        <v>43600.85</v>
      </c>
      <c r="U211" s="2"/>
      <c r="V211" s="7">
        <f t="shared" si="71"/>
        <v>5.1170613103899872E-3</v>
      </c>
      <c r="W211" s="2"/>
      <c r="X211" s="6">
        <f t="shared" si="72"/>
        <v>699.15000000000146</v>
      </c>
      <c r="Y211" s="2"/>
      <c r="Z211" s="7">
        <f t="shared" si="73"/>
        <v>1.6035237845133787E-2</v>
      </c>
    </row>
    <row r="212" spans="1:26" s="26" customFormat="1" outlineLevel="1" collapsed="1" x14ac:dyDescent="0.25">
      <c r="A212" s="27"/>
      <c r="B212" s="13" t="str">
        <f>CONCATENATE("     ","Repair and Maintenance                            ")</f>
        <v xml:space="preserve">     Repair and Maintenance                            </v>
      </c>
      <c r="C212" s="13"/>
      <c r="D212" s="1">
        <f>SUM(OSRRefD22_16x_0)</f>
        <v>19358.940000000002</v>
      </c>
      <c r="E212" s="1"/>
      <c r="F212" s="5">
        <f t="shared" si="66"/>
        <v>8.9070902033468943E-3</v>
      </c>
      <c r="G212" s="1"/>
      <c r="H212" s="1">
        <f>SUM(OSRRefH22_16x_0)</f>
        <v>10359.519999999999</v>
      </c>
      <c r="I212" s="1"/>
      <c r="J212" s="5">
        <f t="shared" si="67"/>
        <v>3.9720181666290733E-3</v>
      </c>
      <c r="K212" s="1"/>
      <c r="L212" s="1">
        <f t="shared" si="68"/>
        <v>8999.4200000000037</v>
      </c>
      <c r="M212" s="1"/>
      <c r="N212" s="5">
        <f t="shared" si="69"/>
        <v>0.86871013328802926</v>
      </c>
      <c r="O212" s="13"/>
      <c r="P212" s="1">
        <f>SUM(OSRRefP22_16x_0)</f>
        <v>101513.78</v>
      </c>
      <c r="Q212" s="1"/>
      <c r="R212" s="5">
        <f t="shared" si="70"/>
        <v>1.3203130180549671E-2</v>
      </c>
      <c r="S212" s="1"/>
      <c r="T212" s="1">
        <f>SUM(OSRRefT22_16x_0)</f>
        <v>132767.51999999999</v>
      </c>
      <c r="U212" s="1"/>
      <c r="V212" s="5">
        <f t="shared" si="71"/>
        <v>1.5581795764725431E-2</v>
      </c>
      <c r="W212" s="1"/>
      <c r="X212" s="1">
        <f t="shared" si="72"/>
        <v>-31253.739999999991</v>
      </c>
      <c r="Y212" s="1"/>
      <c r="Z212" s="5">
        <f t="shared" si="73"/>
        <v>-0.23540200193541308</v>
      </c>
    </row>
    <row r="213" spans="1:26" s="24" customFormat="1" hidden="1" outlineLevel="2" x14ac:dyDescent="0.25">
      <c r="A213" s="25"/>
      <c r="B213" s="11" t="str">
        <f>CONCATENATE("          ", "6371", " - ", "COMPUTER SOFTWARE MAINTENANCE")</f>
        <v xml:space="preserve">          6371 - COMPUTER SOFTWARE MAINTENANCE</v>
      </c>
      <c r="C213" s="11"/>
      <c r="D213" s="6">
        <v>601</v>
      </c>
      <c r="E213" s="2"/>
      <c r="F213" s="7">
        <f t="shared" si="66"/>
        <v>2.7652140107937122E-4</v>
      </c>
      <c r="G213" s="2"/>
      <c r="H213" s="6">
        <v>601</v>
      </c>
      <c r="I213" s="2"/>
      <c r="J213" s="7">
        <f t="shared" si="67"/>
        <v>2.3043373806354672E-4</v>
      </c>
      <c r="K213" s="2"/>
      <c r="L213" s="6">
        <f t="shared" si="68"/>
        <v>0</v>
      </c>
      <c r="M213" s="2"/>
      <c r="N213" s="7">
        <f t="shared" si="69"/>
        <v>0</v>
      </c>
      <c r="O213" s="11"/>
      <c r="P213" s="6">
        <v>14554.4</v>
      </c>
      <c r="Q213" s="2"/>
      <c r="R213" s="7">
        <f t="shared" si="70"/>
        <v>1.8929808140312786E-3</v>
      </c>
      <c r="S213" s="2"/>
      <c r="T213" s="6">
        <v>50638.83</v>
      </c>
      <c r="U213" s="2"/>
      <c r="V213" s="7">
        <f t="shared" si="71"/>
        <v>5.9430492248755658E-3</v>
      </c>
      <c r="W213" s="2"/>
      <c r="X213" s="6">
        <f t="shared" si="72"/>
        <v>-36084.43</v>
      </c>
      <c r="Y213" s="2"/>
      <c r="Z213" s="7">
        <f t="shared" si="73"/>
        <v>-0.7125841967517812</v>
      </c>
    </row>
    <row r="214" spans="1:26" s="24" customFormat="1" hidden="1" outlineLevel="2" x14ac:dyDescent="0.25">
      <c r="A214" s="25"/>
      <c r="B214" s="11" t="str">
        <f>CONCATENATE("          ", "6372", " - ", "COMPUTER HARDWARE MAINTENANCE")</f>
        <v xml:space="preserve">          6372 - COMPUTER HARDWARE MAINTENANCE</v>
      </c>
      <c r="C214" s="11"/>
      <c r="D214" s="6">
        <v>52.32</v>
      </c>
      <c r="E214" s="2"/>
      <c r="F214" s="7">
        <f t="shared" si="66"/>
        <v>2.4072545265345593E-5</v>
      </c>
      <c r="G214" s="2"/>
      <c r="H214" s="6">
        <v>49.56</v>
      </c>
      <c r="I214" s="2"/>
      <c r="J214" s="7">
        <f t="shared" si="67"/>
        <v>1.9002156503210275E-5</v>
      </c>
      <c r="K214" s="2"/>
      <c r="L214" s="6">
        <f t="shared" si="68"/>
        <v>2.759999999999998</v>
      </c>
      <c r="M214" s="2"/>
      <c r="N214" s="7">
        <f t="shared" si="69"/>
        <v>5.5690072639225138E-2</v>
      </c>
      <c r="O214" s="11"/>
      <c r="P214" s="6">
        <v>52.32</v>
      </c>
      <c r="Q214" s="2"/>
      <c r="R214" s="7">
        <f t="shared" si="70"/>
        <v>6.8048669948686647E-6</v>
      </c>
      <c r="S214" s="2"/>
      <c r="T214" s="6">
        <v>49.56</v>
      </c>
      <c r="U214" s="2"/>
      <c r="V214" s="7">
        <f t="shared" si="71"/>
        <v>5.8164361140419919E-6</v>
      </c>
      <c r="W214" s="2"/>
      <c r="X214" s="6">
        <f t="shared" si="72"/>
        <v>2.759999999999998</v>
      </c>
      <c r="Y214" s="2"/>
      <c r="Z214" s="7">
        <f t="shared" si="73"/>
        <v>5.5690072639225138E-2</v>
      </c>
    </row>
    <row r="215" spans="1:26" s="24" customFormat="1" hidden="1" outlineLevel="2" x14ac:dyDescent="0.25">
      <c r="A215" s="25"/>
      <c r="B215" s="11" t="str">
        <f>CONCATENATE("          ", "6373", " - ", "MAINTENANCE CONTRACTS")</f>
        <v xml:space="preserve">          6373 - MAINTENANCE CONTRACTS</v>
      </c>
      <c r="C215" s="11"/>
      <c r="D215" s="6">
        <v>12841.11</v>
      </c>
      <c r="E215" s="2"/>
      <c r="F215" s="7">
        <f t="shared" si="66"/>
        <v>5.9082225101735851E-3</v>
      </c>
      <c r="G215" s="2"/>
      <c r="H215" s="6">
        <v>8279.82</v>
      </c>
      <c r="I215" s="2"/>
      <c r="J215" s="7">
        <f t="shared" si="67"/>
        <v>3.1746254128008577E-3</v>
      </c>
      <c r="K215" s="2"/>
      <c r="L215" s="6">
        <f t="shared" si="68"/>
        <v>4561.2900000000009</v>
      </c>
      <c r="M215" s="2"/>
      <c r="N215" s="7">
        <f t="shared" si="69"/>
        <v>0.55089241070458062</v>
      </c>
      <c r="O215" s="11"/>
      <c r="P215" s="6">
        <v>52539.5</v>
      </c>
      <c r="Q215" s="2"/>
      <c r="R215" s="7">
        <f t="shared" si="70"/>
        <v>6.8334157010111283E-3</v>
      </c>
      <c r="S215" s="2"/>
      <c r="T215" s="6">
        <v>59687.44</v>
      </c>
      <c r="U215" s="2"/>
      <c r="V215" s="7">
        <f t="shared" si="71"/>
        <v>7.005007699166961E-3</v>
      </c>
      <c r="W215" s="2"/>
      <c r="X215" s="6">
        <f t="shared" si="72"/>
        <v>-7147.9400000000023</v>
      </c>
      <c r="Y215" s="2"/>
      <c r="Z215" s="7">
        <f t="shared" si="73"/>
        <v>-0.1197561832104041</v>
      </c>
    </row>
    <row r="216" spans="1:26" s="24" customFormat="1" hidden="1" outlineLevel="2" x14ac:dyDescent="0.25">
      <c r="A216" s="25"/>
      <c r="B216" s="11" t="str">
        <f>CONCATENATE("          ", "6375", " - ", "OUTSIDE REPAIRS &amp; MAINTENANCE")</f>
        <v xml:space="preserve">          6375 - OUTSIDE REPAIRS &amp; MAINTENANCE</v>
      </c>
      <c r="C216" s="11"/>
      <c r="D216" s="6">
        <v>5864.51</v>
      </c>
      <c r="E216" s="2"/>
      <c r="F216" s="7">
        <f t="shared" si="66"/>
        <v>2.6982737468285913E-3</v>
      </c>
      <c r="G216" s="2"/>
      <c r="H216" s="6">
        <v>1429.14</v>
      </c>
      <c r="I216" s="2"/>
      <c r="J216" s="7">
        <f t="shared" si="67"/>
        <v>5.4795685926145956E-4</v>
      </c>
      <c r="K216" s="2"/>
      <c r="L216" s="6">
        <f t="shared" si="68"/>
        <v>4435.37</v>
      </c>
      <c r="M216" s="2"/>
      <c r="N216" s="7">
        <f t="shared" si="69"/>
        <v>3.1035237975285832</v>
      </c>
      <c r="O216" s="11"/>
      <c r="P216" s="6">
        <v>34367.56</v>
      </c>
      <c r="Q216" s="2"/>
      <c r="R216" s="7">
        <f t="shared" si="70"/>
        <v>4.4699287985123948E-3</v>
      </c>
      <c r="S216" s="2"/>
      <c r="T216" s="6">
        <v>22391.69</v>
      </c>
      <c r="U216" s="2"/>
      <c r="V216" s="7">
        <f t="shared" si="71"/>
        <v>2.6279224045688645E-3</v>
      </c>
      <c r="W216" s="2"/>
      <c r="X216" s="6">
        <f t="shared" si="72"/>
        <v>11975.869999999999</v>
      </c>
      <c r="Y216" s="2"/>
      <c r="Z216" s="7">
        <f t="shared" si="73"/>
        <v>0.53483546797941561</v>
      </c>
    </row>
    <row r="217" spans="1:26" s="26" customFormat="1" outlineLevel="1" collapsed="1" x14ac:dyDescent="0.25">
      <c r="A217" s="27"/>
      <c r="B217" s="13" t="str">
        <f>CONCATENATE("     ","Royalty &amp; Commissions                             ")</f>
        <v xml:space="preserve">     Royalty &amp; Commissions                             </v>
      </c>
      <c r="C217" s="13"/>
      <c r="D217" s="1">
        <f>SUM(OSRRefD22_17x_0)</f>
        <v>8601.39</v>
      </c>
      <c r="E217" s="1"/>
      <c r="F217" s="5">
        <f t="shared" ref="F217:F220" si="74">IF(D$12=0,0,D217/D$12)</f>
        <v>3.9575181597838478E-3</v>
      </c>
      <c r="G217" s="1"/>
      <c r="H217" s="1">
        <f>SUM(OSRRefH22_17x_0)</f>
        <v>15405.41</v>
      </c>
      <c r="I217" s="1"/>
      <c r="J217" s="5">
        <f t="shared" ref="J217:J220" si="75">IF(H$12=0,0,H217/H$12)</f>
        <v>5.9066991891872601E-3</v>
      </c>
      <c r="K217" s="1"/>
      <c r="L217" s="1">
        <f t="shared" ref="L217:L220" si="76">+D217-H217</f>
        <v>-6804.02</v>
      </c>
      <c r="M217" s="1"/>
      <c r="N217" s="5">
        <f t="shared" ref="N217:N220" si="77">IF(H217=0,0,L217/H217)</f>
        <v>-0.44166432441590325</v>
      </c>
      <c r="O217" s="13"/>
      <c r="P217" s="1">
        <f>SUM(OSRRefP22_17x_0)</f>
        <v>72092.160000000003</v>
      </c>
      <c r="Q217" s="1"/>
      <c r="R217" s="5">
        <f t="shared" ref="R217:R220" si="78">IF(P$12=0,0,P217/P$12)</f>
        <v>9.3764824192047215E-3</v>
      </c>
      <c r="S217" s="1"/>
      <c r="T217" s="1">
        <f>SUM(OSRRefT22_17x_0)</f>
        <v>99805.37</v>
      </c>
      <c r="U217" s="1"/>
      <c r="V217" s="5">
        <f t="shared" ref="V217:V220" si="79">IF(T$12=0,0,T217/T$12)</f>
        <v>1.1713308281745827E-2</v>
      </c>
      <c r="W217" s="1"/>
      <c r="X217" s="1">
        <f t="shared" ref="X217:X220" si="80">+P217-T217</f>
        <v>-27713.209999999992</v>
      </c>
      <c r="Y217" s="1"/>
      <c r="Z217" s="5">
        <f t="shared" ref="Z217:Z220" si="81">IF(T217=0,0,X217/T217)</f>
        <v>-0.27767253405302733</v>
      </c>
    </row>
    <row r="218" spans="1:26" s="24" customFormat="1" hidden="1" outlineLevel="2" x14ac:dyDescent="0.25">
      <c r="A218" s="25"/>
      <c r="B218" s="11" t="str">
        <f>CONCATENATE("          ", "6253", " - ", "ROYALTY DUE ATHLETICS-LRG")</f>
        <v xml:space="preserve">          6253 - ROYALTY DUE ATHLETICS-LRG</v>
      </c>
      <c r="C218" s="11"/>
      <c r="D218" s="6"/>
      <c r="E218" s="2"/>
      <c r="F218" s="7">
        <f t="shared" si="74"/>
        <v>0</v>
      </c>
      <c r="G218" s="2"/>
      <c r="H218" s="6">
        <v>9007.2199999999993</v>
      </c>
      <c r="I218" s="2"/>
      <c r="J218" s="7">
        <f t="shared" si="75"/>
        <v>3.4535230851260217E-3</v>
      </c>
      <c r="K218" s="2"/>
      <c r="L218" s="6">
        <f t="shared" si="76"/>
        <v>-9007.2199999999993</v>
      </c>
      <c r="M218" s="2"/>
      <c r="N218" s="7">
        <f t="shared" si="77"/>
        <v>-1</v>
      </c>
      <c r="O218" s="11"/>
      <c r="P218" s="6">
        <v>4366.95</v>
      </c>
      <c r="Q218" s="2"/>
      <c r="R218" s="7">
        <f t="shared" si="78"/>
        <v>5.6797618354819789E-4</v>
      </c>
      <c r="S218" s="2"/>
      <c r="T218" s="6">
        <v>35179.64</v>
      </c>
      <c r="U218" s="2"/>
      <c r="V218" s="7">
        <f t="shared" si="79"/>
        <v>4.1287354434018609E-3</v>
      </c>
      <c r="W218" s="2"/>
      <c r="X218" s="6">
        <f t="shared" si="80"/>
        <v>-30812.69</v>
      </c>
      <c r="Y218" s="2"/>
      <c r="Z218" s="7">
        <f t="shared" si="81"/>
        <v>-0.87586712086877516</v>
      </c>
    </row>
    <row r="219" spans="1:26" s="24" customFormat="1" hidden="1" outlineLevel="2" x14ac:dyDescent="0.25">
      <c r="A219" s="25"/>
      <c r="B219" s="11" t="str">
        <f>CONCATENATE("          ", "6254", " - ", "ROYALTY &amp; COMMISSIONS")</f>
        <v xml:space="preserve">          6254 - ROYALTY &amp; COMMISSIONS</v>
      </c>
      <c r="C219" s="11"/>
      <c r="D219" s="6">
        <v>760.81</v>
      </c>
      <c r="E219" s="2"/>
      <c r="F219" s="7">
        <f t="shared" si="74"/>
        <v>3.500503280452519E-4</v>
      </c>
      <c r="G219" s="2"/>
      <c r="H219" s="6">
        <v>838.03</v>
      </c>
      <c r="I219" s="2"/>
      <c r="J219" s="7">
        <f t="shared" si="75"/>
        <v>3.213151173201232E-4</v>
      </c>
      <c r="K219" s="2"/>
      <c r="L219" s="6">
        <f t="shared" si="76"/>
        <v>-77.220000000000027</v>
      </c>
      <c r="M219" s="2"/>
      <c r="N219" s="7">
        <f t="shared" si="77"/>
        <v>-9.214467262508505E-2</v>
      </c>
      <c r="O219" s="11"/>
      <c r="P219" s="6">
        <v>3324.65</v>
      </c>
      <c r="Q219" s="2"/>
      <c r="R219" s="7">
        <f t="shared" si="78"/>
        <v>4.324120996653308E-4</v>
      </c>
      <c r="S219" s="2"/>
      <c r="T219" s="6">
        <v>3815.34</v>
      </c>
      <c r="U219" s="2"/>
      <c r="V219" s="7">
        <f t="shared" si="79"/>
        <v>4.4777403880849425E-4</v>
      </c>
      <c r="W219" s="2"/>
      <c r="X219" s="6">
        <f t="shared" si="80"/>
        <v>-490.69000000000005</v>
      </c>
      <c r="Y219" s="2"/>
      <c r="Z219" s="7">
        <f t="shared" si="81"/>
        <v>-0.12860977003360122</v>
      </c>
    </row>
    <row r="220" spans="1:26" s="24" customFormat="1" hidden="1" outlineLevel="2" x14ac:dyDescent="0.25">
      <c r="A220" s="25"/>
      <c r="B220" s="11" t="str">
        <f>CONCATENATE("          ", "6259", " - ", "ROYALTY &amp; COMMISSIONS")</f>
        <v xml:space="preserve">          6259 - ROYALTY &amp; COMMISSIONS</v>
      </c>
      <c r="C220" s="11"/>
      <c r="D220" s="6">
        <v>7840.58</v>
      </c>
      <c r="E220" s="2"/>
      <c r="F220" s="7">
        <f t="shared" si="74"/>
        <v>3.607467831738596E-3</v>
      </c>
      <c r="G220" s="2"/>
      <c r="H220" s="6">
        <v>5560.16</v>
      </c>
      <c r="I220" s="2"/>
      <c r="J220" s="7">
        <f t="shared" si="75"/>
        <v>2.1318609867411148E-3</v>
      </c>
      <c r="K220" s="2"/>
      <c r="L220" s="6">
        <f t="shared" si="76"/>
        <v>2280.42</v>
      </c>
      <c r="M220" s="2"/>
      <c r="N220" s="7">
        <f t="shared" si="77"/>
        <v>0.41013567954878999</v>
      </c>
      <c r="O220" s="11"/>
      <c r="P220" s="6">
        <v>64400.56</v>
      </c>
      <c r="Q220" s="2"/>
      <c r="R220" s="7">
        <f t="shared" si="78"/>
        <v>8.3760941359911911E-3</v>
      </c>
      <c r="S220" s="2"/>
      <c r="T220" s="6">
        <v>60810.39</v>
      </c>
      <c r="U220" s="2"/>
      <c r="V220" s="7">
        <f t="shared" si="79"/>
        <v>7.1367987995354723E-3</v>
      </c>
      <c r="W220" s="2"/>
      <c r="X220" s="6">
        <f t="shared" si="80"/>
        <v>3590.1699999999983</v>
      </c>
      <c r="Y220" s="2"/>
      <c r="Z220" s="7">
        <f t="shared" si="81"/>
        <v>5.9038759659327929E-2</v>
      </c>
    </row>
    <row r="221" spans="1:26" s="26" customFormat="1" outlineLevel="1" collapsed="1" x14ac:dyDescent="0.25">
      <c r="A221" s="27"/>
      <c r="B221" s="13" t="str">
        <f>CONCATENATE("     ","Services                                          ")</f>
        <v xml:space="preserve">     Services                                          </v>
      </c>
      <c r="C221" s="13"/>
      <c r="D221" s="1">
        <f>SUM(OSRRefD22_18x_0)</f>
        <v>4858.3</v>
      </c>
      <c r="E221" s="1"/>
      <c r="F221" s="5">
        <f t="shared" ref="F221:F225" si="82">IF(D$12=0,0,D221/D$12)</f>
        <v>2.2353143475273029E-3</v>
      </c>
      <c r="G221" s="1"/>
      <c r="H221" s="1">
        <f>SUM(OSRRefH22_18x_0)</f>
        <v>4663.16</v>
      </c>
      <c r="I221" s="1"/>
      <c r="J221" s="5">
        <f t="shared" ref="J221:J225" si="83">IF(H$12=0,0,H221/H$12)</f>
        <v>1.7879357570522603E-3</v>
      </c>
      <c r="K221" s="1"/>
      <c r="L221" s="1">
        <f t="shared" ref="L221:L225" si="84">+D221-H221</f>
        <v>195.14000000000033</v>
      </c>
      <c r="M221" s="1"/>
      <c r="N221" s="5">
        <f t="shared" ref="N221:N225" si="85">IF(H221=0,0,L221/H221)</f>
        <v>4.184715943694841E-2</v>
      </c>
      <c r="O221" s="13"/>
      <c r="P221" s="1">
        <f>SUM(OSRRefP22_18x_0)</f>
        <v>32250.18</v>
      </c>
      <c r="Q221" s="1"/>
      <c r="R221" s="5">
        <f t="shared" ref="R221:R225" si="86">IF(P$12=0,0,P221/P$12)</f>
        <v>4.1945371838794637E-3</v>
      </c>
      <c r="S221" s="1"/>
      <c r="T221" s="1">
        <f>SUM(OSRRefT22_18x_0)</f>
        <v>30837.090000000004</v>
      </c>
      <c r="U221" s="1"/>
      <c r="V221" s="5">
        <f t="shared" ref="V221:V225" si="87">IF(T$12=0,0,T221/T$12)</f>
        <v>3.619087246326941E-3</v>
      </c>
      <c r="W221" s="1"/>
      <c r="X221" s="1">
        <f t="shared" ref="X221:X225" si="88">+P221-T221</f>
        <v>1413.0899999999965</v>
      </c>
      <c r="Y221" s="1"/>
      <c r="Z221" s="5">
        <f t="shared" ref="Z221:Z225" si="89">IF(T221=0,0,X221/T221)</f>
        <v>4.5824362804661407E-2</v>
      </c>
    </row>
    <row r="222" spans="1:26" s="24" customFormat="1" hidden="1" outlineLevel="2" x14ac:dyDescent="0.25">
      <c r="A222" s="25"/>
      <c r="B222" s="11" t="str">
        <f>CONCATENATE("          ", "6282", " - ", "JANITORIAL/EXTERMINATOR EXPENS")</f>
        <v xml:space="preserve">          6282 - JANITORIAL/EXTERMINATOR EXPENS</v>
      </c>
      <c r="C222" s="11"/>
      <c r="D222" s="6">
        <v>287.52</v>
      </c>
      <c r="E222" s="2"/>
      <c r="F222" s="7">
        <f t="shared" si="82"/>
        <v>1.3228857443983494E-4</v>
      </c>
      <c r="G222" s="2"/>
      <c r="H222" s="6">
        <v>252</v>
      </c>
      <c r="I222" s="2"/>
      <c r="J222" s="7">
        <f t="shared" si="83"/>
        <v>9.6621134762086143E-5</v>
      </c>
      <c r="K222" s="2"/>
      <c r="L222" s="6">
        <f t="shared" si="84"/>
        <v>35.519999999999982</v>
      </c>
      <c r="M222" s="2"/>
      <c r="N222" s="7">
        <f t="shared" si="85"/>
        <v>0.14095238095238088</v>
      </c>
      <c r="O222" s="11"/>
      <c r="P222" s="6">
        <v>1886.52</v>
      </c>
      <c r="Q222" s="2"/>
      <c r="R222" s="7">
        <f t="shared" si="86"/>
        <v>2.4536539914295935E-4</v>
      </c>
      <c r="S222" s="2"/>
      <c r="T222" s="6">
        <v>1609.29</v>
      </c>
      <c r="U222" s="2"/>
      <c r="V222" s="7">
        <f t="shared" si="87"/>
        <v>1.8886869398641317E-4</v>
      </c>
      <c r="W222" s="2"/>
      <c r="X222" s="6">
        <f t="shared" si="88"/>
        <v>277.23</v>
      </c>
      <c r="Y222" s="2"/>
      <c r="Z222" s="7">
        <f t="shared" si="89"/>
        <v>0.17226851592938502</v>
      </c>
    </row>
    <row r="223" spans="1:26" s="24" customFormat="1" hidden="1" outlineLevel="2" x14ac:dyDescent="0.25">
      <c r="A223" s="25"/>
      <c r="B223" s="11" t="str">
        <f>CONCATENATE("          ", "6283", " - ", "PLANT SERVICE")</f>
        <v xml:space="preserve">          6283 - PLANT SERVICE</v>
      </c>
      <c r="C223" s="11"/>
      <c r="D223" s="6"/>
      <c r="E223" s="2"/>
      <c r="F223" s="7">
        <f t="shared" si="82"/>
        <v>0</v>
      </c>
      <c r="G223" s="2"/>
      <c r="H223" s="6">
        <v>173</v>
      </c>
      <c r="I223" s="2"/>
      <c r="J223" s="7">
        <f t="shared" si="83"/>
        <v>6.6331175848575012E-5</v>
      </c>
      <c r="K223" s="2"/>
      <c r="L223" s="6">
        <f t="shared" si="84"/>
        <v>-173</v>
      </c>
      <c r="M223" s="2"/>
      <c r="N223" s="7">
        <f t="shared" si="85"/>
        <v>-1</v>
      </c>
      <c r="O223" s="11"/>
      <c r="P223" s="6">
        <v>541.98</v>
      </c>
      <c r="Q223" s="2"/>
      <c r="R223" s="7">
        <f t="shared" si="86"/>
        <v>7.0491242620009925E-5</v>
      </c>
      <c r="S223" s="2"/>
      <c r="T223" s="6">
        <v>1333.5</v>
      </c>
      <c r="U223" s="2"/>
      <c r="V223" s="7">
        <f t="shared" si="87"/>
        <v>1.5650156493290953E-4</v>
      </c>
      <c r="W223" s="2"/>
      <c r="X223" s="6">
        <f t="shared" si="88"/>
        <v>-791.52</v>
      </c>
      <c r="Y223" s="2"/>
      <c r="Z223" s="7">
        <f t="shared" si="89"/>
        <v>-0.5935658042744657</v>
      </c>
    </row>
    <row r="224" spans="1:26" s="24" customFormat="1" hidden="1" outlineLevel="2" x14ac:dyDescent="0.25">
      <c r="A224" s="25"/>
      <c r="B224" s="11" t="str">
        <f>CONCATENATE("          ", "6284", " - ", "TRASH REMOVAL EXPENSE")</f>
        <v xml:space="preserve">          6284 - TRASH REMOVAL EXPENSE</v>
      </c>
      <c r="C224" s="11"/>
      <c r="D224" s="6">
        <v>134.82</v>
      </c>
      <c r="E224" s="2"/>
      <c r="F224" s="7">
        <f t="shared" si="82"/>
        <v>6.2030973866091218E-5</v>
      </c>
      <c r="G224" s="2"/>
      <c r="H224" s="6">
        <v>121.46</v>
      </c>
      <c r="I224" s="2"/>
      <c r="J224" s="7">
        <f t="shared" si="83"/>
        <v>4.6569853286519771E-5</v>
      </c>
      <c r="K224" s="2"/>
      <c r="L224" s="6">
        <f t="shared" si="84"/>
        <v>13.36</v>
      </c>
      <c r="M224" s="2"/>
      <c r="N224" s="7">
        <f t="shared" si="85"/>
        <v>0.10999506010209123</v>
      </c>
      <c r="O224" s="11"/>
      <c r="P224" s="6">
        <v>943.74</v>
      </c>
      <c r="Q224" s="2"/>
      <c r="R224" s="7">
        <f t="shared" si="86"/>
        <v>1.2274512954390968E-4</v>
      </c>
      <c r="S224" s="2"/>
      <c r="T224" s="6">
        <v>850.22</v>
      </c>
      <c r="U224" s="2"/>
      <c r="V224" s="7">
        <f t="shared" si="87"/>
        <v>9.9783097515754291E-5</v>
      </c>
      <c r="W224" s="2"/>
      <c r="X224" s="6">
        <f t="shared" si="88"/>
        <v>93.519999999999982</v>
      </c>
      <c r="Y224" s="2"/>
      <c r="Z224" s="7">
        <f t="shared" si="89"/>
        <v>0.1099950601020912</v>
      </c>
    </row>
    <row r="225" spans="1:26" s="24" customFormat="1" hidden="1" outlineLevel="2" x14ac:dyDescent="0.25">
      <c r="A225" s="25"/>
      <c r="B225" s="11" t="str">
        <f>CONCATENATE("          ", "6285", " - ", "JANITORIAL SERVICES")</f>
        <v xml:space="preserve">          6285 - JANITORIAL SERVICES</v>
      </c>
      <c r="C225" s="11"/>
      <c r="D225" s="6">
        <v>4435.96</v>
      </c>
      <c r="E225" s="2"/>
      <c r="F225" s="7">
        <f t="shared" si="82"/>
        <v>2.040994799221377E-3</v>
      </c>
      <c r="G225" s="2"/>
      <c r="H225" s="6">
        <v>4116.7</v>
      </c>
      <c r="I225" s="2"/>
      <c r="J225" s="7">
        <f t="shared" si="83"/>
        <v>1.5784135931550794E-3</v>
      </c>
      <c r="K225" s="2"/>
      <c r="L225" s="6">
        <f t="shared" si="84"/>
        <v>319.26000000000022</v>
      </c>
      <c r="M225" s="2"/>
      <c r="N225" s="7">
        <f t="shared" si="85"/>
        <v>7.755240848252247E-2</v>
      </c>
      <c r="O225" s="11"/>
      <c r="P225" s="6">
        <v>28877.94</v>
      </c>
      <c r="Q225" s="2"/>
      <c r="R225" s="7">
        <f t="shared" si="86"/>
        <v>3.7559354125725843E-3</v>
      </c>
      <c r="S225" s="2"/>
      <c r="T225" s="6">
        <v>27044.080000000002</v>
      </c>
      <c r="U225" s="2"/>
      <c r="V225" s="7">
        <f t="shared" si="87"/>
        <v>3.1739338898918636E-3</v>
      </c>
      <c r="W225" s="2"/>
      <c r="X225" s="6">
        <f t="shared" si="88"/>
        <v>1833.8599999999969</v>
      </c>
      <c r="Y225" s="2"/>
      <c r="Z225" s="7">
        <f t="shared" si="89"/>
        <v>6.7810034580580922E-2</v>
      </c>
    </row>
    <row r="226" spans="1:26" s="26" customFormat="1" outlineLevel="1" collapsed="1" x14ac:dyDescent="0.25">
      <c r="A226" s="27"/>
      <c r="B226" s="13" t="str">
        <f>CONCATENATE("     ","Subscriptions &amp; Dues                              ")</f>
        <v xml:space="preserve">     Subscriptions &amp; Dues                              </v>
      </c>
      <c r="C226" s="13"/>
      <c r="D226" s="1">
        <f>SUM(OSRRefD22_19x_0)</f>
        <v>333.1</v>
      </c>
      <c r="E226" s="1"/>
      <c r="F226" s="5">
        <f t="shared" ref="F226:F228" si="90">IF(D$12=0,0,D226/D$12)</f>
        <v>1.5326003111404085E-4</v>
      </c>
      <c r="G226" s="1"/>
      <c r="H226" s="1">
        <f>SUM(OSRRefH22_19x_0)</f>
        <v>2323.1</v>
      </c>
      <c r="I226" s="1"/>
      <c r="J226" s="5">
        <f t="shared" ref="J226:J228" si="91">IF(H$12=0,0,H226/H$12)</f>
        <v>8.9071650065794571E-4</v>
      </c>
      <c r="K226" s="1"/>
      <c r="L226" s="1">
        <f t="shared" ref="L226:L228" si="92">+D226-H226</f>
        <v>-1990</v>
      </c>
      <c r="M226" s="1"/>
      <c r="N226" s="5">
        <f t="shared" ref="N226:N228" si="93">IF(H226=0,0,L226/H226)</f>
        <v>-0.85661400714562441</v>
      </c>
      <c r="O226" s="13"/>
      <c r="P226" s="1">
        <f>SUM(OSRRefP22_19x_0)</f>
        <v>2800.86</v>
      </c>
      <c r="Q226" s="1"/>
      <c r="R226" s="5">
        <f t="shared" ref="R226:R228" si="94">IF(P$12=0,0,P226/P$12)</f>
        <v>3.642866928755323E-4</v>
      </c>
      <c r="S226" s="1"/>
      <c r="T226" s="1">
        <f>SUM(OSRRefT22_19x_0)</f>
        <v>13187.71</v>
      </c>
      <c r="U226" s="1"/>
      <c r="V226" s="5">
        <f t="shared" ref="V226:V228" si="95">IF(T$12=0,0,T226/T$12)</f>
        <v>1.5477294734768505E-3</v>
      </c>
      <c r="W226" s="1"/>
      <c r="X226" s="1">
        <f t="shared" ref="X226:X228" si="96">+P226-T226</f>
        <v>-10386.849999999999</v>
      </c>
      <c r="Y226" s="1"/>
      <c r="Z226" s="5">
        <f t="shared" ref="Z226:Z228" si="97">IF(T226=0,0,X226/T226)</f>
        <v>-0.78761589388908304</v>
      </c>
    </row>
    <row r="227" spans="1:26" s="24" customFormat="1" hidden="1" outlineLevel="2" x14ac:dyDescent="0.25">
      <c r="A227" s="25"/>
      <c r="B227" s="11" t="str">
        <f>CONCATENATE("          ", "6258", " - ", "MEMBERSHIP DUES")</f>
        <v xml:space="preserve">          6258 - MEMBERSHIP DUES</v>
      </c>
      <c r="C227" s="11"/>
      <c r="D227" s="6">
        <v>258.10000000000002</v>
      </c>
      <c r="E227" s="2"/>
      <c r="F227" s="7">
        <f t="shared" si="90"/>
        <v>1.1875236874972664E-4</v>
      </c>
      <c r="G227" s="2"/>
      <c r="H227" s="6">
        <v>250</v>
      </c>
      <c r="I227" s="2"/>
      <c r="J227" s="7">
        <f t="shared" si="91"/>
        <v>9.5854300359212444E-5</v>
      </c>
      <c r="K227" s="2"/>
      <c r="L227" s="6">
        <f t="shared" si="92"/>
        <v>8.1000000000000227</v>
      </c>
      <c r="M227" s="2"/>
      <c r="N227" s="7">
        <f t="shared" si="93"/>
        <v>3.2400000000000088E-2</v>
      </c>
      <c r="O227" s="11"/>
      <c r="P227" s="6">
        <v>1935.5</v>
      </c>
      <c r="Q227" s="2"/>
      <c r="R227" s="7">
        <f t="shared" si="94"/>
        <v>2.5173585757966933E-4</v>
      </c>
      <c r="S227" s="2"/>
      <c r="T227" s="6">
        <v>5452.1</v>
      </c>
      <c r="U227" s="2"/>
      <c r="V227" s="7">
        <f t="shared" si="95"/>
        <v>6.3986665329637501E-4</v>
      </c>
      <c r="W227" s="2"/>
      <c r="X227" s="6">
        <f t="shared" si="96"/>
        <v>-3516.6000000000004</v>
      </c>
      <c r="Y227" s="2"/>
      <c r="Z227" s="7">
        <f t="shared" si="97"/>
        <v>-0.64499917462995915</v>
      </c>
    </row>
    <row r="228" spans="1:26" s="24" customFormat="1" hidden="1" outlineLevel="2" x14ac:dyDescent="0.25">
      <c r="A228" s="25"/>
      <c r="B228" s="11" t="str">
        <f>CONCATENATE("          ", "6275", " - ", "SUBSCRIPTIONS")</f>
        <v xml:space="preserve">          6275 - SUBSCRIPTIONS</v>
      </c>
      <c r="C228" s="11"/>
      <c r="D228" s="6">
        <v>75</v>
      </c>
      <c r="E228" s="2"/>
      <c r="F228" s="7">
        <f t="shared" si="90"/>
        <v>3.4507662364314208E-5</v>
      </c>
      <c r="G228" s="2"/>
      <c r="H228" s="6">
        <v>2073.1</v>
      </c>
      <c r="I228" s="2"/>
      <c r="J228" s="7">
        <f t="shared" si="91"/>
        <v>7.9486220029873324E-4</v>
      </c>
      <c r="K228" s="2"/>
      <c r="L228" s="6">
        <f t="shared" si="92"/>
        <v>-1998.1</v>
      </c>
      <c r="M228" s="2"/>
      <c r="N228" s="7">
        <f t="shared" si="93"/>
        <v>-0.96382229511359796</v>
      </c>
      <c r="O228" s="11"/>
      <c r="P228" s="6">
        <v>865.36</v>
      </c>
      <c r="Q228" s="2"/>
      <c r="R228" s="7">
        <f t="shared" si="94"/>
        <v>1.1255083529586291E-4</v>
      </c>
      <c r="S228" s="2"/>
      <c r="T228" s="6">
        <v>7735.61</v>
      </c>
      <c r="U228" s="2"/>
      <c r="V228" s="7">
        <f t="shared" si="95"/>
        <v>9.0786282018047568E-4</v>
      </c>
      <c r="W228" s="2"/>
      <c r="X228" s="6">
        <f t="shared" si="96"/>
        <v>-6870.25</v>
      </c>
      <c r="Y228" s="2"/>
      <c r="Z228" s="7">
        <f t="shared" si="97"/>
        <v>-0.88813293327869425</v>
      </c>
    </row>
    <row r="229" spans="1:26" s="26" customFormat="1" outlineLevel="1" collapsed="1" x14ac:dyDescent="0.25">
      <c r="A229" s="27"/>
      <c r="B229" s="13" t="str">
        <f>CONCATENATE("     ","Supplies                                          ")</f>
        <v xml:space="preserve">     Supplies                                          </v>
      </c>
      <c r="C229" s="13"/>
      <c r="D229" s="1">
        <f>SUM(OSRRefD22_20x_0)</f>
        <v>11105.029999999999</v>
      </c>
      <c r="E229" s="1"/>
      <c r="F229" s="5">
        <f t="shared" ref="F229:F236" si="98">IF(D$12=0,0,D229/D$12)</f>
        <v>5.1094483438077357E-3</v>
      </c>
      <c r="G229" s="1"/>
      <c r="H229" s="1">
        <f>SUM(OSRRefH22_20x_0)</f>
        <v>22101.34</v>
      </c>
      <c r="I229" s="1"/>
      <c r="J229" s="5">
        <f t="shared" ref="J229:J236" si="99">IF(H$12=0,0,H229/H$12)</f>
        <v>8.4740339308043058E-3</v>
      </c>
      <c r="K229" s="1"/>
      <c r="L229" s="1">
        <f t="shared" ref="L229:L236" si="100">+D229-H229</f>
        <v>-10996.310000000001</v>
      </c>
      <c r="M229" s="1"/>
      <c r="N229" s="5">
        <f t="shared" ref="N229:N236" si="101">IF(H229=0,0,L229/H229)</f>
        <v>-0.49754042062607973</v>
      </c>
      <c r="O229" s="13"/>
      <c r="P229" s="1">
        <f>SUM(OSRRefP22_20x_0)</f>
        <v>61873.34</v>
      </c>
      <c r="Q229" s="1"/>
      <c r="R229" s="5">
        <f t="shared" ref="R229:R236" si="102">IF(P$12=0,0,P229/P$12)</f>
        <v>8.0473977298984537E-3</v>
      </c>
      <c r="S229" s="1"/>
      <c r="T229" s="1">
        <f>SUM(OSRRefT22_20x_0)</f>
        <v>112247.37</v>
      </c>
      <c r="U229" s="1"/>
      <c r="V229" s="5">
        <f t="shared" ref="V229:V236" si="103">IF(T$12=0,0,T229/T$12)</f>
        <v>1.3173520108438936E-2</v>
      </c>
      <c r="W229" s="1"/>
      <c r="X229" s="1">
        <f t="shared" ref="X229:X236" si="104">+P229-T229</f>
        <v>-50374.03</v>
      </c>
      <c r="Y229" s="1"/>
      <c r="Z229" s="5">
        <f t="shared" ref="Z229:Z236" si="105">IF(T229=0,0,X229/T229)</f>
        <v>-0.44877692902737942</v>
      </c>
    </row>
    <row r="230" spans="1:26" s="24" customFormat="1" hidden="1" outlineLevel="2" x14ac:dyDescent="0.25">
      <c r="A230" s="25"/>
      <c r="B230" s="11" t="str">
        <f>CONCATENATE("          ", "6234", " - ", "EXPENDABLE SUPPLIES &amp; EQUIPMEN")</f>
        <v xml:space="preserve">          6234 - EXPENDABLE SUPPLIES &amp; EQUIPMEN</v>
      </c>
      <c r="C230" s="11"/>
      <c r="D230" s="6">
        <v>1338.2</v>
      </c>
      <c r="E230" s="2"/>
      <c r="F230" s="7">
        <f t="shared" si="98"/>
        <v>6.1570871701233706E-4</v>
      </c>
      <c r="G230" s="2"/>
      <c r="H230" s="6"/>
      <c r="I230" s="2"/>
      <c r="J230" s="7">
        <f t="shared" si="99"/>
        <v>0</v>
      </c>
      <c r="K230" s="2"/>
      <c r="L230" s="6">
        <f t="shared" si="100"/>
        <v>1338.2</v>
      </c>
      <c r="M230" s="2"/>
      <c r="N230" s="7">
        <f t="shared" si="101"/>
        <v>0</v>
      </c>
      <c r="O230" s="11"/>
      <c r="P230" s="6">
        <v>3160.95</v>
      </c>
      <c r="Q230" s="2"/>
      <c r="R230" s="7">
        <f t="shared" si="102"/>
        <v>4.1112087781785368E-4</v>
      </c>
      <c r="S230" s="2"/>
      <c r="T230" s="6">
        <v>3475.8</v>
      </c>
      <c r="U230" s="2"/>
      <c r="V230" s="7">
        <f t="shared" si="103"/>
        <v>4.0792511390611697E-4</v>
      </c>
      <c r="W230" s="2"/>
      <c r="X230" s="6">
        <f t="shared" si="104"/>
        <v>-314.85000000000036</v>
      </c>
      <c r="Y230" s="2"/>
      <c r="Z230" s="7">
        <f t="shared" si="105"/>
        <v>-9.0583462799931055E-2</v>
      </c>
    </row>
    <row r="231" spans="1:26" s="24" customFormat="1" hidden="1" outlineLevel="2" x14ac:dyDescent="0.25">
      <c r="A231" s="25"/>
      <c r="B231" s="11" t="str">
        <f>CONCATENATE("          ", "6237", " - ", "JANITORIAL SUPPLIES")</f>
        <v xml:space="preserve">          6237 - JANITORIAL SUPPLIES</v>
      </c>
      <c r="C231" s="11"/>
      <c r="D231" s="6">
        <v>792.65</v>
      </c>
      <c r="E231" s="2"/>
      <c r="F231" s="7">
        <f t="shared" si="98"/>
        <v>3.6469998097431541E-4</v>
      </c>
      <c r="G231" s="2"/>
      <c r="H231" s="6">
        <v>155.94999999999999</v>
      </c>
      <c r="I231" s="2"/>
      <c r="J231" s="7">
        <f t="shared" si="99"/>
        <v>5.9793912564076722E-5</v>
      </c>
      <c r="K231" s="2"/>
      <c r="L231" s="6">
        <f t="shared" si="100"/>
        <v>636.70000000000005</v>
      </c>
      <c r="M231" s="2"/>
      <c r="N231" s="7">
        <f t="shared" si="101"/>
        <v>4.0827188201346587</v>
      </c>
      <c r="O231" s="11"/>
      <c r="P231" s="6">
        <v>3782.13</v>
      </c>
      <c r="Q231" s="2"/>
      <c r="R231" s="7">
        <f t="shared" si="102"/>
        <v>4.9191306588881162E-4</v>
      </c>
      <c r="S231" s="2"/>
      <c r="T231" s="6">
        <v>3866.39</v>
      </c>
      <c r="U231" s="2"/>
      <c r="V231" s="7">
        <f t="shared" si="103"/>
        <v>4.5376534356276869E-4</v>
      </c>
      <c r="W231" s="2"/>
      <c r="X231" s="6">
        <f t="shared" si="104"/>
        <v>-84.259999999999764</v>
      </c>
      <c r="Y231" s="2"/>
      <c r="Z231" s="7">
        <f t="shared" si="105"/>
        <v>-2.1792938632677967E-2</v>
      </c>
    </row>
    <row r="232" spans="1:26" s="24" customFormat="1" hidden="1" outlineLevel="2" x14ac:dyDescent="0.25">
      <c r="A232" s="25"/>
      <c r="B232" s="11" t="str">
        <f>CONCATENATE("          ", "6241", " - ", "OFFICE EXPENSE")</f>
        <v xml:space="preserve">          6241 - OFFICE EXPENSE</v>
      </c>
      <c r="C232" s="11"/>
      <c r="D232" s="6">
        <v>4018.69</v>
      </c>
      <c r="E232" s="2"/>
      <c r="F232" s="7">
        <f t="shared" si="98"/>
        <v>1.8490079688912784E-3</v>
      </c>
      <c r="G232" s="2"/>
      <c r="H232" s="6">
        <v>9848.4599999999991</v>
      </c>
      <c r="I232" s="2"/>
      <c r="J232" s="7">
        <f t="shared" si="99"/>
        <v>3.7760689716627572E-3</v>
      </c>
      <c r="K232" s="2"/>
      <c r="L232" s="6">
        <f t="shared" si="100"/>
        <v>-5829.7699999999986</v>
      </c>
      <c r="M232" s="2"/>
      <c r="N232" s="7">
        <f t="shared" si="101"/>
        <v>-0.59194737045182688</v>
      </c>
      <c r="O232" s="11"/>
      <c r="P232" s="6">
        <v>21513.52</v>
      </c>
      <c r="Q232" s="2"/>
      <c r="R232" s="7">
        <f t="shared" si="102"/>
        <v>2.7981009593166461E-3</v>
      </c>
      <c r="S232" s="2"/>
      <c r="T232" s="6">
        <v>25665.710000000003</v>
      </c>
      <c r="U232" s="2"/>
      <c r="V232" s="7">
        <f t="shared" si="103"/>
        <v>3.0121663142963825E-3</v>
      </c>
      <c r="W232" s="2"/>
      <c r="X232" s="6">
        <f t="shared" si="104"/>
        <v>-4152.1900000000023</v>
      </c>
      <c r="Y232" s="2"/>
      <c r="Z232" s="7">
        <f t="shared" si="105"/>
        <v>-0.16177966633301794</v>
      </c>
    </row>
    <row r="233" spans="1:26" s="24" customFormat="1" hidden="1" outlineLevel="2" x14ac:dyDescent="0.25">
      <c r="A233" s="25"/>
      <c r="B233" s="11" t="str">
        <f>CONCATENATE("          ", "6243", " - ", "PAPER SUPPLIES")</f>
        <v xml:space="preserve">          6243 - PAPER SUPPLIES</v>
      </c>
      <c r="C233" s="11"/>
      <c r="D233" s="6">
        <v>2294.33</v>
      </c>
      <c r="E233" s="2"/>
      <c r="F233" s="7">
        <f t="shared" si="98"/>
        <v>1.0556261998975604E-3</v>
      </c>
      <c r="G233" s="2"/>
      <c r="H233" s="6">
        <v>2957.88</v>
      </c>
      <c r="I233" s="2"/>
      <c r="J233" s="7">
        <f t="shared" si="99"/>
        <v>1.1341020717860293E-3</v>
      </c>
      <c r="K233" s="2"/>
      <c r="L233" s="6">
        <f t="shared" si="100"/>
        <v>-663.55000000000018</v>
      </c>
      <c r="M233" s="2"/>
      <c r="N233" s="7">
        <f t="shared" si="101"/>
        <v>-0.22433296820695908</v>
      </c>
      <c r="O233" s="11"/>
      <c r="P233" s="6">
        <v>11852.83</v>
      </c>
      <c r="Q233" s="2"/>
      <c r="R233" s="7">
        <f t="shared" si="102"/>
        <v>1.5416080210777744E-3</v>
      </c>
      <c r="S233" s="2"/>
      <c r="T233" s="6">
        <v>22116.63</v>
      </c>
      <c r="U233" s="2"/>
      <c r="V233" s="7">
        <f t="shared" si="103"/>
        <v>2.5956409494129248E-3</v>
      </c>
      <c r="W233" s="2"/>
      <c r="X233" s="6">
        <f t="shared" si="104"/>
        <v>-10263.800000000001</v>
      </c>
      <c r="Y233" s="2"/>
      <c r="Z233" s="7">
        <f t="shared" si="105"/>
        <v>-0.46407612733042969</v>
      </c>
    </row>
    <row r="234" spans="1:26" s="24" customFormat="1" hidden="1" outlineLevel="2" x14ac:dyDescent="0.25">
      <c r="A234" s="25"/>
      <c r="B234" s="11" t="str">
        <f>CONCATENATE("          ", "6245", " - ", "PRINTING")</f>
        <v xml:space="preserve">          6245 - PRINTING</v>
      </c>
      <c r="C234" s="11"/>
      <c r="D234" s="6">
        <v>926.39</v>
      </c>
      <c r="E234" s="2"/>
      <c r="F234" s="7">
        <f t="shared" si="98"/>
        <v>4.2623404450236056E-4</v>
      </c>
      <c r="G234" s="2"/>
      <c r="H234" s="6">
        <v>5072.04</v>
      </c>
      <c r="I234" s="2"/>
      <c r="J234" s="7">
        <f t="shared" si="99"/>
        <v>1.9447073823757597E-3</v>
      </c>
      <c r="K234" s="2"/>
      <c r="L234" s="6">
        <f t="shared" si="100"/>
        <v>-4145.6499999999996</v>
      </c>
      <c r="M234" s="2"/>
      <c r="N234" s="7">
        <f t="shared" si="101"/>
        <v>-0.81735356976679985</v>
      </c>
      <c r="O234" s="11"/>
      <c r="P234" s="6">
        <v>6520.2</v>
      </c>
      <c r="Q234" s="2"/>
      <c r="R234" s="7">
        <f t="shared" si="102"/>
        <v>8.4803313799584608E-4</v>
      </c>
      <c r="S234" s="2"/>
      <c r="T234" s="6">
        <v>14384.99</v>
      </c>
      <c r="U234" s="2"/>
      <c r="V234" s="7">
        <f t="shared" si="103"/>
        <v>1.6882440544013905E-3</v>
      </c>
      <c r="W234" s="2"/>
      <c r="X234" s="6">
        <f t="shared" si="104"/>
        <v>-7864.79</v>
      </c>
      <c r="Y234" s="2"/>
      <c r="Z234" s="7">
        <f t="shared" si="105"/>
        <v>-0.54673586842952271</v>
      </c>
    </row>
    <row r="235" spans="1:26" s="24" customFormat="1" hidden="1" outlineLevel="2" x14ac:dyDescent="0.25">
      <c r="A235" s="25"/>
      <c r="B235" s="11" t="str">
        <f>CONCATENATE("          ", "6247", " - ", "STORE SUPPLIES")</f>
        <v xml:space="preserve">          6247 - STORE SUPPLIES</v>
      </c>
      <c r="C235" s="11"/>
      <c r="D235" s="6">
        <v>1734.77</v>
      </c>
      <c r="E235" s="2"/>
      <c r="F235" s="7">
        <f t="shared" si="98"/>
        <v>7.9817143252988482E-4</v>
      </c>
      <c r="G235" s="2"/>
      <c r="H235" s="6">
        <v>3590.73</v>
      </c>
      <c r="I235" s="2"/>
      <c r="J235" s="7">
        <f t="shared" si="99"/>
        <v>1.3767476477153397E-3</v>
      </c>
      <c r="K235" s="2"/>
      <c r="L235" s="6">
        <f t="shared" si="100"/>
        <v>-1855.96</v>
      </c>
      <c r="M235" s="2"/>
      <c r="N235" s="7">
        <f t="shared" si="101"/>
        <v>-0.51687539859582876</v>
      </c>
      <c r="O235" s="11"/>
      <c r="P235" s="6">
        <v>15043.710000000001</v>
      </c>
      <c r="Q235" s="2"/>
      <c r="R235" s="7">
        <f t="shared" si="102"/>
        <v>1.9566216678015232E-3</v>
      </c>
      <c r="S235" s="2"/>
      <c r="T235" s="6">
        <v>42162.57</v>
      </c>
      <c r="U235" s="2"/>
      <c r="V235" s="7">
        <f t="shared" si="103"/>
        <v>4.9482626071191173E-3</v>
      </c>
      <c r="W235" s="2"/>
      <c r="X235" s="6">
        <f t="shared" si="104"/>
        <v>-27118.86</v>
      </c>
      <c r="Y235" s="2"/>
      <c r="Z235" s="7">
        <f t="shared" si="105"/>
        <v>-0.64319750907024886</v>
      </c>
    </row>
    <row r="236" spans="1:26" s="24" customFormat="1" hidden="1" outlineLevel="2" x14ac:dyDescent="0.25">
      <c r="A236" s="25"/>
      <c r="B236" s="11" t="str">
        <f>CONCATENATE("          ", "6248", " - ", "UNIFORMS")</f>
        <v xml:space="preserve">          6248 - UNIFORMS</v>
      </c>
      <c r="C236" s="11"/>
      <c r="D236" s="6"/>
      <c r="E236" s="2"/>
      <c r="F236" s="7">
        <f t="shared" si="98"/>
        <v>0</v>
      </c>
      <c r="G236" s="2"/>
      <c r="H236" s="6">
        <v>476.28</v>
      </c>
      <c r="I236" s="2"/>
      <c r="J236" s="7">
        <f t="shared" si="99"/>
        <v>1.8261394470034281E-4</v>
      </c>
      <c r="K236" s="2"/>
      <c r="L236" s="6">
        <f t="shared" si="100"/>
        <v>-476.28</v>
      </c>
      <c r="M236" s="2"/>
      <c r="N236" s="7">
        <f t="shared" si="101"/>
        <v>-1</v>
      </c>
      <c r="O236" s="11"/>
      <c r="P236" s="6"/>
      <c r="Q236" s="2"/>
      <c r="R236" s="7">
        <f t="shared" si="102"/>
        <v>0</v>
      </c>
      <c r="S236" s="2"/>
      <c r="T236" s="6">
        <v>575.28</v>
      </c>
      <c r="U236" s="2"/>
      <c r="V236" s="7">
        <f t="shared" si="103"/>
        <v>6.7515725740235614E-5</v>
      </c>
      <c r="W236" s="2"/>
      <c r="X236" s="6">
        <f t="shared" si="104"/>
        <v>-575.28</v>
      </c>
      <c r="Y236" s="2"/>
      <c r="Z236" s="7">
        <f t="shared" si="105"/>
        <v>-1</v>
      </c>
    </row>
    <row r="237" spans="1:26" s="26" customFormat="1" outlineLevel="1" collapsed="1" x14ac:dyDescent="0.25">
      <c r="A237" s="27"/>
      <c r="B237" s="13" t="str">
        <f>CONCATENATE("     ","Telephone/Data Lines                              ")</f>
        <v xml:space="preserve">     Telephone/Data Lines                              </v>
      </c>
      <c r="C237" s="13"/>
      <c r="D237" s="1">
        <f>SUM(OSRRefD22_21x_0)</f>
        <v>2592.6799999999998</v>
      </c>
      <c r="E237" s="1"/>
      <c r="F237" s="5">
        <f t="shared" ref="F237:F239" si="106">IF(D$12=0,0,D237/D$12)</f>
        <v>1.1928976807828021E-3</v>
      </c>
      <c r="G237" s="1"/>
      <c r="H237" s="1">
        <f>SUM(OSRRefH22_21x_0)</f>
        <v>1082.72</v>
      </c>
      <c r="I237" s="1"/>
      <c r="J237" s="5">
        <f t="shared" ref="J237:J239" si="107">IF(H$12=0,0,H237/H$12)</f>
        <v>4.1513347233970601E-4</v>
      </c>
      <c r="K237" s="1"/>
      <c r="L237" s="1">
        <f t="shared" ref="L237:L239" si="108">+D237-H237</f>
        <v>1509.9599999999998</v>
      </c>
      <c r="M237" s="1"/>
      <c r="N237" s="5">
        <f t="shared" ref="N237:N239" si="109">IF(H237=0,0,L237/H237)</f>
        <v>1.3945987882370325</v>
      </c>
      <c r="O237" s="13"/>
      <c r="P237" s="1">
        <f>SUM(OSRRefP22_21x_0)</f>
        <v>18647.939999999999</v>
      </c>
      <c r="Q237" s="1"/>
      <c r="R237" s="5">
        <f t="shared" ref="R237:R239" si="110">IF(P$12=0,0,P237/P$12)</f>
        <v>2.4253966251584704E-3</v>
      </c>
      <c r="S237" s="1"/>
      <c r="T237" s="1">
        <f>SUM(OSRRefT22_21x_0)</f>
        <v>16957.940000000002</v>
      </c>
      <c r="U237" s="1"/>
      <c r="V237" s="5">
        <f t="shared" ref="V237:V239" si="111">IF(T$12=0,0,T237/T$12)</f>
        <v>1.9902093348619304E-3</v>
      </c>
      <c r="W237" s="1"/>
      <c r="X237" s="1">
        <f t="shared" ref="X237:X239" si="112">+P237-T237</f>
        <v>1689.9999999999964</v>
      </c>
      <c r="Y237" s="1"/>
      <c r="Z237" s="5">
        <f t="shared" ref="Z237:Z239" si="113">IF(T237=0,0,X237/T237)</f>
        <v>9.9658331141636081E-2</v>
      </c>
    </row>
    <row r="238" spans="1:26" s="24" customFormat="1" hidden="1" outlineLevel="2" x14ac:dyDescent="0.25">
      <c r="A238" s="25"/>
      <c r="B238" s="11" t="str">
        <f>CONCATENATE("          ", "6303", " - ", "DATA PHONE LINES")</f>
        <v xml:space="preserve">          6303 - DATA PHONE LINES</v>
      </c>
      <c r="C238" s="11"/>
      <c r="D238" s="6">
        <v>295</v>
      </c>
      <c r="E238" s="2"/>
      <c r="F238" s="7">
        <f t="shared" si="106"/>
        <v>1.3573013863296923E-4</v>
      </c>
      <c r="G238" s="2"/>
      <c r="H238" s="6">
        <v>885</v>
      </c>
      <c r="I238" s="2"/>
      <c r="J238" s="7">
        <f t="shared" si="107"/>
        <v>3.3932422327161209E-4</v>
      </c>
      <c r="K238" s="2"/>
      <c r="L238" s="6">
        <f t="shared" si="108"/>
        <v>-590</v>
      </c>
      <c r="M238" s="2"/>
      <c r="N238" s="7">
        <f t="shared" si="109"/>
        <v>-0.66666666666666663</v>
      </c>
      <c r="O238" s="11"/>
      <c r="P238" s="6">
        <v>2065</v>
      </c>
      <c r="Q238" s="2"/>
      <c r="R238" s="7">
        <f t="shared" si="110"/>
        <v>2.6857894389150982E-4</v>
      </c>
      <c r="S238" s="2"/>
      <c r="T238" s="6">
        <v>1770</v>
      </c>
      <c r="U238" s="2"/>
      <c r="V238" s="7">
        <f t="shared" si="111"/>
        <v>2.0772986121578543E-4</v>
      </c>
      <c r="W238" s="2"/>
      <c r="X238" s="6">
        <f t="shared" si="112"/>
        <v>295</v>
      </c>
      <c r="Y238" s="2"/>
      <c r="Z238" s="7">
        <f t="shared" si="113"/>
        <v>0.16666666666666666</v>
      </c>
    </row>
    <row r="239" spans="1:26" s="24" customFormat="1" hidden="1" outlineLevel="2" x14ac:dyDescent="0.25">
      <c r="A239" s="25"/>
      <c r="B239" s="11" t="str">
        <f>CONCATENATE("          ", "6309", " - ", "TELEPHONE")</f>
        <v xml:space="preserve">          6309 - TELEPHONE</v>
      </c>
      <c r="C239" s="11"/>
      <c r="D239" s="6">
        <v>2297.6799999999998</v>
      </c>
      <c r="E239" s="2"/>
      <c r="F239" s="7">
        <f t="shared" si="106"/>
        <v>1.057167542149833E-3</v>
      </c>
      <c r="G239" s="2"/>
      <c r="H239" s="6">
        <v>197.72</v>
      </c>
      <c r="I239" s="2"/>
      <c r="J239" s="7">
        <f t="shared" si="107"/>
        <v>7.5809249068093941E-5</v>
      </c>
      <c r="K239" s="2"/>
      <c r="L239" s="6">
        <f t="shared" si="108"/>
        <v>2099.96</v>
      </c>
      <c r="M239" s="2"/>
      <c r="N239" s="7">
        <f t="shared" si="109"/>
        <v>10.620878009306089</v>
      </c>
      <c r="O239" s="11"/>
      <c r="P239" s="6">
        <v>16582.939999999999</v>
      </c>
      <c r="Q239" s="2"/>
      <c r="R239" s="7">
        <f t="shared" si="110"/>
        <v>2.1568176812669605E-3</v>
      </c>
      <c r="S239" s="2"/>
      <c r="T239" s="6">
        <v>15187.94</v>
      </c>
      <c r="U239" s="2"/>
      <c r="V239" s="7">
        <f t="shared" si="111"/>
        <v>1.7824794736461449E-3</v>
      </c>
      <c r="W239" s="2"/>
      <c r="X239" s="6">
        <f t="shared" si="112"/>
        <v>1394.9999999999982</v>
      </c>
      <c r="Y239" s="2"/>
      <c r="Z239" s="7">
        <f t="shared" si="113"/>
        <v>9.1849190871177933E-2</v>
      </c>
    </row>
    <row r="240" spans="1:26" s="26" customFormat="1" outlineLevel="1" collapsed="1" x14ac:dyDescent="0.25">
      <c r="A240" s="27"/>
      <c r="B240" s="13" t="str">
        <f>CONCATENATE("     ","Training                                          ")</f>
        <v xml:space="preserve">     Training                                          </v>
      </c>
      <c r="C240" s="13"/>
      <c r="D240" s="1">
        <f>SUM(OSRRefD22_22x_0)</f>
        <v>2056.09</v>
      </c>
      <c r="E240" s="1"/>
      <c r="F240" s="5">
        <f t="shared" ref="F240:F245" si="114">IF(D$12=0,0,D240/D$12)</f>
        <v>9.4601146014190415E-4</v>
      </c>
      <c r="G240" s="1"/>
      <c r="H240" s="1">
        <f>SUM(OSRRefH22_22x_0)</f>
        <v>505.7</v>
      </c>
      <c r="I240" s="1"/>
      <c r="J240" s="5">
        <f t="shared" ref="J240:J245" si="115">IF(H$12=0,0,H240/H$12)</f>
        <v>1.9389407876661493E-4</v>
      </c>
      <c r="K240" s="1"/>
      <c r="L240" s="1">
        <f t="shared" ref="L240:L245" si="116">+D240-H240</f>
        <v>1550.39</v>
      </c>
      <c r="M240" s="1"/>
      <c r="N240" s="5">
        <f t="shared" ref="N240:N245" si="117">IF(H240=0,0,L240/H240)</f>
        <v>3.0658295432074354</v>
      </c>
      <c r="O240" s="13"/>
      <c r="P240" s="1">
        <f>SUM(OSRRefP22_22x_0)</f>
        <v>9619.89</v>
      </c>
      <c r="Q240" s="1"/>
      <c r="R240" s="5">
        <f t="shared" ref="R240:R245" si="118">IF(P$12=0,0,P240/P$12)</f>
        <v>1.2511863905823226E-3</v>
      </c>
      <c r="S240" s="1"/>
      <c r="T240" s="1">
        <f>SUM(OSRRefT22_22x_0)</f>
        <v>5527.58</v>
      </c>
      <c r="U240" s="1"/>
      <c r="V240" s="5">
        <f t="shared" ref="V240:V245" si="119">IF(T$12=0,0,T240/T$12)</f>
        <v>6.4872509958144135E-4</v>
      </c>
      <c r="W240" s="1"/>
      <c r="X240" s="1">
        <f t="shared" ref="X240:X245" si="120">+P240-T240</f>
        <v>4092.3099999999995</v>
      </c>
      <c r="Y240" s="1"/>
      <c r="Z240" s="5">
        <f t="shared" ref="Z240:Z245" si="121">IF(T240=0,0,X240/T240)</f>
        <v>0.74034387562007231</v>
      </c>
    </row>
    <row r="241" spans="1:26" s="24" customFormat="1" hidden="1" outlineLevel="2" x14ac:dyDescent="0.25">
      <c r="A241" s="25"/>
      <c r="B241" s="11" t="str">
        <f>CONCATENATE("          ", "6376", " - ", "TRAINING")</f>
        <v xml:space="preserve">          6376 - TRAINING</v>
      </c>
      <c r="C241" s="11"/>
      <c r="D241" s="6">
        <v>2056.09</v>
      </c>
      <c r="E241" s="2"/>
      <c r="F241" s="7">
        <f t="shared" si="114"/>
        <v>9.4601146014190415E-4</v>
      </c>
      <c r="G241" s="2"/>
      <c r="H241" s="6">
        <v>505.7</v>
      </c>
      <c r="I241" s="2"/>
      <c r="J241" s="7">
        <f t="shared" si="115"/>
        <v>1.9389407876661493E-4</v>
      </c>
      <c r="K241" s="2"/>
      <c r="L241" s="6">
        <f t="shared" si="116"/>
        <v>1550.39</v>
      </c>
      <c r="M241" s="2"/>
      <c r="N241" s="7">
        <f t="shared" si="117"/>
        <v>3.0658295432074354</v>
      </c>
      <c r="O241" s="11"/>
      <c r="P241" s="6">
        <v>9619.89</v>
      </c>
      <c r="Q241" s="2"/>
      <c r="R241" s="7">
        <f t="shared" si="118"/>
        <v>1.2511863905823226E-3</v>
      </c>
      <c r="S241" s="2"/>
      <c r="T241" s="6">
        <v>5527.58</v>
      </c>
      <c r="U241" s="2"/>
      <c r="V241" s="7">
        <f t="shared" si="119"/>
        <v>6.4872509958144135E-4</v>
      </c>
      <c r="W241" s="2"/>
      <c r="X241" s="6">
        <f t="shared" si="120"/>
        <v>4092.3099999999995</v>
      </c>
      <c r="Y241" s="2"/>
      <c r="Z241" s="7">
        <f t="shared" si="121"/>
        <v>0.74034387562007231</v>
      </c>
    </row>
    <row r="242" spans="1:26" s="26" customFormat="1" outlineLevel="1" collapsed="1" x14ac:dyDescent="0.25">
      <c r="A242" s="27"/>
      <c r="B242" s="13" t="str">
        <f>CONCATENATE("     ","Travel                                            ")</f>
        <v xml:space="preserve">     Travel                                            </v>
      </c>
      <c r="C242" s="13"/>
      <c r="D242" s="1">
        <f>SUM(OSRRefD22_23x_0)</f>
        <v>-472.06</v>
      </c>
      <c r="E242" s="1"/>
      <c r="F242" s="5">
        <f t="shared" si="114"/>
        <v>-2.171958279426422E-4</v>
      </c>
      <c r="G242" s="1"/>
      <c r="H242" s="1">
        <f>SUM(OSRRefH22_23x_0)</f>
        <v>41.13</v>
      </c>
      <c r="I242" s="1"/>
      <c r="J242" s="5">
        <f t="shared" si="115"/>
        <v>1.5769949495097632E-5</v>
      </c>
      <c r="K242" s="1"/>
      <c r="L242" s="1">
        <f t="shared" si="116"/>
        <v>-513.19000000000005</v>
      </c>
      <c r="M242" s="1"/>
      <c r="N242" s="5">
        <f t="shared" si="117"/>
        <v>-12.477267201556042</v>
      </c>
      <c r="O242" s="13"/>
      <c r="P242" s="1">
        <f>SUM(OSRRefP22_23x_0)</f>
        <v>970.04</v>
      </c>
      <c r="Q242" s="1"/>
      <c r="R242" s="5">
        <f t="shared" si="118"/>
        <v>1.2616577178330274E-4</v>
      </c>
      <c r="S242" s="1"/>
      <c r="T242" s="1">
        <f>SUM(OSRRefT22_23x_0)</f>
        <v>1387.33</v>
      </c>
      <c r="U242" s="1"/>
      <c r="V242" s="5">
        <f t="shared" si="119"/>
        <v>1.6281913466694665E-4</v>
      </c>
      <c r="W242" s="1"/>
      <c r="X242" s="1">
        <f t="shared" si="120"/>
        <v>-417.28999999999996</v>
      </c>
      <c r="Y242" s="1"/>
      <c r="Z242" s="5">
        <f t="shared" si="121"/>
        <v>-0.30078640265834372</v>
      </c>
    </row>
    <row r="243" spans="1:26" s="24" customFormat="1" hidden="1" outlineLevel="2" x14ac:dyDescent="0.25">
      <c r="A243" s="25"/>
      <c r="B243" s="11" t="str">
        <f>CONCATENATE("          ", "6292", " - ", "TRAVEL/CONFERENCE")</f>
        <v xml:space="preserve">          6292 - TRAVEL/CONFERENCE</v>
      </c>
      <c r="C243" s="11"/>
      <c r="D243" s="6"/>
      <c r="E243" s="2"/>
      <c r="F243" s="7">
        <f t="shared" si="114"/>
        <v>0</v>
      </c>
      <c r="G243" s="2"/>
      <c r="H243" s="6"/>
      <c r="I243" s="2"/>
      <c r="J243" s="7">
        <f t="shared" si="115"/>
        <v>0</v>
      </c>
      <c r="K243" s="2"/>
      <c r="L243" s="6">
        <f t="shared" si="116"/>
        <v>0</v>
      </c>
      <c r="M243" s="2"/>
      <c r="N243" s="7">
        <f t="shared" si="117"/>
        <v>0</v>
      </c>
      <c r="O243" s="11"/>
      <c r="P243" s="6">
        <v>365.6</v>
      </c>
      <c r="Q243" s="2"/>
      <c r="R243" s="7">
        <f t="shared" si="118"/>
        <v>4.7550829000840675E-5</v>
      </c>
      <c r="S243" s="2"/>
      <c r="T243" s="6">
        <v>691.14</v>
      </c>
      <c r="U243" s="2"/>
      <c r="V243" s="7">
        <f t="shared" si="119"/>
        <v>8.1113229537106181E-5</v>
      </c>
      <c r="W243" s="2"/>
      <c r="X243" s="6">
        <f t="shared" si="120"/>
        <v>-325.53999999999996</v>
      </c>
      <c r="Y243" s="2"/>
      <c r="Z243" s="7">
        <f t="shared" si="121"/>
        <v>-0.47101889631623112</v>
      </c>
    </row>
    <row r="244" spans="1:26" s="24" customFormat="1" hidden="1" outlineLevel="2" x14ac:dyDescent="0.25">
      <c r="A244" s="25"/>
      <c r="B244" s="11" t="str">
        <f>CONCATENATE("          ", "6294", " - ", "TRAVEL OPERATIONAL")</f>
        <v xml:space="preserve">          6294 - TRAVEL OPERATIONAL</v>
      </c>
      <c r="C244" s="11"/>
      <c r="D244" s="6">
        <v>-506.75</v>
      </c>
      <c r="E244" s="2"/>
      <c r="F244" s="7">
        <f t="shared" si="114"/>
        <v>-2.3315677204154968E-4</v>
      </c>
      <c r="G244" s="2"/>
      <c r="H244" s="6">
        <v>41.13</v>
      </c>
      <c r="I244" s="2"/>
      <c r="J244" s="7">
        <f t="shared" si="115"/>
        <v>1.5769949495097632E-5</v>
      </c>
      <c r="K244" s="2"/>
      <c r="L244" s="6">
        <f t="shared" si="116"/>
        <v>-547.88</v>
      </c>
      <c r="M244" s="2"/>
      <c r="N244" s="7">
        <f t="shared" si="117"/>
        <v>-13.320690493557013</v>
      </c>
      <c r="O244" s="11"/>
      <c r="P244" s="6">
        <v>312.19</v>
      </c>
      <c r="Q244" s="2"/>
      <c r="R244" s="7">
        <f t="shared" si="118"/>
        <v>4.0604193943578909E-5</v>
      </c>
      <c r="S244" s="2"/>
      <c r="T244" s="6">
        <v>472.61</v>
      </c>
      <c r="U244" s="2"/>
      <c r="V244" s="7">
        <f t="shared" si="119"/>
        <v>5.5466220174684949E-5</v>
      </c>
      <c r="W244" s="2"/>
      <c r="X244" s="6">
        <f t="shared" si="120"/>
        <v>-160.42000000000002</v>
      </c>
      <c r="Y244" s="2"/>
      <c r="Z244" s="7">
        <f t="shared" si="121"/>
        <v>-0.33943420579336031</v>
      </c>
    </row>
    <row r="245" spans="1:26" s="24" customFormat="1" hidden="1" outlineLevel="2" x14ac:dyDescent="0.25">
      <c r="A245" s="25"/>
      <c r="B245" s="11" t="str">
        <f>CONCATENATE("          ", "6298", " - ", "VEHICLE MILEAGE")</f>
        <v xml:space="preserve">          6298 - VEHICLE MILEAGE</v>
      </c>
      <c r="C245" s="11"/>
      <c r="D245" s="6">
        <v>34.69</v>
      </c>
      <c r="E245" s="2"/>
      <c r="F245" s="7">
        <f t="shared" si="114"/>
        <v>1.5960944098907463E-5</v>
      </c>
      <c r="G245" s="2"/>
      <c r="H245" s="6"/>
      <c r="I245" s="2"/>
      <c r="J245" s="7">
        <f t="shared" si="115"/>
        <v>0</v>
      </c>
      <c r="K245" s="2"/>
      <c r="L245" s="6">
        <f t="shared" si="116"/>
        <v>34.69</v>
      </c>
      <c r="M245" s="2"/>
      <c r="N245" s="7">
        <f t="shared" si="117"/>
        <v>0</v>
      </c>
      <c r="O245" s="11"/>
      <c r="P245" s="6">
        <v>292.25</v>
      </c>
      <c r="Q245" s="2"/>
      <c r="R245" s="7">
        <f t="shared" si="118"/>
        <v>3.8010748838883165E-5</v>
      </c>
      <c r="S245" s="2"/>
      <c r="T245" s="6">
        <v>223.58</v>
      </c>
      <c r="U245" s="2"/>
      <c r="V245" s="7">
        <f t="shared" si="119"/>
        <v>2.6239684955155543E-5</v>
      </c>
      <c r="W245" s="2"/>
      <c r="X245" s="6">
        <f t="shared" si="120"/>
        <v>68.669999999999987</v>
      </c>
      <c r="Y245" s="2"/>
      <c r="Z245" s="7">
        <f t="shared" si="121"/>
        <v>0.30713838447088282</v>
      </c>
    </row>
    <row r="246" spans="1:26" s="26" customFormat="1" outlineLevel="1" collapsed="1" x14ac:dyDescent="0.25">
      <c r="A246" s="27"/>
      <c r="B246" s="13" t="str">
        <f>CONCATENATE("     ","Utilities                                         ")</f>
        <v xml:space="preserve">     Utilities                                         </v>
      </c>
      <c r="C246" s="13"/>
      <c r="D246" s="1">
        <f>SUM(OSRRefD22_24x_0)</f>
        <v>6298.14</v>
      </c>
      <c r="E246" s="1"/>
      <c r="F246" s="5">
        <f t="shared" ref="F246:F247" si="122">IF(D$12=0,0,D246/D$12)</f>
        <v>2.8977878485757589E-3</v>
      </c>
      <c r="G246" s="1"/>
      <c r="H246" s="1">
        <f>SUM(OSRRefH22_24x_0)</f>
        <v>141.04</v>
      </c>
      <c r="I246" s="1"/>
      <c r="J246" s="5">
        <f t="shared" ref="J246:J247" si="123">IF(H$12=0,0,H246/H$12)</f>
        <v>5.4077162090653288E-5</v>
      </c>
      <c r="K246" s="1"/>
      <c r="L246" s="1">
        <f t="shared" ref="L246:L247" si="124">+D246-H246</f>
        <v>6157.1</v>
      </c>
      <c r="M246" s="1"/>
      <c r="N246" s="5">
        <f t="shared" ref="N246:N247" si="125">IF(H246=0,0,L246/H246)</f>
        <v>43.654991491775391</v>
      </c>
      <c r="O246" s="13"/>
      <c r="P246" s="1">
        <f>SUM(OSRRefP22_24x_0)</f>
        <v>38332.82</v>
      </c>
      <c r="Q246" s="1"/>
      <c r="R246" s="5">
        <f t="shared" ref="R246:R247" si="126">IF(P$12=0,0,P246/P$12)</f>
        <v>4.9856601995076728E-3</v>
      </c>
      <c r="S246" s="1"/>
      <c r="T246" s="1">
        <f>SUM(OSRRefT22_24x_0)</f>
        <v>26709.769999999997</v>
      </c>
      <c r="U246" s="1"/>
      <c r="V246" s="5">
        <f t="shared" ref="V246:V247" si="127">IF(T$12=0,0,T246/T$12)</f>
        <v>3.1346987656528523E-3</v>
      </c>
      <c r="W246" s="1"/>
      <c r="X246" s="1">
        <f t="shared" ref="X246:X247" si="128">+P246-T246</f>
        <v>11623.050000000003</v>
      </c>
      <c r="Y246" s="1"/>
      <c r="Z246" s="5">
        <f t="shared" ref="Z246:Z247" si="129">IF(T246=0,0,X246/T246)</f>
        <v>0.43516099165211847</v>
      </c>
    </row>
    <row r="247" spans="1:26" s="24" customFormat="1" hidden="1" outlineLevel="2" x14ac:dyDescent="0.25">
      <c r="A247" s="25"/>
      <c r="B247" s="11" t="str">
        <f>CONCATENATE("          ", "6274", " - ", "UTILITIES")</f>
        <v xml:space="preserve">          6274 - UTILITIES</v>
      </c>
      <c r="C247" s="11"/>
      <c r="D247" s="6">
        <v>6298.14</v>
      </c>
      <c r="E247" s="2"/>
      <c r="F247" s="7">
        <f t="shared" si="122"/>
        <v>2.8977878485757589E-3</v>
      </c>
      <c r="G247" s="2"/>
      <c r="H247" s="6">
        <v>141.04</v>
      </c>
      <c r="I247" s="2"/>
      <c r="J247" s="7">
        <f t="shared" si="123"/>
        <v>5.4077162090653288E-5</v>
      </c>
      <c r="K247" s="2"/>
      <c r="L247" s="6">
        <f t="shared" si="124"/>
        <v>6157.1</v>
      </c>
      <c r="M247" s="2"/>
      <c r="N247" s="7">
        <f t="shared" si="125"/>
        <v>43.654991491775391</v>
      </c>
      <c r="O247" s="11"/>
      <c r="P247" s="6">
        <v>38332.82</v>
      </c>
      <c r="Q247" s="2"/>
      <c r="R247" s="7">
        <f t="shared" si="126"/>
        <v>4.9856601995076728E-3</v>
      </c>
      <c r="S247" s="2"/>
      <c r="T247" s="6">
        <v>26709.769999999997</v>
      </c>
      <c r="U247" s="2"/>
      <c r="V247" s="7">
        <f t="shared" si="127"/>
        <v>3.1346987656528523E-3</v>
      </c>
      <c r="W247" s="2"/>
      <c r="X247" s="6">
        <f t="shared" si="128"/>
        <v>11623.050000000003</v>
      </c>
      <c r="Y247" s="2"/>
      <c r="Z247" s="7">
        <f t="shared" si="129"/>
        <v>0.43516099165211847</v>
      </c>
    </row>
    <row r="248" spans="1:26" s="59" customFormat="1" x14ac:dyDescent="0.25">
      <c r="A248" s="37"/>
      <c r="B248" s="37"/>
      <c r="C248" s="37"/>
      <c r="D248" s="1"/>
      <c r="E248" s="1"/>
      <c r="F248" s="5"/>
      <c r="G248" s="1"/>
      <c r="H248" s="1"/>
      <c r="I248" s="1"/>
      <c r="J248" s="5"/>
      <c r="K248" s="1"/>
      <c r="L248" s="1"/>
      <c r="M248" s="1"/>
      <c r="N248" s="5"/>
      <c r="O248" s="37"/>
      <c r="P248" s="1"/>
      <c r="Q248" s="1"/>
      <c r="R248" s="5"/>
      <c r="S248" s="1"/>
      <c r="T248" s="1"/>
      <c r="U248" s="1"/>
      <c r="V248" s="5"/>
      <c r="W248" s="1"/>
      <c r="X248" s="1"/>
      <c r="Y248" s="1"/>
      <c r="Z248" s="5"/>
    </row>
    <row r="249" spans="1:26" s="23" customFormat="1" collapsed="1" x14ac:dyDescent="0.25">
      <c r="A249" s="10"/>
      <c r="B249" s="29" t="s">
        <v>0</v>
      </c>
      <c r="C249" s="10"/>
      <c r="D249" s="4">
        <f>SUM(OSRRefD25x_0)</f>
        <v>43280.39</v>
      </c>
      <c r="E249" s="4"/>
      <c r="F249" s="12">
        <f t="shared" ref="F249:F258" si="130">IF(D$12=0,0,D249/D$12)</f>
        <v>1.991340113487788E-2</v>
      </c>
      <c r="G249" s="4"/>
      <c r="H249" s="4">
        <f>SUM(OSRRefH25x_0)</f>
        <v>58214.38</v>
      </c>
      <c r="I249" s="4"/>
      <c r="J249" s="12">
        <f t="shared" ref="J249:J258" si="131">IF(H$12=0,0,H249/H$12)</f>
        <v>2.2320394662981319E-2</v>
      </c>
      <c r="K249" s="4"/>
      <c r="L249" s="4">
        <f t="shared" ref="L249:L258" si="132">+D249-H249</f>
        <v>-14933.989999999998</v>
      </c>
      <c r="M249" s="4"/>
      <c r="N249" s="12">
        <f t="shared" ref="N249:N258" si="133">IF(H249=0,0,L249/H249)</f>
        <v>-0.25653438205474316</v>
      </c>
      <c r="O249" s="10"/>
      <c r="P249" s="4">
        <f>SUM(OSRRefP25x_0)</f>
        <v>466746.72</v>
      </c>
      <c r="Q249" s="4"/>
      <c r="R249" s="12">
        <f t="shared" ref="R249:R258" si="134">IF(P$12=0,0,P249/P$12)</f>
        <v>6.0706218461223357E-2</v>
      </c>
      <c r="S249" s="4"/>
      <c r="T249" s="4">
        <f>SUM(OSRRefT25x_0)</f>
        <v>449547.54000000004</v>
      </c>
      <c r="U249" s="4"/>
      <c r="V249" s="12">
        <f t="shared" ref="V249:V258" si="135">IF(T$12=0,0,T249/T$12)</f>
        <v>5.2759575194405516E-2</v>
      </c>
      <c r="W249" s="4"/>
      <c r="X249" s="4">
        <f t="shared" ref="X249:X258" si="136">+P249-T249</f>
        <v>17199.179999999935</v>
      </c>
      <c r="Y249" s="4"/>
      <c r="Z249" s="12">
        <f t="shared" ref="Z249:Z258" si="137">IF(T249=0,0,X249/T249)</f>
        <v>3.8258868016494835E-2</v>
      </c>
    </row>
    <row r="250" spans="1:26" s="24" customFormat="1" hidden="1" outlineLevel="1" x14ac:dyDescent="0.25">
      <c r="A250" s="44"/>
      <c r="B250" s="11" t="str">
        <f>CONCATENATE("          ", "4098", " - ", "TAXABLE SALES-GRAD RENTALS")</f>
        <v xml:space="preserve">          4098 - TAXABLE SALES-GRAD RENTALS</v>
      </c>
      <c r="C250" s="11"/>
      <c r="D250" s="2">
        <f>--320</f>
        <v>320</v>
      </c>
      <c r="E250" s="2"/>
      <c r="F250" s="19">
        <f t="shared" si="130"/>
        <v>1.4723269275440729E-4</v>
      </c>
      <c r="G250" s="2"/>
      <c r="H250" s="2">
        <f>0</f>
        <v>0</v>
      </c>
      <c r="I250" s="2"/>
      <c r="J250" s="19">
        <f t="shared" si="131"/>
        <v>0</v>
      </c>
      <c r="K250" s="2"/>
      <c r="L250" s="2">
        <f t="shared" si="132"/>
        <v>320</v>
      </c>
      <c r="M250" s="2"/>
      <c r="N250" s="19">
        <f t="shared" si="133"/>
        <v>0</v>
      </c>
      <c r="O250" s="11"/>
      <c r="P250" s="2">
        <f>--1946.85</f>
        <v>1946.85</v>
      </c>
      <c r="Q250" s="2"/>
      <c r="R250" s="19">
        <f t="shared" si="134"/>
        <v>2.5321206630275344E-4</v>
      </c>
      <c r="S250" s="2"/>
      <c r="T250" s="2">
        <f>--2269.5</f>
        <v>2269.5</v>
      </c>
      <c r="U250" s="2"/>
      <c r="V250" s="19">
        <f t="shared" si="135"/>
        <v>2.6635193221990117E-4</v>
      </c>
      <c r="W250" s="2"/>
      <c r="X250" s="2">
        <f t="shared" si="136"/>
        <v>-322.65000000000009</v>
      </c>
      <c r="Y250" s="2"/>
      <c r="Z250" s="19">
        <f t="shared" si="137"/>
        <v>-0.14216787838731001</v>
      </c>
    </row>
    <row r="251" spans="1:26" s="24" customFormat="1" hidden="1" outlineLevel="1" x14ac:dyDescent="0.25">
      <c r="A251" s="44"/>
      <c r="B251" s="11" t="str">
        <f>CONCATENATE("          ", "4197", " - ", "NON-TAXABLE SALES-RETURNED CHE")</f>
        <v xml:space="preserve">          4197 - NON-TAXABLE SALES-RETURNED CHE</v>
      </c>
      <c r="C251" s="11"/>
      <c r="D251" s="2">
        <f>0</f>
        <v>0</v>
      </c>
      <c r="E251" s="2"/>
      <c r="F251" s="19">
        <f t="shared" si="130"/>
        <v>0</v>
      </c>
      <c r="G251" s="2"/>
      <c r="H251" s="2">
        <f>--75</f>
        <v>75</v>
      </c>
      <c r="I251" s="2"/>
      <c r="J251" s="19">
        <f t="shared" si="131"/>
        <v>2.8756290107763733E-5</v>
      </c>
      <c r="K251" s="2"/>
      <c r="L251" s="2">
        <f t="shared" si="132"/>
        <v>-75</v>
      </c>
      <c r="M251" s="2"/>
      <c r="N251" s="19">
        <f t="shared" si="133"/>
        <v>-1</v>
      </c>
      <c r="O251" s="11"/>
      <c r="P251" s="2">
        <f>--30</f>
        <v>30</v>
      </c>
      <c r="Q251" s="2"/>
      <c r="R251" s="19">
        <f t="shared" si="134"/>
        <v>3.9018732768742345E-6</v>
      </c>
      <c r="S251" s="2"/>
      <c r="T251" s="2">
        <f>--335</f>
        <v>335</v>
      </c>
      <c r="U251" s="2"/>
      <c r="V251" s="19">
        <f t="shared" si="135"/>
        <v>3.9316103676433969E-5</v>
      </c>
      <c r="W251" s="2"/>
      <c r="X251" s="2">
        <f t="shared" si="136"/>
        <v>-305</v>
      </c>
      <c r="Y251" s="2"/>
      <c r="Z251" s="19">
        <f t="shared" si="137"/>
        <v>-0.91044776119402981</v>
      </c>
    </row>
    <row r="252" spans="1:26" s="24" customFormat="1" hidden="1" outlineLevel="1" x14ac:dyDescent="0.25">
      <c r="A252" s="44"/>
      <c r="B252" s="11" t="str">
        <f>CONCATENATE("          ", "4198", " - ", "NON-TAXABLE SALES-GRAD RENTALS")</f>
        <v xml:space="preserve">          4198 - NON-TAXABLE SALES-GRAD RENTALS</v>
      </c>
      <c r="C252" s="11"/>
      <c r="D252" s="2">
        <f>--3237.1</f>
        <v>3237.1</v>
      </c>
      <c r="E252" s="2"/>
      <c r="F252" s="19">
        <f t="shared" si="130"/>
        <v>1.4893967178602871E-3</v>
      </c>
      <c r="G252" s="2"/>
      <c r="H252" s="2">
        <f>--15</f>
        <v>15</v>
      </c>
      <c r="I252" s="2"/>
      <c r="J252" s="19">
        <f t="shared" si="131"/>
        <v>5.751258021552747E-6</v>
      </c>
      <c r="K252" s="2"/>
      <c r="L252" s="2">
        <f t="shared" si="132"/>
        <v>3222.1</v>
      </c>
      <c r="M252" s="2"/>
      <c r="N252" s="19">
        <f t="shared" si="133"/>
        <v>214.80666666666667</v>
      </c>
      <c r="O252" s="11"/>
      <c r="P252" s="2">
        <f>--3732.1</f>
        <v>3732.1</v>
      </c>
      <c r="Q252" s="2"/>
      <c r="R252" s="19">
        <f t="shared" si="134"/>
        <v>4.8540604188741099E-4</v>
      </c>
      <c r="S252" s="2"/>
      <c r="T252" s="2">
        <f>--465</f>
        <v>465</v>
      </c>
      <c r="U252" s="2"/>
      <c r="V252" s="19">
        <f t="shared" si="135"/>
        <v>5.4573099132960576E-5</v>
      </c>
      <c r="W252" s="2"/>
      <c r="X252" s="2">
        <f t="shared" si="136"/>
        <v>3267.1</v>
      </c>
      <c r="Y252" s="2"/>
      <c r="Z252" s="19">
        <f t="shared" si="137"/>
        <v>7.0260215053763435</v>
      </c>
    </row>
    <row r="253" spans="1:26" s="24" customFormat="1" hidden="1" outlineLevel="1" x14ac:dyDescent="0.25">
      <c r="A253" s="44"/>
      <c r="B253" s="11" t="str">
        <f>CONCATENATE("          ", "9150", " - ", "MISC. INCOME")</f>
        <v xml:space="preserve">          9150 - MISC. INCOME</v>
      </c>
      <c r="C253" s="11"/>
      <c r="D253" s="2">
        <f>--40793.32</f>
        <v>40793.32</v>
      </c>
      <c r="E253" s="2"/>
      <c r="F253" s="19">
        <f t="shared" si="130"/>
        <v>1.8769094843725683E-2</v>
      </c>
      <c r="G253" s="2"/>
      <c r="H253" s="2">
        <f>--43144.38</f>
        <v>43144.38</v>
      </c>
      <c r="I253" s="2"/>
      <c r="J253" s="19">
        <f t="shared" si="131"/>
        <v>1.6542297437327991E-2</v>
      </c>
      <c r="K253" s="2"/>
      <c r="L253" s="2">
        <f t="shared" si="132"/>
        <v>-2351.0599999999977</v>
      </c>
      <c r="M253" s="2"/>
      <c r="N253" s="19">
        <f t="shared" si="133"/>
        <v>-5.4492844722765693E-2</v>
      </c>
      <c r="O253" s="11"/>
      <c r="P253" s="2">
        <f>--286352.98</f>
        <v>286352.98</v>
      </c>
      <c r="Q253" s="2"/>
      <c r="R253" s="19">
        <f t="shared" si="134"/>
        <v>3.7243768013843402E-2</v>
      </c>
      <c r="S253" s="2"/>
      <c r="T253" s="2">
        <f>--426713.19</f>
        <v>426713.19</v>
      </c>
      <c r="U253" s="2"/>
      <c r="V253" s="19">
        <f t="shared" si="135"/>
        <v>5.0079701546692133E-2</v>
      </c>
      <c r="W253" s="2"/>
      <c r="X253" s="2">
        <f t="shared" si="136"/>
        <v>-140360.21000000002</v>
      </c>
      <c r="Y253" s="2"/>
      <c r="Z253" s="19">
        <f t="shared" si="137"/>
        <v>-0.3289333756005996</v>
      </c>
    </row>
    <row r="254" spans="1:26" s="24" customFormat="1" hidden="1" outlineLevel="1" x14ac:dyDescent="0.25">
      <c r="A254" s="44"/>
      <c r="B254" s="11" t="str">
        <f>CONCATENATE("          ", "9151", " - ", "MISC. INCOME")</f>
        <v xml:space="preserve">          9151 - MISC. INCOME</v>
      </c>
      <c r="C254" s="11"/>
      <c r="D254" s="2">
        <f>-1539.13</f>
        <v>-1539.13</v>
      </c>
      <c r="E254" s="2"/>
      <c r="F254" s="19">
        <f t="shared" si="130"/>
        <v>-7.0815704499715916E-4</v>
      </c>
      <c r="G254" s="2"/>
      <c r="H254" s="2">
        <f>--8392.5</f>
        <v>8392.5</v>
      </c>
      <c r="I254" s="2"/>
      <c r="J254" s="19">
        <f t="shared" si="131"/>
        <v>3.2178288630587619E-3</v>
      </c>
      <c r="K254" s="2"/>
      <c r="L254" s="2">
        <f t="shared" si="132"/>
        <v>-9931.630000000001</v>
      </c>
      <c r="M254" s="2"/>
      <c r="N254" s="19">
        <f t="shared" si="133"/>
        <v>-1.183393506106643</v>
      </c>
      <c r="O254" s="11"/>
      <c r="P254" s="2">
        <f>--85953.38</f>
        <v>85953.38</v>
      </c>
      <c r="Q254" s="2"/>
      <c r="R254" s="19">
        <f t="shared" si="134"/>
        <v>1.1179306549300544E-2</v>
      </c>
      <c r="S254" s="2"/>
      <c r="T254" s="2">
        <f>--9042.27</f>
        <v>9042.27</v>
      </c>
      <c r="U254" s="2"/>
      <c r="V254" s="19">
        <f t="shared" si="135"/>
        <v>1.0612144023591302E-3</v>
      </c>
      <c r="W254" s="2"/>
      <c r="X254" s="2">
        <f t="shared" si="136"/>
        <v>76911.11</v>
      </c>
      <c r="Y254" s="2"/>
      <c r="Z254" s="19">
        <f t="shared" si="137"/>
        <v>8.5057303088715557</v>
      </c>
    </row>
    <row r="255" spans="1:26" s="24" customFormat="1" hidden="1" outlineLevel="1" x14ac:dyDescent="0.25">
      <c r="A255" s="44"/>
      <c r="B255" s="11" t="str">
        <f>CONCATENATE("          ", "9152", " - ", "MISC. INCOME")</f>
        <v xml:space="preserve">          9152 - MISC. INCOME</v>
      </c>
      <c r="C255" s="11"/>
      <c r="D255" s="2">
        <f>--469.1</f>
        <v>469.1</v>
      </c>
      <c r="E255" s="2"/>
      <c r="F255" s="19">
        <f t="shared" si="130"/>
        <v>2.1583392553466396E-4</v>
      </c>
      <c r="G255" s="2"/>
      <c r="H255" s="2">
        <f>--6007.5</f>
        <v>6007.5</v>
      </c>
      <c r="I255" s="2"/>
      <c r="J255" s="19">
        <f t="shared" si="131"/>
        <v>2.3033788376318749E-3</v>
      </c>
      <c r="K255" s="2"/>
      <c r="L255" s="2">
        <f t="shared" si="132"/>
        <v>-5538.4</v>
      </c>
      <c r="M255" s="2"/>
      <c r="N255" s="19">
        <f t="shared" si="133"/>
        <v>-0.92191427382438618</v>
      </c>
      <c r="O255" s="11"/>
      <c r="P255" s="2">
        <f>--4699.86</f>
        <v>4699.8599999999997</v>
      </c>
      <c r="Q255" s="2"/>
      <c r="R255" s="19">
        <f t="shared" si="134"/>
        <v>6.1127527130167122E-4</v>
      </c>
      <c r="S255" s="2"/>
      <c r="T255" s="2">
        <f>--9852.58</f>
        <v>9852.58</v>
      </c>
      <c r="U255" s="2"/>
      <c r="V255" s="19">
        <f t="shared" si="135"/>
        <v>1.1563136022697306E-3</v>
      </c>
      <c r="W255" s="2"/>
      <c r="X255" s="2">
        <f t="shared" si="136"/>
        <v>-5152.72</v>
      </c>
      <c r="Y255" s="2"/>
      <c r="Z255" s="19">
        <f t="shared" si="137"/>
        <v>-0.5229817976611203</v>
      </c>
    </row>
    <row r="256" spans="1:26" s="24" customFormat="1" hidden="1" outlineLevel="1" x14ac:dyDescent="0.25">
      <c r="A256" s="44"/>
      <c r="B256" s="11" t="str">
        <f>CONCATENATE("          ", "9153", " - ", "MISC. INCOME")</f>
        <v xml:space="preserve">          9153 - MISC. INCOME</v>
      </c>
      <c r="C256" s="11"/>
      <c r="D256" s="2">
        <f t="shared" ref="D256:D258" si="138">0</f>
        <v>0</v>
      </c>
      <c r="E256" s="2"/>
      <c r="F256" s="19">
        <f t="shared" si="130"/>
        <v>0</v>
      </c>
      <c r="G256" s="2"/>
      <c r="H256" s="2">
        <f>0</f>
        <v>0</v>
      </c>
      <c r="I256" s="2"/>
      <c r="J256" s="19">
        <f t="shared" si="131"/>
        <v>0</v>
      </c>
      <c r="K256" s="2"/>
      <c r="L256" s="2">
        <f t="shared" si="132"/>
        <v>0</v>
      </c>
      <c r="M256" s="2"/>
      <c r="N256" s="19">
        <f t="shared" si="133"/>
        <v>0</v>
      </c>
      <c r="O256" s="11"/>
      <c r="P256" s="2">
        <f>--450</f>
        <v>450</v>
      </c>
      <c r="Q256" s="2"/>
      <c r="R256" s="19">
        <f t="shared" si="134"/>
        <v>5.8528099153113514E-5</v>
      </c>
      <c r="S256" s="2"/>
      <c r="T256" s="2">
        <f>0</f>
        <v>0</v>
      </c>
      <c r="U256" s="2"/>
      <c r="V256" s="19">
        <f t="shared" si="135"/>
        <v>0</v>
      </c>
      <c r="W256" s="2"/>
      <c r="X256" s="2">
        <f t="shared" si="136"/>
        <v>450</v>
      </c>
      <c r="Y256" s="2"/>
      <c r="Z256" s="19">
        <f t="shared" si="137"/>
        <v>0</v>
      </c>
    </row>
    <row r="257" spans="1:26" s="24" customFormat="1" hidden="1" outlineLevel="1" x14ac:dyDescent="0.25">
      <c r="A257" s="44"/>
      <c r="B257" s="11" t="str">
        <f>CONCATENATE("          ", "9160", " - ", "MISC. INCOME")</f>
        <v xml:space="preserve">          9160 - MISC. INCOME</v>
      </c>
      <c r="C257" s="11"/>
      <c r="D257" s="2">
        <f t="shared" si="138"/>
        <v>0</v>
      </c>
      <c r="E257" s="2"/>
      <c r="F257" s="19">
        <f t="shared" si="130"/>
        <v>0</v>
      </c>
      <c r="G257" s="2"/>
      <c r="H257" s="2">
        <f>--580</f>
        <v>580</v>
      </c>
      <c r="I257" s="2"/>
      <c r="J257" s="19">
        <f t="shared" si="131"/>
        <v>2.2238197683337288E-4</v>
      </c>
      <c r="K257" s="2"/>
      <c r="L257" s="2">
        <f t="shared" si="132"/>
        <v>-580</v>
      </c>
      <c r="M257" s="2"/>
      <c r="N257" s="19">
        <f t="shared" si="133"/>
        <v>-1</v>
      </c>
      <c r="O257" s="11"/>
      <c r="P257" s="2">
        <f>--22475</f>
        <v>22475</v>
      </c>
      <c r="Q257" s="2"/>
      <c r="R257" s="19">
        <f t="shared" si="134"/>
        <v>2.9231533965916141E-3</v>
      </c>
      <c r="S257" s="2"/>
      <c r="T257" s="2">
        <f>--870</f>
        <v>870</v>
      </c>
      <c r="U257" s="2"/>
      <c r="V257" s="19">
        <f t="shared" si="135"/>
        <v>1.0210450805521657E-4</v>
      </c>
      <c r="W257" s="2"/>
      <c r="X257" s="2">
        <f t="shared" si="136"/>
        <v>21605</v>
      </c>
      <c r="Y257" s="2"/>
      <c r="Z257" s="19">
        <f t="shared" si="137"/>
        <v>24.833333333333332</v>
      </c>
    </row>
    <row r="258" spans="1:26" s="24" customFormat="1" hidden="1" outlineLevel="1" x14ac:dyDescent="0.25">
      <c r="A258" s="44"/>
      <c r="B258" s="11" t="str">
        <f>CONCATENATE("          ", "9163", " - ", "MISC. INCOME")</f>
        <v xml:space="preserve">          9163 - MISC. INCOME</v>
      </c>
      <c r="C258" s="11"/>
      <c r="D258" s="2">
        <f t="shared" si="138"/>
        <v>0</v>
      </c>
      <c r="E258" s="2"/>
      <c r="F258" s="19">
        <f t="shared" si="130"/>
        <v>0</v>
      </c>
      <c r="G258" s="2"/>
      <c r="H258" s="2">
        <f>0</f>
        <v>0</v>
      </c>
      <c r="I258" s="2"/>
      <c r="J258" s="19">
        <f t="shared" si="131"/>
        <v>0</v>
      </c>
      <c r="K258" s="2"/>
      <c r="L258" s="2">
        <f t="shared" si="132"/>
        <v>0</v>
      </c>
      <c r="M258" s="2"/>
      <c r="N258" s="19">
        <f t="shared" si="133"/>
        <v>0</v>
      </c>
      <c r="O258" s="11"/>
      <c r="P258" s="2">
        <f>--61106.55</f>
        <v>61106.55</v>
      </c>
      <c r="Q258" s="2"/>
      <c r="R258" s="19">
        <f t="shared" si="134"/>
        <v>7.9476671495659762E-3</v>
      </c>
      <c r="S258" s="2"/>
      <c r="T258" s="2">
        <f>0</f>
        <v>0</v>
      </c>
      <c r="U258" s="2"/>
      <c r="V258" s="19">
        <f t="shared" si="135"/>
        <v>0</v>
      </c>
      <c r="W258" s="2"/>
      <c r="X258" s="2">
        <f t="shared" si="136"/>
        <v>61106.55</v>
      </c>
      <c r="Y258" s="2"/>
      <c r="Z258" s="19">
        <f t="shared" si="137"/>
        <v>0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10"/>
      <c r="B260" s="28" t="s">
        <v>3</v>
      </c>
      <c r="C260" s="28"/>
      <c r="D260" s="21">
        <f>+D159-D161+D249</f>
        <v>557193.27</v>
      </c>
      <c r="E260" s="14"/>
      <c r="F260" s="22">
        <f>IF(D$12=0,0,D260/D$12)</f>
        <v>0.25636582977104222</v>
      </c>
      <c r="G260" s="14"/>
      <c r="H260" s="21">
        <f>+H159-H161+H249</f>
        <v>487776.90000000066</v>
      </c>
      <c r="I260" s="14"/>
      <c r="J260" s="22">
        <f>IF(H$12=0,0,H260/H$12)</f>
        <v>0.1870220539235424</v>
      </c>
      <c r="K260" s="16"/>
      <c r="L260" s="21">
        <f>+D260-H260</f>
        <v>69416.369999999355</v>
      </c>
      <c r="M260" s="16"/>
      <c r="N260" s="22">
        <f>IF(H260=0,0,L260/H260)</f>
        <v>0.14231172078874432</v>
      </c>
      <c r="O260" s="29"/>
      <c r="P260" s="21">
        <f>+P159-P161+P249</f>
        <v>1035330.569999994</v>
      </c>
      <c r="Q260" s="14"/>
      <c r="R260" s="22">
        <f>IF(P$12=0,0,P260/P$12)</f>
        <v>0.1346576227937982</v>
      </c>
      <c r="S260" s="14"/>
      <c r="T260" s="21">
        <f>+T159-T161+T249</f>
        <v>890441.66999999713</v>
      </c>
      <c r="U260" s="14"/>
      <c r="V260" s="22">
        <f>IF(T$12=0,0,T260/T$12)</f>
        <v>0.10450357318070713</v>
      </c>
      <c r="W260" s="16"/>
      <c r="X260" s="21">
        <f>+P260-T260</f>
        <v>144888.89999999688</v>
      </c>
      <c r="Y260" s="16"/>
      <c r="Z260" s="22">
        <f>IF(T260=0,0,X260/T260)</f>
        <v>0.16271576778296701</v>
      </c>
    </row>
    <row r="261" spans="1:26" x14ac:dyDescent="0.25">
      <c r="A261" s="9"/>
      <c r="B261" s="10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1"/>
      <c r="B262" s="10" t="s">
        <v>13</v>
      </c>
      <c r="C262" s="10"/>
      <c r="D262" s="4">
        <v>206131.23</v>
      </c>
      <c r="E262" s="4"/>
      <c r="F262" s="12">
        <f>IF(D$12=0,0,D262/D$12)</f>
        <v>9.4841425167743951E-2</v>
      </c>
      <c r="G262" s="4"/>
      <c r="H262" s="4">
        <v>228929.09</v>
      </c>
      <c r="I262" s="4"/>
      <c r="J262" s="12">
        <f>IF(H$12=0,0,H262/H$12)</f>
        <v>8.7775351015284719E-2</v>
      </c>
      <c r="K262" s="4"/>
      <c r="L262" s="4">
        <f>+D262-H262</f>
        <v>-22797.859999999986</v>
      </c>
      <c r="M262" s="4"/>
      <c r="N262" s="12">
        <f>IF(H262=0,0,L262/H262)</f>
        <v>-9.9584810300866466E-2</v>
      </c>
      <c r="O262" s="10"/>
      <c r="P262" s="4">
        <v>801813.61</v>
      </c>
      <c r="Q262" s="4"/>
      <c r="R262" s="12">
        <f>IF(P$12=0,0,P262/P$12)</f>
        <v>0.10428583659643531</v>
      </c>
      <c r="S262" s="4"/>
      <c r="T262" s="4">
        <v>866983.46</v>
      </c>
      <c r="U262" s="4"/>
      <c r="V262" s="12">
        <f>IF(T$12=0,0,T262/T$12)</f>
        <v>0.10175048238541325</v>
      </c>
      <c r="W262" s="4"/>
      <c r="X262" s="4">
        <f>+P262-T262</f>
        <v>-65169.849999999977</v>
      </c>
      <c r="Y262" s="4"/>
      <c r="Z262" s="12">
        <f>IF(T262=0,0,X262/T262)</f>
        <v>-7.5168504368007177E-2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ht="15.75" thickBot="1" x14ac:dyDescent="0.3">
      <c r="A264" s="10"/>
      <c r="B264" s="28" t="s">
        <v>4</v>
      </c>
      <c r="C264" s="28"/>
      <c r="D264" s="34">
        <f>+D260-D262</f>
        <v>351062.04000000004</v>
      </c>
      <c r="E264" s="14"/>
      <c r="F264" s="31">
        <f>IF(D$12=0,0,D264/D$12)</f>
        <v>0.16152440460329828</v>
      </c>
      <c r="G264" s="14"/>
      <c r="H264" s="34">
        <f>+H260-H262</f>
        <v>258847.81000000067</v>
      </c>
      <c r="I264" s="14"/>
      <c r="J264" s="31">
        <f>IF(H$12=0,0,H264/H$12)</f>
        <v>9.9246702908257683E-2</v>
      </c>
      <c r="K264" s="16"/>
      <c r="L264" s="34">
        <f>D264-H264</f>
        <v>92214.22999999937</v>
      </c>
      <c r="M264" s="16"/>
      <c r="N264" s="31">
        <f>IF(H264=0,0,L264/H264)</f>
        <v>0.35624883208399227</v>
      </c>
      <c r="O264" s="29"/>
      <c r="P264" s="34">
        <f>+P260-P262</f>
        <v>233516.95999999403</v>
      </c>
      <c r="Q264" s="14"/>
      <c r="R264" s="31">
        <f>IF(P$12=0,0,P264/P$12)</f>
        <v>3.0371786197362874E-2</v>
      </c>
      <c r="S264" s="14"/>
      <c r="T264" s="34">
        <f>+T260-T262</f>
        <v>23458.209999997169</v>
      </c>
      <c r="U264" s="14"/>
      <c r="V264" s="31">
        <f>IF(T$12=0,0,T264/T$12)</f>
        <v>2.7530907952938769E-3</v>
      </c>
      <c r="W264" s="16"/>
      <c r="X264" s="34">
        <f>P264-T264</f>
        <v>210058.74999999686</v>
      </c>
      <c r="Y264" s="16"/>
      <c r="Z264" s="31">
        <f>IF(T264=0,0,X264/T264)</f>
        <v>8.9545941484888321</v>
      </c>
    </row>
    <row r="265" spans="1:26" ht="15.75" thickTop="1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8" t="s">
        <v>5</v>
      </c>
      <c r="C267" s="28"/>
      <c r="D267" s="30">
        <f>SUM(D264:D266)</f>
        <v>351062.04000000004</v>
      </c>
      <c r="E267" s="14"/>
      <c r="F267" s="33">
        <f>IF(D$12=0,0,D267/D$12)</f>
        <v>0.16152440460329828</v>
      </c>
      <c r="G267" s="14"/>
      <c r="H267" s="30">
        <f>SUM(H264:H266)</f>
        <v>258847.81000000067</v>
      </c>
      <c r="I267" s="14"/>
      <c r="J267" s="33">
        <f>IF(H$12=0,0,H267/H$12)</f>
        <v>9.9246702908257683E-2</v>
      </c>
      <c r="K267" s="16"/>
      <c r="L267" s="30">
        <f>+D267-H267</f>
        <v>92214.22999999937</v>
      </c>
      <c r="M267" s="16"/>
      <c r="N267" s="33">
        <f>IF(H267=0,0,L267/H267)</f>
        <v>0.35624883208399227</v>
      </c>
      <c r="O267" s="29"/>
      <c r="P267" s="30">
        <f>SUM(P264:P266)</f>
        <v>233516.95999999403</v>
      </c>
      <c r="Q267" s="14"/>
      <c r="R267" s="33">
        <f>IF(P$12=0,0,P267/P$12)</f>
        <v>3.0371786197362874E-2</v>
      </c>
      <c r="S267" s="14"/>
      <c r="T267" s="30">
        <f>SUM(T264:T266)</f>
        <v>23458.209999997169</v>
      </c>
      <c r="U267" s="14"/>
      <c r="V267" s="33">
        <f>IF(T$12=0,0,T267/T$12)</f>
        <v>2.7530907952938769E-3</v>
      </c>
      <c r="W267" s="16"/>
      <c r="X267" s="30">
        <f>+P267-T267</f>
        <v>210058.74999999686</v>
      </c>
      <c r="Y267" s="16"/>
      <c r="Z267" s="33">
        <f>IF(T267=0,0,X267/T267)</f>
        <v>8.9545941484888321</v>
      </c>
    </row>
    <row r="268" spans="1:26" ht="15.75" thickTop="1" x14ac:dyDescent="0.25">
      <c r="A268" s="9"/>
      <c r="C268" s="9"/>
      <c r="D268" s="17"/>
      <c r="E268" s="17"/>
      <c r="G268" s="17"/>
      <c r="H268" s="17"/>
      <c r="I268" s="17"/>
      <c r="J268" s="42"/>
      <c r="K268" s="17"/>
      <c r="L268" s="17"/>
      <c r="M268" s="17"/>
      <c r="P268" s="17"/>
      <c r="Q268" s="17"/>
      <c r="R268" s="42"/>
      <c r="S268" s="17"/>
      <c r="T268" s="17"/>
      <c r="U268" s="17"/>
      <c r="V268" s="42"/>
      <c r="W268" s="17"/>
      <c r="X268" s="17"/>
    </row>
    <row r="269" spans="1:26" x14ac:dyDescent="0.25">
      <c r="A269" s="9"/>
      <c r="B269" s="61">
        <v>43879.553247025462</v>
      </c>
      <c r="D269" s="17"/>
      <c r="E269" s="17"/>
      <c r="G269" s="17"/>
      <c r="H269" s="17"/>
      <c r="I269" s="17"/>
      <c r="J269" s="42"/>
      <c r="K269" s="17"/>
      <c r="L269" s="17"/>
      <c r="M269" s="17"/>
      <c r="P269" s="17"/>
      <c r="Q269" s="17"/>
      <c r="R269" s="42"/>
      <c r="S269" s="17"/>
      <c r="T269" s="17"/>
      <c r="U269" s="17"/>
      <c r="V269" s="42"/>
      <c r="W269" s="17"/>
      <c r="X269" s="17"/>
    </row>
    <row r="270" spans="1:26" x14ac:dyDescent="0.25">
      <c r="A270" s="9"/>
      <c r="B270" s="55" t="s">
        <v>313</v>
      </c>
      <c r="D270" s="17"/>
      <c r="E270" s="17"/>
      <c r="G270" s="17"/>
      <c r="H270" s="17"/>
      <c r="I270" s="17"/>
      <c r="J270" s="42"/>
      <c r="K270" s="17"/>
      <c r="L270" s="17"/>
      <c r="M270" s="17"/>
      <c r="P270" s="17"/>
      <c r="Q270" s="17"/>
      <c r="R270" s="42"/>
      <c r="S270" s="17"/>
      <c r="T270" s="17"/>
      <c r="U270" s="17"/>
      <c r="V270" s="42"/>
      <c r="W270" s="17"/>
      <c r="X270" s="17"/>
    </row>
    <row r="271" spans="1:26" x14ac:dyDescent="0.25">
      <c r="A271" s="9"/>
      <c r="B271" s="58"/>
      <c r="D271" s="17"/>
      <c r="E271" s="17"/>
      <c r="G271" s="17"/>
      <c r="H271" s="17"/>
      <c r="I271" s="17"/>
      <c r="J271" s="42"/>
      <c r="K271" s="17"/>
      <c r="L271" s="17"/>
      <c r="M271" s="17"/>
      <c r="P271" s="17"/>
      <c r="Q271" s="17"/>
      <c r="R271" s="42"/>
      <c r="S271" s="17"/>
      <c r="T271" s="17"/>
      <c r="U271" s="17"/>
      <c r="V271" s="42"/>
      <c r="W271" s="17"/>
      <c r="X271" s="17"/>
    </row>
    <row r="272" spans="1:26" x14ac:dyDescent="0.25">
      <c r="D272" s="17"/>
      <c r="E272" s="17"/>
      <c r="G272" s="17"/>
      <c r="H272" s="17"/>
      <c r="I272" s="17"/>
      <c r="J272" s="42"/>
      <c r="K272" s="17"/>
      <c r="L272" s="17"/>
      <c r="M272" s="17"/>
      <c r="P272" s="17"/>
      <c r="Q272" s="17"/>
      <c r="R272" s="42"/>
      <c r="S272" s="17"/>
      <c r="T272" s="17"/>
      <c r="U272" s="17"/>
      <c r="V272" s="42"/>
      <c r="W272" s="17"/>
      <c r="X272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2388554.59</v>
      </c>
      <c r="E12" s="4"/>
      <c r="F12" s="12"/>
      <c r="G12" s="4"/>
      <c r="H12" s="4">
        <f>SUM(OSRRefH13x_0)</f>
        <v>2889640.5800000005</v>
      </c>
      <c r="I12" s="4"/>
      <c r="J12" s="12"/>
      <c r="K12" s="4"/>
      <c r="L12" s="4">
        <f t="shared" ref="L12:L123" si="0">+D12-H12</f>
        <v>-501085.99000000069</v>
      </c>
      <c r="M12" s="4"/>
      <c r="N12" s="12">
        <f t="shared" ref="N12:N123" si="1">IF(H12=0,0,L12/H12)</f>
        <v>-0.17340772186968684</v>
      </c>
      <c r="O12" s="10"/>
      <c r="P12" s="4">
        <f>SUM(OSRRefP13x_0)</f>
        <v>9487120.6599999983</v>
      </c>
      <c r="Q12" s="4"/>
      <c r="R12" s="12"/>
      <c r="S12" s="4"/>
      <c r="T12" s="4">
        <f>SUM(OSRRefT13x_0)</f>
        <v>10344362.269999998</v>
      </c>
      <c r="U12" s="4"/>
      <c r="V12" s="12"/>
      <c r="W12" s="4"/>
      <c r="X12" s="4">
        <f t="shared" ref="X12:X123" si="2">+P12-T12</f>
        <v>-857241.6099999994</v>
      </c>
      <c r="Y12" s="4"/>
      <c r="Z12" s="12">
        <f t="shared" ref="Z12:Z123" si="3">IF(T12=0,0,X12/T12)</f>
        <v>-8.2870416524961826E-2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>
        <f>--1043516.6</f>
        <v>1043516.6</v>
      </c>
      <c r="I14" s="2"/>
      <c r="J14" s="19"/>
      <c r="K14" s="2"/>
      <c r="L14" s="2">
        <f t="shared" si="0"/>
        <v>-297574.21999999997</v>
      </c>
      <c r="M14" s="2"/>
      <c r="N14" s="19">
        <f t="shared" si="1"/>
        <v>-0.28516481673602506</v>
      </c>
      <c r="O14" s="11"/>
      <c r="P14" s="2">
        <f>--2285976.76</f>
        <v>2285976.7599999998</v>
      </c>
      <c r="Q14" s="2"/>
      <c r="R14" s="19"/>
      <c r="S14" s="2"/>
      <c r="T14" s="2">
        <f>--2913143.85</f>
        <v>2913143.85</v>
      </c>
      <c r="U14" s="2"/>
      <c r="V14" s="19"/>
      <c r="W14" s="2"/>
      <c r="X14" s="2">
        <f t="shared" si="2"/>
        <v>-627167.09000000032</v>
      </c>
      <c r="Y14" s="2"/>
      <c r="Z14" s="19">
        <f t="shared" si="3"/>
        <v>-0.21528874724123229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>
        <f>--553527.23</f>
        <v>553527.23</v>
      </c>
      <c r="I15" s="2"/>
      <c r="J15" s="19"/>
      <c r="K15" s="2"/>
      <c r="L15" s="2">
        <f t="shared" si="0"/>
        <v>-41207.789999999979</v>
      </c>
      <c r="M15" s="2"/>
      <c r="N15" s="19">
        <f t="shared" si="1"/>
        <v>-7.4445822656276514E-2</v>
      </c>
      <c r="O15" s="11"/>
      <c r="P15" s="2">
        <f>--1193414.41</f>
        <v>1193414.4099999999</v>
      </c>
      <c r="Q15" s="2"/>
      <c r="R15" s="19"/>
      <c r="S15" s="2"/>
      <c r="T15" s="2">
        <f>--1309468.68</f>
        <v>1309468.68</v>
      </c>
      <c r="U15" s="2"/>
      <c r="V15" s="19"/>
      <c r="W15" s="2"/>
      <c r="X15" s="2">
        <f t="shared" si="2"/>
        <v>-116054.27000000002</v>
      </c>
      <c r="Y15" s="2"/>
      <c r="Z15" s="19">
        <f t="shared" si="3"/>
        <v>-8.8626991826944668E-2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>
        <f>--4636.4</f>
        <v>4636.3999999999996</v>
      </c>
      <c r="I16" s="2"/>
      <c r="J16" s="19"/>
      <c r="K16" s="2"/>
      <c r="L16" s="2">
        <f t="shared" si="0"/>
        <v>11204.94</v>
      </c>
      <c r="M16" s="2"/>
      <c r="N16" s="19">
        <f t="shared" si="1"/>
        <v>2.416732809938746</v>
      </c>
      <c r="O16" s="11"/>
      <c r="P16" s="2">
        <f>--32272.01</f>
        <v>32272.01</v>
      </c>
      <c r="Q16" s="2"/>
      <c r="R16" s="19"/>
      <c r="S16" s="2"/>
      <c r="T16" s="2">
        <f>--14580.65</f>
        <v>14580.65</v>
      </c>
      <c r="U16" s="2"/>
      <c r="V16" s="19"/>
      <c r="W16" s="2"/>
      <c r="X16" s="2">
        <f t="shared" si="2"/>
        <v>17691.36</v>
      </c>
      <c r="Y16" s="2"/>
      <c r="Z16" s="19">
        <f t="shared" si="3"/>
        <v>1.2133450840668969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>
        <f>--25647.37</f>
        <v>25647.37</v>
      </c>
      <c r="I17" s="2"/>
      <c r="J17" s="19"/>
      <c r="K17" s="2"/>
      <c r="L17" s="2">
        <f t="shared" si="0"/>
        <v>-14725.839999999998</v>
      </c>
      <c r="M17" s="2"/>
      <c r="N17" s="19">
        <f t="shared" si="1"/>
        <v>-0.57416569418228847</v>
      </c>
      <c r="O17" s="11"/>
      <c r="P17" s="2">
        <f>--41201.41</f>
        <v>41201.410000000003</v>
      </c>
      <c r="Q17" s="2"/>
      <c r="R17" s="19"/>
      <c r="S17" s="2"/>
      <c r="T17" s="2">
        <f>--68329.47</f>
        <v>68329.47</v>
      </c>
      <c r="U17" s="2"/>
      <c r="V17" s="19"/>
      <c r="W17" s="2"/>
      <c r="X17" s="2">
        <f t="shared" si="2"/>
        <v>-27128.059999999998</v>
      </c>
      <c r="Y17" s="2"/>
      <c r="Z17" s="19">
        <f t="shared" si="3"/>
        <v>-0.39701844606726788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7.3900000000000006</v>
      </c>
      <c r="Y18" s="2"/>
      <c r="Z18" s="19">
        <f t="shared" si="3"/>
        <v>1.2675814751286449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>
        <f>--229.95</f>
        <v>229.95</v>
      </c>
      <c r="I19" s="2"/>
      <c r="J19" s="19"/>
      <c r="K19" s="2"/>
      <c r="L19" s="2">
        <f t="shared" si="0"/>
        <v>-0.37999999999999545</v>
      </c>
      <c r="M19" s="2"/>
      <c r="N19" s="19">
        <f t="shared" si="1"/>
        <v>-1.6525331593824548E-3</v>
      </c>
      <c r="O19" s="11"/>
      <c r="P19" s="2">
        <f>--1509.89</f>
        <v>1509.89</v>
      </c>
      <c r="Q19" s="2"/>
      <c r="R19" s="19"/>
      <c r="S19" s="2"/>
      <c r="T19" s="2">
        <f>--3078.39</f>
        <v>3078.39</v>
      </c>
      <c r="U19" s="2"/>
      <c r="V19" s="19"/>
      <c r="W19" s="2"/>
      <c r="X19" s="2">
        <f t="shared" si="2"/>
        <v>-1568.4999999999998</v>
      </c>
      <c r="Y19" s="2"/>
      <c r="Z19" s="19">
        <f t="shared" si="3"/>
        <v>-0.50951958653711837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>
        <f>--276.12</f>
        <v>276.12</v>
      </c>
      <c r="I20" s="2"/>
      <c r="J20" s="19"/>
      <c r="K20" s="2"/>
      <c r="L20" s="2">
        <f t="shared" si="0"/>
        <v>-168.64</v>
      </c>
      <c r="M20" s="2"/>
      <c r="N20" s="19">
        <f t="shared" si="1"/>
        <v>-0.61074894973200056</v>
      </c>
      <c r="O20" s="11"/>
      <c r="P20" s="2">
        <f>--1100.17</f>
        <v>1100.17</v>
      </c>
      <c r="Q20" s="2"/>
      <c r="R20" s="19"/>
      <c r="S20" s="2"/>
      <c r="T20" s="2">
        <f>--1486.56</f>
        <v>1486.56</v>
      </c>
      <c r="U20" s="2"/>
      <c r="V20" s="19"/>
      <c r="W20" s="2"/>
      <c r="X20" s="2">
        <f t="shared" si="2"/>
        <v>-386.38999999999987</v>
      </c>
      <c r="Y20" s="2"/>
      <c r="Z20" s="19">
        <f t="shared" si="3"/>
        <v>-0.2599222365730276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>
        <f>--19.37</f>
        <v>19.37</v>
      </c>
      <c r="I21" s="2"/>
      <c r="J21" s="19"/>
      <c r="K21" s="2"/>
      <c r="L21" s="2">
        <f t="shared" si="0"/>
        <v>-6.3900000000000006</v>
      </c>
      <c r="M21" s="2"/>
      <c r="N21" s="19">
        <f t="shared" si="1"/>
        <v>-0.32989158492514198</v>
      </c>
      <c r="O21" s="11"/>
      <c r="P21" s="2">
        <f>--255.12</f>
        <v>255.12</v>
      </c>
      <c r="Q21" s="2"/>
      <c r="R21" s="19"/>
      <c r="S21" s="2"/>
      <c r="T21" s="2">
        <f>--670.39</f>
        <v>670.39</v>
      </c>
      <c r="U21" s="2"/>
      <c r="V21" s="19"/>
      <c r="W21" s="2"/>
      <c r="X21" s="2">
        <f t="shared" si="2"/>
        <v>-415.27</v>
      </c>
      <c r="Y21" s="2"/>
      <c r="Z21" s="19">
        <f t="shared" si="3"/>
        <v>-0.61944539745521265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>
        <f>--861.8</f>
        <v>861.8</v>
      </c>
      <c r="I22" s="2"/>
      <c r="J22" s="19"/>
      <c r="K22" s="2"/>
      <c r="L22" s="2">
        <f t="shared" si="0"/>
        <v>-124.28999999999996</v>
      </c>
      <c r="M22" s="2"/>
      <c r="N22" s="19">
        <f t="shared" si="1"/>
        <v>-0.14422139707588763</v>
      </c>
      <c r="O22" s="11"/>
      <c r="P22" s="2">
        <f>--3627.9</f>
        <v>3627.9</v>
      </c>
      <c r="Q22" s="2"/>
      <c r="R22" s="19"/>
      <c r="S22" s="2"/>
      <c r="T22" s="2">
        <f>--5029.28</f>
        <v>5029.28</v>
      </c>
      <c r="U22" s="2"/>
      <c r="V22" s="19"/>
      <c r="W22" s="2"/>
      <c r="X22" s="2">
        <f t="shared" si="2"/>
        <v>-1401.3799999999997</v>
      </c>
      <c r="Y22" s="2"/>
      <c r="Z22" s="19">
        <f t="shared" si="3"/>
        <v>-0.27864425921801922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--6.49</f>
        <v>6.49</v>
      </c>
      <c r="I23" s="2"/>
      <c r="J23" s="19"/>
      <c r="K23" s="2"/>
      <c r="L23" s="2">
        <f t="shared" si="0"/>
        <v>-6.49</v>
      </c>
      <c r="M23" s="2"/>
      <c r="N23" s="19">
        <f t="shared" si="1"/>
        <v>-1</v>
      </c>
      <c r="O23" s="11"/>
      <c r="P23" s="2">
        <f>--33.88</f>
        <v>33.880000000000003</v>
      </c>
      <c r="Q23" s="2"/>
      <c r="R23" s="19"/>
      <c r="S23" s="2"/>
      <c r="T23" s="2">
        <f>--66.94</f>
        <v>66.94</v>
      </c>
      <c r="U23" s="2"/>
      <c r="V23" s="19"/>
      <c r="W23" s="2"/>
      <c r="X23" s="2">
        <f t="shared" si="2"/>
        <v>-33.059999999999995</v>
      </c>
      <c r="Y23" s="2"/>
      <c r="Z23" s="19">
        <f t="shared" si="3"/>
        <v>-0.49387511204063334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>
        <f>--4685.73</f>
        <v>4685.7299999999996</v>
      </c>
      <c r="I24" s="2"/>
      <c r="J24" s="19"/>
      <c r="K24" s="2"/>
      <c r="L24" s="2">
        <f t="shared" si="0"/>
        <v>621.6200000000008</v>
      </c>
      <c r="M24" s="2"/>
      <c r="N24" s="19">
        <f t="shared" si="1"/>
        <v>0.13266235997379294</v>
      </c>
      <c r="O24" s="11"/>
      <c r="P24" s="2">
        <f>--40440.45</f>
        <v>40440.449999999997</v>
      </c>
      <c r="Q24" s="2"/>
      <c r="R24" s="19"/>
      <c r="S24" s="2"/>
      <c r="T24" s="2">
        <f>--38576.97</f>
        <v>38576.97</v>
      </c>
      <c r="U24" s="2"/>
      <c r="V24" s="19"/>
      <c r="W24" s="2"/>
      <c r="X24" s="2">
        <f t="shared" si="2"/>
        <v>1863.4799999999959</v>
      </c>
      <c r="Y24" s="2"/>
      <c r="Z24" s="19">
        <f t="shared" si="3"/>
        <v>4.8305504553623466E-2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>
        <f>--10467.53</f>
        <v>10467.530000000001</v>
      </c>
      <c r="I25" s="2"/>
      <c r="J25" s="19"/>
      <c r="K25" s="2"/>
      <c r="L25" s="2">
        <f t="shared" si="0"/>
        <v>3293.7899999999991</v>
      </c>
      <c r="M25" s="2"/>
      <c r="N25" s="19">
        <f t="shared" si="1"/>
        <v>0.31466735705558035</v>
      </c>
      <c r="O25" s="11"/>
      <c r="P25" s="2">
        <f>--63689.49</f>
        <v>63689.49</v>
      </c>
      <c r="Q25" s="2"/>
      <c r="R25" s="19"/>
      <c r="S25" s="2"/>
      <c r="T25" s="2">
        <f>--52629.6</f>
        <v>52629.599999999999</v>
      </c>
      <c r="U25" s="2"/>
      <c r="V25" s="19"/>
      <c r="W25" s="2"/>
      <c r="X25" s="2">
        <f t="shared" si="2"/>
        <v>11059.89</v>
      </c>
      <c r="Y25" s="2"/>
      <c r="Z25" s="19">
        <f t="shared" si="3"/>
        <v>0.21014581148251174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>
        <f>--61066.92</f>
        <v>61066.92</v>
      </c>
      <c r="I26" s="2"/>
      <c r="J26" s="19"/>
      <c r="K26" s="2"/>
      <c r="L26" s="2">
        <f t="shared" si="0"/>
        <v>5222.9300000000076</v>
      </c>
      <c r="M26" s="2"/>
      <c r="N26" s="19">
        <f t="shared" si="1"/>
        <v>8.5527974883947117E-2</v>
      </c>
      <c r="O26" s="11"/>
      <c r="P26" s="2">
        <f>--231647.32</f>
        <v>231647.32</v>
      </c>
      <c r="Q26" s="2"/>
      <c r="R26" s="19"/>
      <c r="S26" s="2"/>
      <c r="T26" s="2">
        <f>--212258.91</f>
        <v>212258.91</v>
      </c>
      <c r="U26" s="2"/>
      <c r="V26" s="19"/>
      <c r="W26" s="2"/>
      <c r="X26" s="2">
        <f t="shared" si="2"/>
        <v>19388.410000000003</v>
      </c>
      <c r="Y26" s="2"/>
      <c r="Z26" s="19">
        <f t="shared" si="3"/>
        <v>9.1343209102506012E-2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>
        <f>--40129.85</f>
        <v>40129.85</v>
      </c>
      <c r="I27" s="2"/>
      <c r="J27" s="19"/>
      <c r="K27" s="2"/>
      <c r="L27" s="2">
        <f t="shared" si="0"/>
        <v>2905.3600000000006</v>
      </c>
      <c r="M27" s="2"/>
      <c r="N27" s="19">
        <f t="shared" si="1"/>
        <v>7.2398974827964743E-2</v>
      </c>
      <c r="O27" s="11"/>
      <c r="P27" s="2">
        <f>--232672.78</f>
        <v>232672.78</v>
      </c>
      <c r="Q27" s="2"/>
      <c r="R27" s="19"/>
      <c r="S27" s="2"/>
      <c r="T27" s="2">
        <f>--236358.8</f>
        <v>236358.8</v>
      </c>
      <c r="U27" s="2"/>
      <c r="V27" s="19"/>
      <c r="W27" s="2"/>
      <c r="X27" s="2">
        <f t="shared" si="2"/>
        <v>-3686.0199999999895</v>
      </c>
      <c r="Y27" s="2"/>
      <c r="Z27" s="19">
        <f t="shared" si="3"/>
        <v>-1.559501909808304E-2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>
        <f>--38.84</f>
        <v>38.840000000000003</v>
      </c>
      <c r="I28" s="2"/>
      <c r="J28" s="19"/>
      <c r="K28" s="2"/>
      <c r="L28" s="2">
        <f t="shared" si="0"/>
        <v>4.1899999999999977</v>
      </c>
      <c r="M28" s="2"/>
      <c r="N28" s="19">
        <f t="shared" si="1"/>
        <v>0.10787847579814618</v>
      </c>
      <c r="O28" s="11"/>
      <c r="P28" s="2">
        <f>--349.97</f>
        <v>349.97</v>
      </c>
      <c r="Q28" s="2"/>
      <c r="R28" s="19"/>
      <c r="S28" s="2"/>
      <c r="T28" s="2">
        <f>--362.36</f>
        <v>362.36</v>
      </c>
      <c r="U28" s="2"/>
      <c r="V28" s="19"/>
      <c r="W28" s="2"/>
      <c r="X28" s="2">
        <f t="shared" si="2"/>
        <v>-12.389999999999986</v>
      </c>
      <c r="Y28" s="2"/>
      <c r="Z28" s="19">
        <f t="shared" si="3"/>
        <v>-3.4192515730213008E-2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--242.25</f>
        <v>242.25</v>
      </c>
      <c r="E29" s="2"/>
      <c r="F29" s="19"/>
      <c r="G29" s="2"/>
      <c r="H29" s="2">
        <f>--14.31</f>
        <v>14.31</v>
      </c>
      <c r="I29" s="2"/>
      <c r="J29" s="19"/>
      <c r="K29" s="2"/>
      <c r="L29" s="2">
        <f t="shared" si="0"/>
        <v>227.94</v>
      </c>
      <c r="M29" s="2"/>
      <c r="N29" s="19">
        <f t="shared" si="1"/>
        <v>15.928721174004192</v>
      </c>
      <c r="O29" s="11"/>
      <c r="P29" s="2">
        <f>--1108.59</f>
        <v>1108.5899999999999</v>
      </c>
      <c r="Q29" s="2"/>
      <c r="R29" s="19"/>
      <c r="S29" s="2"/>
      <c r="T29" s="2">
        <f>--257.92</f>
        <v>257.92</v>
      </c>
      <c r="U29" s="2"/>
      <c r="V29" s="19"/>
      <c r="W29" s="2"/>
      <c r="X29" s="2">
        <f t="shared" si="2"/>
        <v>850.66999999999985</v>
      </c>
      <c r="Y29" s="2"/>
      <c r="Z29" s="19">
        <f t="shared" si="3"/>
        <v>3.2981932382133987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>
        <f>--15.65</f>
        <v>15.65</v>
      </c>
      <c r="I30" s="2"/>
      <c r="J30" s="19"/>
      <c r="K30" s="2"/>
      <c r="L30" s="2">
        <f t="shared" si="0"/>
        <v>-0.51999999999999957</v>
      </c>
      <c r="M30" s="2"/>
      <c r="N30" s="19">
        <f t="shared" si="1"/>
        <v>-3.3226837060702848E-2</v>
      </c>
      <c r="O30" s="11"/>
      <c r="P30" s="2">
        <f>--146.15</f>
        <v>146.15</v>
      </c>
      <c r="Q30" s="2"/>
      <c r="R30" s="19"/>
      <c r="S30" s="2"/>
      <c r="T30" s="2">
        <f>--128.1</f>
        <v>128.1</v>
      </c>
      <c r="U30" s="2"/>
      <c r="V30" s="19"/>
      <c r="W30" s="2"/>
      <c r="X30" s="2">
        <f t="shared" si="2"/>
        <v>18.050000000000011</v>
      </c>
      <c r="Y30" s="2"/>
      <c r="Z30" s="19">
        <f t="shared" si="3"/>
        <v>0.14090554254488691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--479.73</f>
        <v>479.73</v>
      </c>
      <c r="E31" s="2"/>
      <c r="F31" s="19"/>
      <c r="G31" s="2"/>
      <c r="H31" s="2">
        <f>--448.53</f>
        <v>448.53</v>
      </c>
      <c r="I31" s="2"/>
      <c r="J31" s="19"/>
      <c r="K31" s="2"/>
      <c r="L31" s="2">
        <f t="shared" si="0"/>
        <v>31.200000000000045</v>
      </c>
      <c r="M31" s="2"/>
      <c r="N31" s="19">
        <f t="shared" si="1"/>
        <v>6.9560564510735168E-2</v>
      </c>
      <c r="O31" s="11"/>
      <c r="P31" s="2">
        <f>--5751.24</f>
        <v>5751.24</v>
      </c>
      <c r="Q31" s="2"/>
      <c r="R31" s="19"/>
      <c r="S31" s="2"/>
      <c r="T31" s="2">
        <f>--4876.06</f>
        <v>4876.0600000000004</v>
      </c>
      <c r="U31" s="2"/>
      <c r="V31" s="19"/>
      <c r="W31" s="2"/>
      <c r="X31" s="2">
        <f t="shared" si="2"/>
        <v>875.17999999999938</v>
      </c>
      <c r="Y31" s="2"/>
      <c r="Z31" s="19">
        <f t="shared" si="3"/>
        <v>0.17948507606551176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>
        <f>--185.14</f>
        <v>185.14</v>
      </c>
      <c r="I32" s="2"/>
      <c r="J32" s="19"/>
      <c r="K32" s="2"/>
      <c r="L32" s="2">
        <f t="shared" si="0"/>
        <v>-13.739999999999981</v>
      </c>
      <c r="M32" s="2"/>
      <c r="N32" s="19">
        <f t="shared" si="1"/>
        <v>-7.421410824241105E-2</v>
      </c>
      <c r="O32" s="11"/>
      <c r="P32" s="2">
        <f>--1438.49</f>
        <v>1438.49</v>
      </c>
      <c r="Q32" s="2"/>
      <c r="R32" s="19"/>
      <c r="S32" s="2"/>
      <c r="T32" s="2">
        <f>--1774.77</f>
        <v>1774.77</v>
      </c>
      <c r="U32" s="2"/>
      <c r="V32" s="19"/>
      <c r="W32" s="2"/>
      <c r="X32" s="2">
        <f t="shared" si="2"/>
        <v>-336.28</v>
      </c>
      <c r="Y32" s="2"/>
      <c r="Z32" s="19">
        <f t="shared" si="3"/>
        <v>-0.18947807321512081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>
        <f>--55.84</f>
        <v>55.84</v>
      </c>
      <c r="I33" s="2"/>
      <c r="J33" s="19"/>
      <c r="K33" s="2"/>
      <c r="L33" s="2">
        <f t="shared" si="0"/>
        <v>-38</v>
      </c>
      <c r="M33" s="2"/>
      <c r="N33" s="19">
        <f t="shared" si="1"/>
        <v>-0.68051575931232089</v>
      </c>
      <c r="O33" s="11"/>
      <c r="P33" s="2">
        <f>--414.1</f>
        <v>414.1</v>
      </c>
      <c r="Q33" s="2"/>
      <c r="R33" s="19"/>
      <c r="S33" s="2"/>
      <c r="T33" s="2">
        <f>--473.67</f>
        <v>473.67</v>
      </c>
      <c r="U33" s="2"/>
      <c r="V33" s="19"/>
      <c r="W33" s="2"/>
      <c r="X33" s="2">
        <f t="shared" si="2"/>
        <v>-59.569999999999993</v>
      </c>
      <c r="Y33" s="2"/>
      <c r="Z33" s="19">
        <f t="shared" si="3"/>
        <v>-0.12576266176874193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>
        <f>--170910.81</f>
        <v>170910.81</v>
      </c>
      <c r="I34" s="2"/>
      <c r="J34" s="19"/>
      <c r="K34" s="2"/>
      <c r="L34" s="2">
        <f t="shared" si="0"/>
        <v>21917</v>
      </c>
      <c r="M34" s="2"/>
      <c r="N34" s="19">
        <f t="shared" si="1"/>
        <v>0.12823647608948785</v>
      </c>
      <c r="O34" s="11"/>
      <c r="P34" s="2">
        <f>--1484618.99</f>
        <v>1484618.99</v>
      </c>
      <c r="Q34" s="2"/>
      <c r="R34" s="19"/>
      <c r="S34" s="2"/>
      <c r="T34" s="2">
        <f>--1368023.97</f>
        <v>1368023.97</v>
      </c>
      <c r="U34" s="2"/>
      <c r="V34" s="19"/>
      <c r="W34" s="2"/>
      <c r="X34" s="2">
        <f t="shared" si="2"/>
        <v>116595.02000000002</v>
      </c>
      <c r="Y34" s="2"/>
      <c r="Z34" s="19">
        <f t="shared" si="3"/>
        <v>8.5228784404998412E-2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>
        <f>--100302.3</f>
        <v>100302.3</v>
      </c>
      <c r="I35" s="2"/>
      <c r="J35" s="19"/>
      <c r="K35" s="2"/>
      <c r="L35" s="2">
        <f t="shared" si="0"/>
        <v>4139.3699999999953</v>
      </c>
      <c r="M35" s="2"/>
      <c r="N35" s="19">
        <f t="shared" si="1"/>
        <v>4.1268943982341336E-2</v>
      </c>
      <c r="O35" s="11"/>
      <c r="P35" s="2">
        <f>--400568.48</f>
        <v>400568.48</v>
      </c>
      <c r="Q35" s="2"/>
      <c r="R35" s="19"/>
      <c r="S35" s="2"/>
      <c r="T35" s="2">
        <f>--416134.16</f>
        <v>416134.16</v>
      </c>
      <c r="U35" s="2"/>
      <c r="V35" s="19"/>
      <c r="W35" s="2"/>
      <c r="X35" s="2">
        <f t="shared" si="2"/>
        <v>-15565.679999999993</v>
      </c>
      <c r="Y35" s="2"/>
      <c r="Z35" s="19">
        <f t="shared" si="3"/>
        <v>-3.7405436746649194E-2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>
        <f>--23930.76</f>
        <v>23930.76</v>
      </c>
      <c r="I36" s="2"/>
      <c r="J36" s="19"/>
      <c r="K36" s="2"/>
      <c r="L36" s="2">
        <f t="shared" si="0"/>
        <v>9112.3600000000042</v>
      </c>
      <c r="M36" s="2"/>
      <c r="N36" s="19">
        <f t="shared" si="1"/>
        <v>0.38078021759442676</v>
      </c>
      <c r="O36" s="11"/>
      <c r="P36" s="2">
        <f>--232995.22</f>
        <v>232995.22</v>
      </c>
      <c r="Q36" s="2"/>
      <c r="R36" s="19"/>
      <c r="S36" s="2"/>
      <c r="T36" s="2">
        <f>--183148.97</f>
        <v>183148.97</v>
      </c>
      <c r="U36" s="2"/>
      <c r="V36" s="19"/>
      <c r="W36" s="2"/>
      <c r="X36" s="2">
        <f t="shared" si="2"/>
        <v>49846.25</v>
      </c>
      <c r="Y36" s="2"/>
      <c r="Z36" s="19">
        <f t="shared" si="3"/>
        <v>0.27216232774882654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>
        <f>--280.58</f>
        <v>280.58</v>
      </c>
      <c r="I37" s="2"/>
      <c r="J37" s="19"/>
      <c r="K37" s="2"/>
      <c r="L37" s="2">
        <f t="shared" si="0"/>
        <v>8029.67</v>
      </c>
      <c r="M37" s="2"/>
      <c r="N37" s="19">
        <f t="shared" si="1"/>
        <v>28.618112481288762</v>
      </c>
      <c r="O37" s="11"/>
      <c r="P37" s="2">
        <f>--22630.71</f>
        <v>22630.71</v>
      </c>
      <c r="Q37" s="2"/>
      <c r="R37" s="19"/>
      <c r="S37" s="2"/>
      <c r="T37" s="2">
        <f>--2454.25</f>
        <v>2454.25</v>
      </c>
      <c r="U37" s="2"/>
      <c r="V37" s="19"/>
      <c r="W37" s="2"/>
      <c r="X37" s="2">
        <f t="shared" si="2"/>
        <v>20176.46</v>
      </c>
      <c r="Y37" s="2"/>
      <c r="Z37" s="19">
        <f t="shared" si="3"/>
        <v>8.2210288275440551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>
        <f>--14130.01</f>
        <v>14130.01</v>
      </c>
      <c r="I38" s="2"/>
      <c r="J38" s="19"/>
      <c r="K38" s="2"/>
      <c r="L38" s="2">
        <f t="shared" si="0"/>
        <v>-7780.05</v>
      </c>
      <c r="M38" s="2"/>
      <c r="N38" s="19">
        <f t="shared" si="1"/>
        <v>-0.55060470587069643</v>
      </c>
      <c r="O38" s="11"/>
      <c r="P38" s="2">
        <f>--53086.16</f>
        <v>53086.16</v>
      </c>
      <c r="Q38" s="2"/>
      <c r="R38" s="19"/>
      <c r="S38" s="2"/>
      <c r="T38" s="2">
        <f>--59857.07</f>
        <v>59857.07</v>
      </c>
      <c r="U38" s="2"/>
      <c r="V38" s="19"/>
      <c r="W38" s="2"/>
      <c r="X38" s="2">
        <f t="shared" si="2"/>
        <v>-6770.9099999999962</v>
      </c>
      <c r="Y38" s="2"/>
      <c r="Z38" s="19">
        <f t="shared" si="3"/>
        <v>-0.11311796584764333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>
        <f>--7692.77</f>
        <v>7692.77</v>
      </c>
      <c r="I39" s="2"/>
      <c r="J39" s="19"/>
      <c r="K39" s="2"/>
      <c r="L39" s="2">
        <f t="shared" si="0"/>
        <v>1039.4399999999987</v>
      </c>
      <c r="M39" s="2"/>
      <c r="N39" s="19">
        <f t="shared" si="1"/>
        <v>0.13511907934333128</v>
      </c>
      <c r="O39" s="11"/>
      <c r="P39" s="2">
        <f>--69738.03</f>
        <v>69738.03</v>
      </c>
      <c r="Q39" s="2"/>
      <c r="R39" s="19"/>
      <c r="S39" s="2"/>
      <c r="T39" s="2">
        <f>--75947.26</f>
        <v>75947.259999999995</v>
      </c>
      <c r="U39" s="2"/>
      <c r="V39" s="19"/>
      <c r="W39" s="2"/>
      <c r="X39" s="2">
        <f t="shared" si="2"/>
        <v>-6209.2299999999959</v>
      </c>
      <c r="Y39" s="2"/>
      <c r="Z39" s="19">
        <f t="shared" si="3"/>
        <v>-8.1757129881973312E-2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>
        <f>--380.08</f>
        <v>380.08</v>
      </c>
      <c r="I40" s="2"/>
      <c r="J40" s="19"/>
      <c r="K40" s="2"/>
      <c r="L40" s="2">
        <f t="shared" si="0"/>
        <v>-196.98</v>
      </c>
      <c r="M40" s="2"/>
      <c r="N40" s="19">
        <f t="shared" si="1"/>
        <v>-0.51825931382866763</v>
      </c>
      <c r="O40" s="11"/>
      <c r="P40" s="2">
        <f>--1977.04</f>
        <v>1977.04</v>
      </c>
      <c r="Q40" s="2"/>
      <c r="R40" s="19"/>
      <c r="S40" s="2"/>
      <c r="T40" s="2">
        <f>--2272.36</f>
        <v>2272.36</v>
      </c>
      <c r="U40" s="2"/>
      <c r="V40" s="19"/>
      <c r="W40" s="2"/>
      <c r="X40" s="2">
        <f t="shared" si="2"/>
        <v>-295.32000000000016</v>
      </c>
      <c r="Y40" s="2"/>
      <c r="Z40" s="19">
        <f t="shared" si="3"/>
        <v>-0.12996180182717534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--27620.8</f>
        <v>27620.799999999999</v>
      </c>
      <c r="E41" s="2"/>
      <c r="F41" s="19"/>
      <c r="G41" s="2"/>
      <c r="H41" s="2">
        <f>--14044.16</f>
        <v>14044.16</v>
      </c>
      <c r="I41" s="2"/>
      <c r="J41" s="19"/>
      <c r="K41" s="2"/>
      <c r="L41" s="2">
        <f t="shared" si="0"/>
        <v>13576.64</v>
      </c>
      <c r="M41" s="2"/>
      <c r="N41" s="19">
        <f t="shared" si="1"/>
        <v>0.9667107181917608</v>
      </c>
      <c r="O41" s="11"/>
      <c r="P41" s="2">
        <f>--274290.28</f>
        <v>274290.28000000003</v>
      </c>
      <c r="Q41" s="2"/>
      <c r="R41" s="19"/>
      <c r="S41" s="2"/>
      <c r="T41" s="2">
        <f>--197547.97</f>
        <v>197547.97</v>
      </c>
      <c r="U41" s="2"/>
      <c r="V41" s="19"/>
      <c r="W41" s="2"/>
      <c r="X41" s="2">
        <f t="shared" si="2"/>
        <v>76742.310000000027</v>
      </c>
      <c r="Y41" s="2"/>
      <c r="Z41" s="19">
        <f t="shared" si="3"/>
        <v>0.38847430322872983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--164816.22</f>
        <v>164816.22</v>
      </c>
      <c r="E42" s="2"/>
      <c r="F42" s="19"/>
      <c r="G42" s="2"/>
      <c r="H42" s="2">
        <f>--241429.54</f>
        <v>241429.54</v>
      </c>
      <c r="I42" s="2"/>
      <c r="J42" s="19"/>
      <c r="K42" s="2"/>
      <c r="L42" s="2">
        <f t="shared" si="0"/>
        <v>-76613.320000000007</v>
      </c>
      <c r="M42" s="2"/>
      <c r="N42" s="19">
        <f t="shared" si="1"/>
        <v>-0.31733200502308045</v>
      </c>
      <c r="O42" s="11"/>
      <c r="P42" s="2">
        <f>--1507332.48</f>
        <v>1507332.48</v>
      </c>
      <c r="Q42" s="2"/>
      <c r="R42" s="19"/>
      <c r="S42" s="2"/>
      <c r="T42" s="2">
        <f>--1343775.45</f>
        <v>1343775.45</v>
      </c>
      <c r="U42" s="2"/>
      <c r="V42" s="19"/>
      <c r="W42" s="2"/>
      <c r="X42" s="2">
        <f t="shared" si="2"/>
        <v>163557.03000000003</v>
      </c>
      <c r="Y42" s="2"/>
      <c r="Z42" s="19">
        <f t="shared" si="3"/>
        <v>0.12171455431783638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--14047.94</f>
        <v>14047.94</v>
      </c>
      <c r="E43" s="2"/>
      <c r="F43" s="19"/>
      <c r="G43" s="2"/>
      <c r="H43" s="2">
        <f>--10620.68</f>
        <v>10620.68</v>
      </c>
      <c r="I43" s="2"/>
      <c r="J43" s="19"/>
      <c r="K43" s="2"/>
      <c r="L43" s="2">
        <f t="shared" si="0"/>
        <v>3427.26</v>
      </c>
      <c r="M43" s="2"/>
      <c r="N43" s="19">
        <f t="shared" si="1"/>
        <v>0.32269685180233282</v>
      </c>
      <c r="O43" s="11"/>
      <c r="P43" s="2">
        <f>--85178.62</f>
        <v>85178.62</v>
      </c>
      <c r="Q43" s="2"/>
      <c r="R43" s="19"/>
      <c r="S43" s="2"/>
      <c r="T43" s="2">
        <f>--88625.1</f>
        <v>88625.1</v>
      </c>
      <c r="U43" s="2"/>
      <c r="V43" s="19"/>
      <c r="W43" s="2"/>
      <c r="X43" s="2">
        <f t="shared" si="2"/>
        <v>-3446.4800000000105</v>
      </c>
      <c r="Y43" s="2"/>
      <c r="Z43" s="19">
        <f t="shared" si="3"/>
        <v>-3.8888305908822786E-2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--1484.99</f>
        <v>1484.99</v>
      </c>
      <c r="U44" s="2"/>
      <c r="V44" s="19"/>
      <c r="W44" s="2"/>
      <c r="X44" s="2">
        <f t="shared" si="2"/>
        <v>-1355.99</v>
      </c>
      <c r="Y44" s="2"/>
      <c r="Z44" s="19">
        <f t="shared" si="3"/>
        <v>-0.91313072815305152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>
        <f>--416.99</f>
        <v>416.99</v>
      </c>
      <c r="I45" s="2"/>
      <c r="J45" s="19"/>
      <c r="K45" s="2"/>
      <c r="L45" s="2">
        <f t="shared" si="0"/>
        <v>-416.99</v>
      </c>
      <c r="M45" s="2"/>
      <c r="N45" s="19">
        <f t="shared" si="1"/>
        <v>-1</v>
      </c>
      <c r="O45" s="11"/>
      <c r="P45" s="2">
        <f>--4407.94</f>
        <v>4407.9399999999996</v>
      </c>
      <c r="Q45" s="2"/>
      <c r="R45" s="19"/>
      <c r="S45" s="2"/>
      <c r="T45" s="2">
        <f>--10245.8</f>
        <v>10245.799999999999</v>
      </c>
      <c r="U45" s="2"/>
      <c r="V45" s="19"/>
      <c r="W45" s="2"/>
      <c r="X45" s="2">
        <f t="shared" si="2"/>
        <v>-5837.86</v>
      </c>
      <c r="Y45" s="2"/>
      <c r="Z45" s="19">
        <f t="shared" si="3"/>
        <v>-0.56978078822541922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--7359.63</f>
        <v>7359.63</v>
      </c>
      <c r="E46" s="2"/>
      <c r="F46" s="19"/>
      <c r="G46" s="2"/>
      <c r="H46" s="2">
        <f>--6685.81</f>
        <v>6685.81</v>
      </c>
      <c r="I46" s="2"/>
      <c r="J46" s="19"/>
      <c r="K46" s="2"/>
      <c r="L46" s="2">
        <f t="shared" si="0"/>
        <v>673.81999999999971</v>
      </c>
      <c r="M46" s="2"/>
      <c r="N46" s="19">
        <f t="shared" si="1"/>
        <v>0.10078359989290747</v>
      </c>
      <c r="O46" s="11"/>
      <c r="P46" s="2">
        <f>--41136.87</f>
        <v>41136.870000000003</v>
      </c>
      <c r="Q46" s="2"/>
      <c r="R46" s="19"/>
      <c r="S46" s="2"/>
      <c r="T46" s="2">
        <f>--50605.96</f>
        <v>50605.96</v>
      </c>
      <c r="U46" s="2"/>
      <c r="V46" s="19"/>
      <c r="W46" s="2"/>
      <c r="X46" s="2">
        <f t="shared" si="2"/>
        <v>-9469.0899999999965</v>
      </c>
      <c r="Y46" s="2"/>
      <c r="Z46" s="19">
        <f t="shared" si="3"/>
        <v>-0.1871141264783831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--118.97</f>
        <v>118.97</v>
      </c>
      <c r="E47" s="2"/>
      <c r="F47" s="19"/>
      <c r="G47" s="2"/>
      <c r="H47" s="2">
        <f>--228</f>
        <v>228</v>
      </c>
      <c r="I47" s="2"/>
      <c r="J47" s="19"/>
      <c r="K47" s="2"/>
      <c r="L47" s="2">
        <f t="shared" si="0"/>
        <v>-109.03</v>
      </c>
      <c r="M47" s="2"/>
      <c r="N47" s="19">
        <f t="shared" si="1"/>
        <v>-0.47820175438596491</v>
      </c>
      <c r="O47" s="11"/>
      <c r="P47" s="2">
        <f>--1055.88</f>
        <v>1055.8800000000001</v>
      </c>
      <c r="Q47" s="2"/>
      <c r="R47" s="19"/>
      <c r="S47" s="2"/>
      <c r="T47" s="2">
        <f>--1512.85</f>
        <v>1512.85</v>
      </c>
      <c r="U47" s="2"/>
      <c r="V47" s="19"/>
      <c r="W47" s="2"/>
      <c r="X47" s="2">
        <f t="shared" si="2"/>
        <v>-456.9699999999998</v>
      </c>
      <c r="Y47" s="2"/>
      <c r="Z47" s="19">
        <f t="shared" si="3"/>
        <v>-0.30205902766302001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0</f>
        <v>0</v>
      </c>
      <c r="E48" s="2"/>
      <c r="F48" s="19"/>
      <c r="G48" s="2"/>
      <c r="H48" s="2">
        <f>--129.8</f>
        <v>129.80000000000001</v>
      </c>
      <c r="I48" s="2"/>
      <c r="J48" s="19"/>
      <c r="K48" s="2"/>
      <c r="L48" s="2">
        <f t="shared" si="0"/>
        <v>-129.80000000000001</v>
      </c>
      <c r="M48" s="2"/>
      <c r="N48" s="19">
        <f t="shared" si="1"/>
        <v>-1</v>
      </c>
      <c r="O48" s="11"/>
      <c r="P48" s="2">
        <f>--7659.37</f>
        <v>7659.37</v>
      </c>
      <c r="Q48" s="2"/>
      <c r="R48" s="19"/>
      <c r="S48" s="2"/>
      <c r="T48" s="2">
        <f>--7090.86</f>
        <v>7090.86</v>
      </c>
      <c r="U48" s="2"/>
      <c r="V48" s="19"/>
      <c r="W48" s="2"/>
      <c r="X48" s="2">
        <f t="shared" si="2"/>
        <v>568.51000000000022</v>
      </c>
      <c r="Y48" s="2"/>
      <c r="Z48" s="19">
        <f t="shared" si="3"/>
        <v>8.0175042237471933E-2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--11.93</f>
        <v>11.93</v>
      </c>
      <c r="E49" s="2"/>
      <c r="F49" s="19"/>
      <c r="G49" s="2"/>
      <c r="H49" s="2">
        <f>--294.23</f>
        <v>294.23</v>
      </c>
      <c r="I49" s="2"/>
      <c r="J49" s="19"/>
      <c r="K49" s="2"/>
      <c r="L49" s="2">
        <f t="shared" si="0"/>
        <v>-282.3</v>
      </c>
      <c r="M49" s="2"/>
      <c r="N49" s="19">
        <f t="shared" si="1"/>
        <v>-0.95945348876729086</v>
      </c>
      <c r="O49" s="11"/>
      <c r="P49" s="2">
        <f>--309.26</f>
        <v>309.26</v>
      </c>
      <c r="Q49" s="2"/>
      <c r="R49" s="19"/>
      <c r="S49" s="2"/>
      <c r="T49" s="2">
        <f>--1627.01</f>
        <v>1627.01</v>
      </c>
      <c r="U49" s="2"/>
      <c r="V49" s="19"/>
      <c r="W49" s="2"/>
      <c r="X49" s="2">
        <f t="shared" si="2"/>
        <v>-1317.75</v>
      </c>
      <c r="Y49" s="2"/>
      <c r="Z49" s="19">
        <f t="shared" si="3"/>
        <v>-0.80992126661790642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--214291.61</f>
        <v>214291.61</v>
      </c>
      <c r="E50" s="2"/>
      <c r="F50" s="19"/>
      <c r="G50" s="2"/>
      <c r="H50" s="2">
        <f>--352730.12</f>
        <v>352730.12</v>
      </c>
      <c r="I50" s="2"/>
      <c r="J50" s="19"/>
      <c r="K50" s="2"/>
      <c r="L50" s="2">
        <f t="shared" si="0"/>
        <v>-138438.51</v>
      </c>
      <c r="M50" s="2"/>
      <c r="N50" s="19">
        <f t="shared" si="1"/>
        <v>-0.39247714371542758</v>
      </c>
      <c r="O50" s="11"/>
      <c r="P50" s="2">
        <f>--550220.16</f>
        <v>550220.16</v>
      </c>
      <c r="Q50" s="2"/>
      <c r="R50" s="19"/>
      <c r="S50" s="2"/>
      <c r="T50" s="2">
        <f>--743316.04</f>
        <v>743316.04</v>
      </c>
      <c r="U50" s="2"/>
      <c r="V50" s="19"/>
      <c r="W50" s="2"/>
      <c r="X50" s="2">
        <f t="shared" si="2"/>
        <v>-193095.88</v>
      </c>
      <c r="Y50" s="2"/>
      <c r="Z50" s="19">
        <f t="shared" si="3"/>
        <v>-0.259776285737087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--37117.66</f>
        <v>37117.660000000003</v>
      </c>
      <c r="E51" s="2"/>
      <c r="F51" s="19"/>
      <c r="G51" s="2"/>
      <c r="H51" s="2">
        <f>--53494.81</f>
        <v>53494.81</v>
      </c>
      <c r="I51" s="2"/>
      <c r="J51" s="19"/>
      <c r="K51" s="2"/>
      <c r="L51" s="2">
        <f t="shared" si="0"/>
        <v>-16377.149999999994</v>
      </c>
      <c r="M51" s="2"/>
      <c r="N51" s="19">
        <f t="shared" si="1"/>
        <v>-0.30614465216345277</v>
      </c>
      <c r="O51" s="11"/>
      <c r="P51" s="2">
        <f>--132405.23</f>
        <v>132405.23000000001</v>
      </c>
      <c r="Q51" s="2"/>
      <c r="R51" s="19"/>
      <c r="S51" s="2"/>
      <c r="T51" s="2">
        <f>--247756.04</f>
        <v>247756.04</v>
      </c>
      <c r="U51" s="2"/>
      <c r="V51" s="19"/>
      <c r="W51" s="2"/>
      <c r="X51" s="2">
        <f t="shared" si="2"/>
        <v>-115350.81</v>
      </c>
      <c r="Y51" s="2"/>
      <c r="Z51" s="19">
        <f t="shared" si="3"/>
        <v>-0.46558223161784468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--28414.21</f>
        <v>28414.21</v>
      </c>
      <c r="E52" s="2"/>
      <c r="F52" s="19"/>
      <c r="G52" s="2"/>
      <c r="H52" s="2">
        <f>--27386.23</f>
        <v>27386.23</v>
      </c>
      <c r="I52" s="2"/>
      <c r="J52" s="19"/>
      <c r="K52" s="2"/>
      <c r="L52" s="2">
        <f t="shared" si="0"/>
        <v>1027.9799999999996</v>
      </c>
      <c r="M52" s="2"/>
      <c r="N52" s="19">
        <f t="shared" si="1"/>
        <v>3.7536382335210054E-2</v>
      </c>
      <c r="O52" s="11"/>
      <c r="P52" s="2">
        <f>--66616.8</f>
        <v>66616.800000000003</v>
      </c>
      <c r="Q52" s="2"/>
      <c r="R52" s="19"/>
      <c r="S52" s="2"/>
      <c r="T52" s="2">
        <f>--81341.89</f>
        <v>81341.89</v>
      </c>
      <c r="U52" s="2"/>
      <c r="V52" s="19"/>
      <c r="W52" s="2"/>
      <c r="X52" s="2">
        <f t="shared" si="2"/>
        <v>-14725.089999999997</v>
      </c>
      <c r="Y52" s="2"/>
      <c r="Z52" s="19">
        <f t="shared" si="3"/>
        <v>-0.18102714357878821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--334.99</f>
        <v>334.99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334.99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>
        <f>--509.85</f>
        <v>509.85</v>
      </c>
      <c r="U53" s="2"/>
      <c r="V53" s="19"/>
      <c r="W53" s="2"/>
      <c r="X53" s="2">
        <f t="shared" si="2"/>
        <v>155.12</v>
      </c>
      <c r="Y53" s="2"/>
      <c r="Z53" s="19">
        <f t="shared" si="3"/>
        <v>0.30424634696479358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--169179.13</f>
        <v>169179.13</v>
      </c>
      <c r="E54" s="2"/>
      <c r="F54" s="19"/>
      <c r="G54" s="2"/>
      <c r="H54" s="2">
        <f>--168068.46</f>
        <v>168068.46</v>
      </c>
      <c r="I54" s="2"/>
      <c r="J54" s="19"/>
      <c r="K54" s="2"/>
      <c r="L54" s="2">
        <f t="shared" si="0"/>
        <v>1110.6700000000128</v>
      </c>
      <c r="M54" s="2"/>
      <c r="N54" s="19">
        <f t="shared" si="1"/>
        <v>6.6084380138903684E-3</v>
      </c>
      <c r="O54" s="11"/>
      <c r="P54" s="2">
        <f>--502067.96</f>
        <v>502067.96</v>
      </c>
      <c r="Q54" s="2"/>
      <c r="R54" s="19"/>
      <c r="S54" s="2"/>
      <c r="T54" s="2">
        <f>--509033.58</f>
        <v>509033.58</v>
      </c>
      <c r="U54" s="2"/>
      <c r="V54" s="19"/>
      <c r="W54" s="2"/>
      <c r="X54" s="2">
        <f t="shared" si="2"/>
        <v>-6965.6199999999953</v>
      </c>
      <c r="Y54" s="2"/>
      <c r="Z54" s="19">
        <f t="shared" si="3"/>
        <v>-1.3684008823150715E-2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--4684.53</f>
        <v>4684.53</v>
      </c>
      <c r="E55" s="2"/>
      <c r="F55" s="19"/>
      <c r="G55" s="2"/>
      <c r="H55" s="2">
        <f>--3767.61</f>
        <v>3767.61</v>
      </c>
      <c r="I55" s="2"/>
      <c r="J55" s="19"/>
      <c r="K55" s="2"/>
      <c r="L55" s="2">
        <f t="shared" si="0"/>
        <v>916.91999999999962</v>
      </c>
      <c r="M55" s="2"/>
      <c r="N55" s="19">
        <f t="shared" si="1"/>
        <v>0.24336913852548422</v>
      </c>
      <c r="O55" s="11"/>
      <c r="P55" s="2">
        <f>--12708.5</f>
        <v>12708.5</v>
      </c>
      <c r="Q55" s="2"/>
      <c r="R55" s="19"/>
      <c r="S55" s="2"/>
      <c r="T55" s="2">
        <f>--14922.09</f>
        <v>14922.09</v>
      </c>
      <c r="U55" s="2"/>
      <c r="V55" s="19"/>
      <c r="W55" s="2"/>
      <c r="X55" s="2">
        <f t="shared" si="2"/>
        <v>-2213.59</v>
      </c>
      <c r="Y55" s="2"/>
      <c r="Z55" s="19">
        <f t="shared" si="3"/>
        <v>-0.14834316104513512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 t="shared" ref="D56:D57" si="5">0</f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>
        <f>--38.23</f>
        <v>38.229999999999997</v>
      </c>
      <c r="U56" s="2"/>
      <c r="V56" s="19"/>
      <c r="W56" s="2"/>
      <c r="X56" s="2">
        <f t="shared" si="2"/>
        <v>1108.49</v>
      </c>
      <c r="Y56" s="2"/>
      <c r="Z56" s="19">
        <f t="shared" si="3"/>
        <v>28.995291655767723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 t="shared" si="5"/>
        <v>0</v>
      </c>
      <c r="E57" s="2"/>
      <c r="F57" s="19"/>
      <c r="G57" s="2"/>
      <c r="H57" s="2">
        <f>--87.71</f>
        <v>87.71</v>
      </c>
      <c r="I57" s="2"/>
      <c r="J57" s="19"/>
      <c r="K57" s="2"/>
      <c r="L57" s="2">
        <f t="shared" si="0"/>
        <v>-87.71</v>
      </c>
      <c r="M57" s="2"/>
      <c r="N57" s="19">
        <f t="shared" si="1"/>
        <v>-1</v>
      </c>
      <c r="O57" s="11"/>
      <c r="P57" s="2">
        <f>--41.91</f>
        <v>41.91</v>
      </c>
      <c r="Q57" s="2"/>
      <c r="R57" s="19"/>
      <c r="S57" s="2"/>
      <c r="T57" s="2">
        <f>--220.35</f>
        <v>220.35</v>
      </c>
      <c r="U57" s="2"/>
      <c r="V57" s="19"/>
      <c r="W57" s="2"/>
      <c r="X57" s="2">
        <f t="shared" si="2"/>
        <v>-178.44</v>
      </c>
      <c r="Y57" s="2"/>
      <c r="Z57" s="19">
        <f t="shared" si="3"/>
        <v>-0.80980258679373729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--98.5</f>
        <v>98.5</v>
      </c>
      <c r="E58" s="2"/>
      <c r="F58" s="19"/>
      <c r="G58" s="2"/>
      <c r="H58" s="2">
        <f>--99.83</f>
        <v>99.83</v>
      </c>
      <c r="I58" s="2"/>
      <c r="J58" s="19"/>
      <c r="K58" s="2"/>
      <c r="L58" s="2">
        <f t="shared" si="0"/>
        <v>-1.3299999999999983</v>
      </c>
      <c r="M58" s="2"/>
      <c r="N58" s="19">
        <f t="shared" si="1"/>
        <v>-1.3322648502454156E-2</v>
      </c>
      <c r="O58" s="11"/>
      <c r="P58" s="2">
        <f>--222.68</f>
        <v>222.68</v>
      </c>
      <c r="Q58" s="2"/>
      <c r="R58" s="19"/>
      <c r="S58" s="2"/>
      <c r="T58" s="2">
        <f>--271.87</f>
        <v>271.87</v>
      </c>
      <c r="U58" s="2"/>
      <c r="V58" s="19"/>
      <c r="W58" s="2"/>
      <c r="X58" s="2">
        <f t="shared" si="2"/>
        <v>-49.19</v>
      </c>
      <c r="Y58" s="2"/>
      <c r="Z58" s="19">
        <f t="shared" si="3"/>
        <v>-0.18093206311840215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--1047.53</f>
        <v>1047.53</v>
      </c>
      <c r="E59" s="2"/>
      <c r="F59" s="19"/>
      <c r="G59" s="2"/>
      <c r="H59" s="2">
        <f>--1102.77</f>
        <v>1102.77</v>
      </c>
      <c r="I59" s="2"/>
      <c r="J59" s="19"/>
      <c r="K59" s="2"/>
      <c r="L59" s="2">
        <f t="shared" si="0"/>
        <v>-55.240000000000009</v>
      </c>
      <c r="M59" s="2"/>
      <c r="N59" s="19">
        <f t="shared" si="1"/>
        <v>-5.0092040951422334E-2</v>
      </c>
      <c r="O59" s="11"/>
      <c r="P59" s="2">
        <f>--2556.64</f>
        <v>2556.64</v>
      </c>
      <c r="Q59" s="2"/>
      <c r="R59" s="19"/>
      <c r="S59" s="2"/>
      <c r="T59" s="2">
        <f>--3108.2</f>
        <v>3108.2</v>
      </c>
      <c r="U59" s="2"/>
      <c r="V59" s="19"/>
      <c r="W59" s="2"/>
      <c r="X59" s="2">
        <f t="shared" si="2"/>
        <v>-551.55999999999995</v>
      </c>
      <c r="Y59" s="2"/>
      <c r="Z59" s="19">
        <f t="shared" si="3"/>
        <v>-0.17745318834051862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--1531.2</f>
        <v>1531.2</v>
      </c>
      <c r="E60" s="2"/>
      <c r="F60" s="19"/>
      <c r="G60" s="2"/>
      <c r="H60" s="2">
        <f>--1570.59</f>
        <v>1570.59</v>
      </c>
      <c r="I60" s="2"/>
      <c r="J60" s="19"/>
      <c r="K60" s="2"/>
      <c r="L60" s="2">
        <f t="shared" si="0"/>
        <v>-39.389999999999873</v>
      </c>
      <c r="M60" s="2"/>
      <c r="N60" s="19">
        <f t="shared" si="1"/>
        <v>-2.507974710140767E-2</v>
      </c>
      <c r="O60" s="11"/>
      <c r="P60" s="2">
        <f>--4134.6</f>
        <v>4134.6000000000004</v>
      </c>
      <c r="Q60" s="2"/>
      <c r="R60" s="19"/>
      <c r="S60" s="2"/>
      <c r="T60" s="2">
        <f>--11017.12</f>
        <v>11017.12</v>
      </c>
      <c r="U60" s="2"/>
      <c r="V60" s="19"/>
      <c r="W60" s="2"/>
      <c r="X60" s="2">
        <f t="shared" si="2"/>
        <v>-6882.52</v>
      </c>
      <c r="Y60" s="2"/>
      <c r="Z60" s="19">
        <f t="shared" si="3"/>
        <v>-0.62471135832232016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--182.3</f>
        <v>182.3</v>
      </c>
      <c r="E61" s="2"/>
      <c r="F61" s="19"/>
      <c r="G61" s="2"/>
      <c r="H61" s="2">
        <f>--119.98</f>
        <v>119.98</v>
      </c>
      <c r="I61" s="2"/>
      <c r="J61" s="19"/>
      <c r="K61" s="2"/>
      <c r="L61" s="2">
        <f t="shared" si="0"/>
        <v>62.320000000000007</v>
      </c>
      <c r="M61" s="2"/>
      <c r="N61" s="19">
        <f t="shared" si="1"/>
        <v>0.51941990331721954</v>
      </c>
      <c r="O61" s="11"/>
      <c r="P61" s="2">
        <f>--531.02</f>
        <v>531.02</v>
      </c>
      <c r="Q61" s="2"/>
      <c r="R61" s="19"/>
      <c r="S61" s="2"/>
      <c r="T61" s="2">
        <f>--776.97</f>
        <v>776.97</v>
      </c>
      <c r="U61" s="2"/>
      <c r="V61" s="19"/>
      <c r="W61" s="2"/>
      <c r="X61" s="2">
        <f t="shared" si="2"/>
        <v>-245.95000000000005</v>
      </c>
      <c r="Y61" s="2"/>
      <c r="Z61" s="19">
        <f t="shared" si="3"/>
        <v>-0.31655018855296863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--3944.61</f>
        <v>3944.61</v>
      </c>
      <c r="E62" s="2"/>
      <c r="F62" s="19"/>
      <c r="G62" s="2"/>
      <c r="H62" s="2">
        <f>--4307.81</f>
        <v>4307.8100000000004</v>
      </c>
      <c r="I62" s="2"/>
      <c r="J62" s="19"/>
      <c r="K62" s="2"/>
      <c r="L62" s="2">
        <f t="shared" si="0"/>
        <v>-363.20000000000027</v>
      </c>
      <c r="M62" s="2"/>
      <c r="N62" s="19">
        <f t="shared" si="1"/>
        <v>-8.4311982190486634E-2</v>
      </c>
      <c r="O62" s="11"/>
      <c r="P62" s="2">
        <f>--43030.34</f>
        <v>43030.34</v>
      </c>
      <c r="Q62" s="2"/>
      <c r="R62" s="19"/>
      <c r="S62" s="2"/>
      <c r="T62" s="2">
        <f>--43367.53</f>
        <v>43367.53</v>
      </c>
      <c r="U62" s="2"/>
      <c r="V62" s="19"/>
      <c r="W62" s="2"/>
      <c r="X62" s="2">
        <f t="shared" si="2"/>
        <v>-337.19000000000233</v>
      </c>
      <c r="Y62" s="2"/>
      <c r="Z62" s="19">
        <f t="shared" si="3"/>
        <v>-7.7751718855097888E-3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--1102.23</f>
        <v>1102.23</v>
      </c>
      <c r="E63" s="2"/>
      <c r="F63" s="19"/>
      <c r="G63" s="2"/>
      <c r="H63" s="2">
        <f>--1026.95</f>
        <v>1026.95</v>
      </c>
      <c r="I63" s="2"/>
      <c r="J63" s="19"/>
      <c r="K63" s="2"/>
      <c r="L63" s="2">
        <f t="shared" si="0"/>
        <v>75.279999999999973</v>
      </c>
      <c r="M63" s="2"/>
      <c r="N63" s="19">
        <f t="shared" si="1"/>
        <v>7.3304445201811161E-2</v>
      </c>
      <c r="O63" s="11"/>
      <c r="P63" s="2">
        <f>--12547.43</f>
        <v>12547.43</v>
      </c>
      <c r="Q63" s="2"/>
      <c r="R63" s="19"/>
      <c r="S63" s="2"/>
      <c r="T63" s="2">
        <f>--11024.18</f>
        <v>11024.18</v>
      </c>
      <c r="U63" s="2"/>
      <c r="V63" s="19"/>
      <c r="W63" s="2"/>
      <c r="X63" s="2">
        <f t="shared" si="2"/>
        <v>1523.25</v>
      </c>
      <c r="Y63" s="2"/>
      <c r="Z63" s="19">
        <f t="shared" si="3"/>
        <v>0.13817354215914471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--1436.4</f>
        <v>1436.4</v>
      </c>
      <c r="E64" s="2"/>
      <c r="F64" s="19"/>
      <c r="G64" s="2"/>
      <c r="H64" s="2">
        <f>--1451.09</f>
        <v>1451.09</v>
      </c>
      <c r="I64" s="2"/>
      <c r="J64" s="19"/>
      <c r="K64" s="2"/>
      <c r="L64" s="2">
        <f t="shared" si="0"/>
        <v>-14.689999999999827</v>
      </c>
      <c r="M64" s="2"/>
      <c r="N64" s="19">
        <f t="shared" si="1"/>
        <v>-1.0123424460233224E-2</v>
      </c>
      <c r="O64" s="11"/>
      <c r="P64" s="2">
        <f>--13558.18</f>
        <v>13558.18</v>
      </c>
      <c r="Q64" s="2"/>
      <c r="R64" s="19"/>
      <c r="S64" s="2"/>
      <c r="T64" s="2">
        <f>--11917.8</f>
        <v>11917.8</v>
      </c>
      <c r="U64" s="2"/>
      <c r="V64" s="19"/>
      <c r="W64" s="2"/>
      <c r="X64" s="2">
        <f t="shared" si="2"/>
        <v>1640.380000000001</v>
      </c>
      <c r="Y64" s="2"/>
      <c r="Z64" s="19">
        <f t="shared" si="3"/>
        <v>0.13764117538471876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0</f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0</f>
        <v>0</v>
      </c>
      <c r="Q65" s="2"/>
      <c r="R65" s="19"/>
      <c r="S65" s="2"/>
      <c r="T65" s="2">
        <f>--109.47</f>
        <v>109.47</v>
      </c>
      <c r="U65" s="2"/>
      <c r="V65" s="19"/>
      <c r="W65" s="2"/>
      <c r="X65" s="2">
        <f t="shared" si="2"/>
        <v>-109.47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>--21.54</f>
        <v>21.54</v>
      </c>
      <c r="E66" s="2"/>
      <c r="F66" s="19"/>
      <c r="G66" s="2"/>
      <c r="H66" s="2">
        <f>--32.31</f>
        <v>32.31</v>
      </c>
      <c r="I66" s="2"/>
      <c r="J66" s="19"/>
      <c r="K66" s="2"/>
      <c r="L66" s="2">
        <f t="shared" si="0"/>
        <v>-10.770000000000003</v>
      </c>
      <c r="M66" s="2"/>
      <c r="N66" s="19">
        <f t="shared" si="1"/>
        <v>-0.33333333333333343</v>
      </c>
      <c r="O66" s="11"/>
      <c r="P66" s="2">
        <f>--139.86</f>
        <v>139.86000000000001</v>
      </c>
      <c r="Q66" s="2"/>
      <c r="R66" s="19"/>
      <c r="S66" s="2"/>
      <c r="T66" s="2">
        <f>--204.91</f>
        <v>204.91</v>
      </c>
      <c r="U66" s="2"/>
      <c r="V66" s="19"/>
      <c r="W66" s="2"/>
      <c r="X66" s="2">
        <f t="shared" si="2"/>
        <v>-65.049999999999983</v>
      </c>
      <c r="Y66" s="2"/>
      <c r="Z66" s="19">
        <f t="shared" si="3"/>
        <v>-0.31745644429261621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--635.89</f>
        <v>635.89</v>
      </c>
      <c r="E67" s="2"/>
      <c r="F67" s="19"/>
      <c r="G67" s="2"/>
      <c r="H67" s="2">
        <f>--538.9</f>
        <v>538.9</v>
      </c>
      <c r="I67" s="2"/>
      <c r="J67" s="19"/>
      <c r="K67" s="2"/>
      <c r="L67" s="2">
        <f t="shared" si="0"/>
        <v>96.990000000000009</v>
      </c>
      <c r="M67" s="2"/>
      <c r="N67" s="19">
        <f t="shared" si="1"/>
        <v>0.17997773241788831</v>
      </c>
      <c r="O67" s="11"/>
      <c r="P67" s="2">
        <f>--6548.96</f>
        <v>6548.96</v>
      </c>
      <c r="Q67" s="2"/>
      <c r="R67" s="19"/>
      <c r="S67" s="2"/>
      <c r="T67" s="2">
        <f>--6074.01</f>
        <v>6074.01</v>
      </c>
      <c r="U67" s="2"/>
      <c r="V67" s="19"/>
      <c r="W67" s="2"/>
      <c r="X67" s="2">
        <f t="shared" si="2"/>
        <v>474.94999999999982</v>
      </c>
      <c r="Y67" s="2"/>
      <c r="Z67" s="19">
        <f t="shared" si="3"/>
        <v>7.8193812654243217E-2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--3758.83</f>
        <v>3758.83</v>
      </c>
      <c r="E68" s="2"/>
      <c r="F68" s="19"/>
      <c r="G68" s="2"/>
      <c r="H68" s="2">
        <f>--3145.88</f>
        <v>3145.88</v>
      </c>
      <c r="I68" s="2"/>
      <c r="J68" s="19"/>
      <c r="K68" s="2"/>
      <c r="L68" s="2">
        <f t="shared" si="0"/>
        <v>612.94999999999982</v>
      </c>
      <c r="M68" s="2"/>
      <c r="N68" s="19">
        <f t="shared" si="1"/>
        <v>0.19484214273907455</v>
      </c>
      <c r="O68" s="11"/>
      <c r="P68" s="2">
        <f>--42582.67</f>
        <v>42582.67</v>
      </c>
      <c r="Q68" s="2"/>
      <c r="R68" s="19"/>
      <c r="S68" s="2"/>
      <c r="T68" s="2">
        <f>--23533.95</f>
        <v>23533.95</v>
      </c>
      <c r="U68" s="2"/>
      <c r="V68" s="19"/>
      <c r="W68" s="2"/>
      <c r="X68" s="2">
        <f t="shared" si="2"/>
        <v>19048.719999999998</v>
      </c>
      <c r="Y68" s="2"/>
      <c r="Z68" s="19">
        <f t="shared" si="3"/>
        <v>0.80941448418136341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--1719.12</f>
        <v>1719.12</v>
      </c>
      <c r="E69" s="2"/>
      <c r="F69" s="19"/>
      <c r="G69" s="2"/>
      <c r="H69" s="2">
        <f>--972.25</f>
        <v>972.25</v>
      </c>
      <c r="I69" s="2"/>
      <c r="J69" s="19"/>
      <c r="K69" s="2"/>
      <c r="L69" s="2">
        <f t="shared" si="0"/>
        <v>746.86999999999989</v>
      </c>
      <c r="M69" s="2"/>
      <c r="N69" s="19">
        <f t="shared" si="1"/>
        <v>0.76818719465158125</v>
      </c>
      <c r="O69" s="11"/>
      <c r="P69" s="2">
        <f>--4249</f>
        <v>4249</v>
      </c>
      <c r="Q69" s="2"/>
      <c r="R69" s="19"/>
      <c r="S69" s="2"/>
      <c r="T69" s="2">
        <f>--4344.58</f>
        <v>4344.58</v>
      </c>
      <c r="U69" s="2"/>
      <c r="V69" s="19"/>
      <c r="W69" s="2"/>
      <c r="X69" s="2">
        <f t="shared" si="2"/>
        <v>-95.579999999999927</v>
      </c>
      <c r="Y69" s="2"/>
      <c r="Z69" s="19">
        <f t="shared" si="3"/>
        <v>-2.1999825069396794E-2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--1947.91</f>
        <v>1947.91</v>
      </c>
      <c r="E70" s="2"/>
      <c r="F70" s="19"/>
      <c r="G70" s="2"/>
      <c r="H70" s="2">
        <f>--969.05</f>
        <v>969.05</v>
      </c>
      <c r="I70" s="2"/>
      <c r="J70" s="19"/>
      <c r="K70" s="2"/>
      <c r="L70" s="2">
        <f t="shared" si="0"/>
        <v>978.86000000000013</v>
      </c>
      <c r="M70" s="2"/>
      <c r="N70" s="19">
        <f t="shared" si="1"/>
        <v>1.0101233166503278</v>
      </c>
      <c r="O70" s="11"/>
      <c r="P70" s="2">
        <f>--12435.29</f>
        <v>12435.29</v>
      </c>
      <c r="Q70" s="2"/>
      <c r="R70" s="19"/>
      <c r="S70" s="2"/>
      <c r="T70" s="2">
        <f>--12814.8</f>
        <v>12814.8</v>
      </c>
      <c r="U70" s="2"/>
      <c r="V70" s="19"/>
      <c r="W70" s="2"/>
      <c r="X70" s="2">
        <f t="shared" si="2"/>
        <v>-379.5099999999984</v>
      </c>
      <c r="Y70" s="2"/>
      <c r="Z70" s="19">
        <f t="shared" si="3"/>
        <v>-2.9614976433498644E-2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--374.48</f>
        <v>374.48</v>
      </c>
      <c r="E71" s="2"/>
      <c r="F71" s="19"/>
      <c r="G71" s="2"/>
      <c r="H71" s="2">
        <f>--39.85</f>
        <v>39.85</v>
      </c>
      <c r="I71" s="2"/>
      <c r="J71" s="19"/>
      <c r="K71" s="2"/>
      <c r="L71" s="2">
        <f t="shared" si="0"/>
        <v>334.63</v>
      </c>
      <c r="M71" s="2"/>
      <c r="N71" s="19">
        <f t="shared" si="1"/>
        <v>8.3972396486825591</v>
      </c>
      <c r="O71" s="11"/>
      <c r="P71" s="2">
        <f>--967.33</f>
        <v>967.33</v>
      </c>
      <c r="Q71" s="2"/>
      <c r="R71" s="19"/>
      <c r="S71" s="2"/>
      <c r="T71" s="2">
        <f>--400.39</f>
        <v>400.39</v>
      </c>
      <c r="U71" s="2"/>
      <c r="V71" s="19"/>
      <c r="W71" s="2"/>
      <c r="X71" s="2">
        <f t="shared" si="2"/>
        <v>566.94000000000005</v>
      </c>
      <c r="Y71" s="2"/>
      <c r="Z71" s="19">
        <f t="shared" si="3"/>
        <v>1.4159694298059393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0</f>
        <v>0</v>
      </c>
      <c r="E72" s="2"/>
      <c r="F72" s="19"/>
      <c r="G72" s="2"/>
      <c r="H72" s="2">
        <f>--79.8</f>
        <v>79.8</v>
      </c>
      <c r="I72" s="2"/>
      <c r="J72" s="19"/>
      <c r="K72" s="2"/>
      <c r="L72" s="2">
        <f t="shared" si="0"/>
        <v>-79.8</v>
      </c>
      <c r="M72" s="2"/>
      <c r="N72" s="19">
        <f t="shared" si="1"/>
        <v>-1</v>
      </c>
      <c r="O72" s="11"/>
      <c r="P72" s="2">
        <f>--140</f>
        <v>140</v>
      </c>
      <c r="Q72" s="2"/>
      <c r="R72" s="19"/>
      <c r="S72" s="2"/>
      <c r="T72" s="2">
        <f>--1827.2</f>
        <v>1827.2</v>
      </c>
      <c r="U72" s="2"/>
      <c r="V72" s="19"/>
      <c r="W72" s="2"/>
      <c r="X72" s="2">
        <f t="shared" si="2"/>
        <v>-1687.2</v>
      </c>
      <c r="Y72" s="2"/>
      <c r="Z72" s="19">
        <f t="shared" si="3"/>
        <v>-0.92338003502626975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--17086.55</f>
        <v>17086.55</v>
      </c>
      <c r="E73" s="2"/>
      <c r="F73" s="19"/>
      <c r="G73" s="2"/>
      <c r="H73" s="2">
        <f>--18820.04</f>
        <v>18820.04</v>
      </c>
      <c r="I73" s="2"/>
      <c r="J73" s="19"/>
      <c r="K73" s="2"/>
      <c r="L73" s="2">
        <f t="shared" si="0"/>
        <v>-1733.4900000000016</v>
      </c>
      <c r="M73" s="2"/>
      <c r="N73" s="19">
        <f t="shared" si="1"/>
        <v>-9.2108730905991781E-2</v>
      </c>
      <c r="O73" s="11"/>
      <c r="P73" s="2">
        <f>--163554.5</f>
        <v>163554.5</v>
      </c>
      <c r="Q73" s="2"/>
      <c r="R73" s="19"/>
      <c r="S73" s="2"/>
      <c r="T73" s="2">
        <f>--168304.04</f>
        <v>168304.04</v>
      </c>
      <c r="U73" s="2"/>
      <c r="V73" s="19"/>
      <c r="W73" s="2"/>
      <c r="X73" s="2">
        <f t="shared" si="2"/>
        <v>-4749.5400000000081</v>
      </c>
      <c r="Y73" s="2"/>
      <c r="Z73" s="19">
        <f t="shared" si="3"/>
        <v>-2.8219999947713719E-2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--11.5</f>
        <v>11.5</v>
      </c>
      <c r="E74" s="2"/>
      <c r="F74" s="19"/>
      <c r="G74" s="2"/>
      <c r="H74" s="2">
        <f>--31</f>
        <v>31</v>
      </c>
      <c r="I74" s="2"/>
      <c r="J74" s="19"/>
      <c r="K74" s="2"/>
      <c r="L74" s="2">
        <f t="shared" si="0"/>
        <v>-19.5</v>
      </c>
      <c r="M74" s="2"/>
      <c r="N74" s="19">
        <f t="shared" si="1"/>
        <v>-0.62903225806451613</v>
      </c>
      <c r="O74" s="11"/>
      <c r="P74" s="2">
        <f>--318.9</f>
        <v>318.89999999999998</v>
      </c>
      <c r="Q74" s="2"/>
      <c r="R74" s="19"/>
      <c r="S74" s="2"/>
      <c r="T74" s="2">
        <f>--439.5</f>
        <v>439.5</v>
      </c>
      <c r="U74" s="2"/>
      <c r="V74" s="19"/>
      <c r="W74" s="2"/>
      <c r="X74" s="2">
        <f t="shared" si="2"/>
        <v>-120.60000000000002</v>
      </c>
      <c r="Y74" s="2"/>
      <c r="Z74" s="19">
        <f t="shared" si="3"/>
        <v>-0.27440273037542667</v>
      </c>
    </row>
    <row r="75" spans="1:26" s="24" customFormat="1" hidden="1" outlineLevel="1" x14ac:dyDescent="0.25">
      <c r="A75" s="44"/>
      <c r="B75" s="11" t="str">
        <f>CONCATENATE("          ", "4181", " - ", "NON-TAXABLE SALES-ELECTRONICS")</f>
        <v xml:space="preserve">          4181 - NON-TAXABLE SALES-ELECTRONICS</v>
      </c>
      <c r="C75" s="11"/>
      <c r="D75" s="2">
        <f>--343.91</f>
        <v>343.91</v>
      </c>
      <c r="E75" s="2"/>
      <c r="F75" s="19"/>
      <c r="G75" s="2"/>
      <c r="H75" s="2">
        <f>--2774.02</f>
        <v>2774.02</v>
      </c>
      <c r="I75" s="2"/>
      <c r="J75" s="19"/>
      <c r="K75" s="2"/>
      <c r="L75" s="2">
        <f t="shared" si="0"/>
        <v>-2430.11</v>
      </c>
      <c r="M75" s="2"/>
      <c r="N75" s="19">
        <f t="shared" si="1"/>
        <v>-0.87602468619548535</v>
      </c>
      <c r="O75" s="11"/>
      <c r="P75" s="2">
        <f>--1806.42</f>
        <v>1806.42</v>
      </c>
      <c r="Q75" s="2"/>
      <c r="R75" s="19"/>
      <c r="S75" s="2"/>
      <c r="T75" s="2">
        <f>--9040.48</f>
        <v>9040.48</v>
      </c>
      <c r="U75" s="2"/>
      <c r="V75" s="19"/>
      <c r="W75" s="2"/>
      <c r="X75" s="2">
        <f t="shared" si="2"/>
        <v>-7234.0599999999995</v>
      </c>
      <c r="Y75" s="2"/>
      <c r="Z75" s="19">
        <f t="shared" si="3"/>
        <v>-0.80018538838645736</v>
      </c>
    </row>
    <row r="76" spans="1:26" s="24" customFormat="1" hidden="1" outlineLevel="1" x14ac:dyDescent="0.25">
      <c r="A76" s="44"/>
      <c r="B76" s="11" t="str">
        <f>CONCATENATE("          ", "4182", " - ", "NON-TAXABLE SALES-COMPUTER HAR")</f>
        <v xml:space="preserve">          4182 - NON-TAXABLE SALES-COMPUTER HAR</v>
      </c>
      <c r="C76" s="11"/>
      <c r="D76" s="2">
        <f>--16176.97</f>
        <v>16176.97</v>
      </c>
      <c r="E76" s="2"/>
      <c r="F76" s="19"/>
      <c r="G76" s="2"/>
      <c r="H76" s="2">
        <f>--12767</f>
        <v>12767</v>
      </c>
      <c r="I76" s="2"/>
      <c r="J76" s="19"/>
      <c r="K76" s="2"/>
      <c r="L76" s="2">
        <f t="shared" si="0"/>
        <v>3409.9699999999993</v>
      </c>
      <c r="M76" s="2"/>
      <c r="N76" s="19">
        <f t="shared" si="1"/>
        <v>0.26709250411216412</v>
      </c>
      <c r="O76" s="11"/>
      <c r="P76" s="2">
        <f>--86971.97</f>
        <v>86971.97</v>
      </c>
      <c r="Q76" s="2"/>
      <c r="R76" s="19"/>
      <c r="S76" s="2"/>
      <c r="T76" s="2">
        <f>--179388.85</f>
        <v>179388.85</v>
      </c>
      <c r="U76" s="2"/>
      <c r="V76" s="19"/>
      <c r="W76" s="2"/>
      <c r="X76" s="2">
        <f t="shared" si="2"/>
        <v>-92416.88</v>
      </c>
      <c r="Y76" s="2"/>
      <c r="Z76" s="19">
        <f t="shared" si="3"/>
        <v>-0.51517627767835072</v>
      </c>
    </row>
    <row r="77" spans="1:26" s="24" customFormat="1" hidden="1" outlineLevel="1" x14ac:dyDescent="0.25">
      <c r="A77" s="44"/>
      <c r="B77" s="11" t="str">
        <f>CONCATENATE("          ", "4183", " - ", "NON-TAXABLE SALES-COMPUTER EQU")</f>
        <v xml:space="preserve">          4183 - NON-TAXABLE SALES-COMPUTER EQU</v>
      </c>
      <c r="C77" s="11"/>
      <c r="D77" s="2">
        <f>--777.81</f>
        <v>777.81</v>
      </c>
      <c r="E77" s="2"/>
      <c r="F77" s="19"/>
      <c r="G77" s="2"/>
      <c r="H77" s="2">
        <f>--843.49</f>
        <v>843.49</v>
      </c>
      <c r="I77" s="2"/>
      <c r="J77" s="19"/>
      <c r="K77" s="2"/>
      <c r="L77" s="2">
        <f t="shared" si="0"/>
        <v>-65.680000000000064</v>
      </c>
      <c r="M77" s="2"/>
      <c r="N77" s="19">
        <f t="shared" si="1"/>
        <v>-7.7866957521725289E-2</v>
      </c>
      <c r="O77" s="11"/>
      <c r="P77" s="2">
        <f>--4349.44</f>
        <v>4349.4399999999996</v>
      </c>
      <c r="Q77" s="2"/>
      <c r="R77" s="19"/>
      <c r="S77" s="2"/>
      <c r="T77" s="2">
        <f>--6273.97</f>
        <v>6273.97</v>
      </c>
      <c r="U77" s="2"/>
      <c r="V77" s="19"/>
      <c r="W77" s="2"/>
      <c r="X77" s="2">
        <f t="shared" si="2"/>
        <v>-1924.5300000000007</v>
      </c>
      <c r="Y77" s="2"/>
      <c r="Z77" s="19">
        <f t="shared" si="3"/>
        <v>-0.30674835869473405</v>
      </c>
    </row>
    <row r="78" spans="1:26" s="24" customFormat="1" hidden="1" outlineLevel="1" x14ac:dyDescent="0.25">
      <c r="A78" s="44"/>
      <c r="B78" s="11" t="str">
        <f>CONCATENATE("          ", "4184", " - ", "NON-TAXABLE SALES-SOFTWARE LIC")</f>
        <v xml:space="preserve">          4184 - NON-TAXABLE SALES-SOFTWARE LIC</v>
      </c>
      <c r="C78" s="11"/>
      <c r="D78" s="2">
        <f>0</f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--2728</f>
        <v>2728</v>
      </c>
      <c r="Q78" s="2"/>
      <c r="R78" s="19"/>
      <c r="S78" s="2"/>
      <c r="T78" s="2">
        <f>--486</f>
        <v>486</v>
      </c>
      <c r="U78" s="2"/>
      <c r="V78" s="19"/>
      <c r="W78" s="2"/>
      <c r="X78" s="2">
        <f t="shared" si="2"/>
        <v>2242</v>
      </c>
      <c r="Y78" s="2"/>
      <c r="Z78" s="19">
        <f t="shared" si="3"/>
        <v>4.6131687242798352</v>
      </c>
    </row>
    <row r="79" spans="1:26" s="24" customFormat="1" hidden="1" outlineLevel="1" x14ac:dyDescent="0.25">
      <c r="A79" s="44"/>
      <c r="B79" s="11" t="str">
        <f>CONCATENATE("          ", "4185", " - ", "NON-TAXABLE SALES-SOFTWARE")</f>
        <v xml:space="preserve">          4185 - NON-TAXABLE SALES-SOFTWARE</v>
      </c>
      <c r="C79" s="11"/>
      <c r="D79" s="2">
        <f>--1925.98</f>
        <v>1925.98</v>
      </c>
      <c r="E79" s="2"/>
      <c r="F79" s="19"/>
      <c r="G79" s="2"/>
      <c r="H79" s="2">
        <f>--149.99</f>
        <v>149.99</v>
      </c>
      <c r="I79" s="2"/>
      <c r="J79" s="19"/>
      <c r="K79" s="2"/>
      <c r="L79" s="2">
        <f t="shared" si="0"/>
        <v>1775.99</v>
      </c>
      <c r="M79" s="2"/>
      <c r="N79" s="19">
        <f t="shared" si="1"/>
        <v>11.840722714847656</v>
      </c>
      <c r="O79" s="11"/>
      <c r="P79" s="2">
        <f>--11327.82</f>
        <v>11327.82</v>
      </c>
      <c r="Q79" s="2"/>
      <c r="R79" s="19"/>
      <c r="S79" s="2"/>
      <c r="T79" s="2">
        <f>--3074.9</f>
        <v>3074.9</v>
      </c>
      <c r="U79" s="2"/>
      <c r="V79" s="19"/>
      <c r="W79" s="2"/>
      <c r="X79" s="2">
        <f t="shared" si="2"/>
        <v>8252.92</v>
      </c>
      <c r="Y79" s="2"/>
      <c r="Z79" s="19">
        <f t="shared" si="3"/>
        <v>2.6839637061367849</v>
      </c>
    </row>
    <row r="80" spans="1:26" s="24" customFormat="1" hidden="1" outlineLevel="1" x14ac:dyDescent="0.25">
      <c r="A80" s="44"/>
      <c r="B80" s="11" t="str">
        <f>CONCATENATE("          ", "4186", " - ", "NON-TAXABLE SALES-COMPUTER SUP")</f>
        <v xml:space="preserve">          4186 - NON-TAXABLE SALES-COMPUTER SUP</v>
      </c>
      <c r="C80" s="11"/>
      <c r="D80" s="2">
        <f>--326.92</f>
        <v>326.92</v>
      </c>
      <c r="E80" s="2"/>
      <c r="F80" s="19"/>
      <c r="G80" s="2"/>
      <c r="H80" s="2">
        <f>--1007.32</f>
        <v>1007.32</v>
      </c>
      <c r="I80" s="2"/>
      <c r="J80" s="19"/>
      <c r="K80" s="2"/>
      <c r="L80" s="2">
        <f t="shared" si="0"/>
        <v>-680.40000000000009</v>
      </c>
      <c r="M80" s="2"/>
      <c r="N80" s="19">
        <f t="shared" si="1"/>
        <v>-0.67545566453559946</v>
      </c>
      <c r="O80" s="11"/>
      <c r="P80" s="2">
        <f>--1949.31</f>
        <v>1949.31</v>
      </c>
      <c r="Q80" s="2"/>
      <c r="R80" s="19"/>
      <c r="S80" s="2"/>
      <c r="T80" s="2">
        <f>--3884.37</f>
        <v>3884.37</v>
      </c>
      <c r="U80" s="2"/>
      <c r="V80" s="19"/>
      <c r="W80" s="2"/>
      <c r="X80" s="2">
        <f t="shared" si="2"/>
        <v>-1935.06</v>
      </c>
      <c r="Y80" s="2"/>
      <c r="Z80" s="19">
        <f t="shared" si="3"/>
        <v>-0.49816572571613932</v>
      </c>
    </row>
    <row r="81" spans="1:26" s="24" customFormat="1" hidden="1" outlineLevel="1" x14ac:dyDescent="0.25">
      <c r="A81" s="44"/>
      <c r="B81" s="11" t="str">
        <f>CONCATENATE("          ", "4188", " - ", "NON-TAXABLE SALES-MUSIC")</f>
        <v xml:space="preserve">          4188 - NON-TAXABLE SALES-MUSIC</v>
      </c>
      <c r="C81" s="11"/>
      <c r="D81" s="2">
        <f>0</f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--219.96</f>
        <v>219.96</v>
      </c>
      <c r="Q81" s="2"/>
      <c r="R81" s="19"/>
      <c r="S81" s="2"/>
      <c r="T81" s="2">
        <f>--199.98</f>
        <v>199.98</v>
      </c>
      <c r="U81" s="2"/>
      <c r="V81" s="19"/>
      <c r="W81" s="2"/>
      <c r="X81" s="2">
        <f t="shared" si="2"/>
        <v>19.980000000000018</v>
      </c>
      <c r="Y81" s="2"/>
      <c r="Z81" s="19">
        <f t="shared" si="3"/>
        <v>9.9909990999100001E-2</v>
      </c>
    </row>
    <row r="82" spans="1:26" s="24" customFormat="1" hidden="1" outlineLevel="1" x14ac:dyDescent="0.25">
      <c r="A82" s="44"/>
      <c r="B82" s="11" t="str">
        <f>CONCATENATE("          ", "4201", " - ", "SALES RETURN TAXABLE-NEW TEXT")</f>
        <v xml:space="preserve">          4201 - SALES RETURN TAXABLE-NEW TEXT</v>
      </c>
      <c r="C82" s="11"/>
      <c r="D82" s="2">
        <f>-37895.48</f>
        <v>-37895.480000000003</v>
      </c>
      <c r="E82" s="2"/>
      <c r="F82" s="19"/>
      <c r="G82" s="2"/>
      <c r="H82" s="2">
        <f>-52388.4</f>
        <v>-52388.4</v>
      </c>
      <c r="I82" s="2"/>
      <c r="J82" s="19"/>
      <c r="K82" s="2"/>
      <c r="L82" s="2">
        <f t="shared" si="0"/>
        <v>14492.919999999998</v>
      </c>
      <c r="M82" s="2"/>
      <c r="N82" s="19">
        <f t="shared" si="1"/>
        <v>-0.27664368447977028</v>
      </c>
      <c r="O82" s="11"/>
      <c r="P82" s="2">
        <f>-116625.85</f>
        <v>-116625.85</v>
      </c>
      <c r="Q82" s="2"/>
      <c r="R82" s="19"/>
      <c r="S82" s="2"/>
      <c r="T82" s="2">
        <f>-166409.27</f>
        <v>-166409.26999999999</v>
      </c>
      <c r="U82" s="2"/>
      <c r="V82" s="19"/>
      <c r="W82" s="2"/>
      <c r="X82" s="2">
        <f t="shared" si="2"/>
        <v>49783.419999999984</v>
      </c>
      <c r="Y82" s="2"/>
      <c r="Z82" s="19">
        <f t="shared" si="3"/>
        <v>-0.29916254064452052</v>
      </c>
    </row>
    <row r="83" spans="1:26" s="24" customFormat="1" hidden="1" outlineLevel="1" x14ac:dyDescent="0.25">
      <c r="A83" s="44"/>
      <c r="B83" s="11" t="str">
        <f>CONCATENATE("          ", "4202", " - ", "SALES RETURN TAXABLE-USED TEXT")</f>
        <v xml:space="preserve">          4202 - SALES RETURN TAXABLE-USED TEXT</v>
      </c>
      <c r="C83" s="11"/>
      <c r="D83" s="2">
        <f>-16170.8</f>
        <v>-16170.8</v>
      </c>
      <c r="E83" s="2"/>
      <c r="F83" s="19"/>
      <c r="G83" s="2"/>
      <c r="H83" s="2">
        <f>-12515.4</f>
        <v>-12515.4</v>
      </c>
      <c r="I83" s="2"/>
      <c r="J83" s="19"/>
      <c r="K83" s="2"/>
      <c r="L83" s="2">
        <f t="shared" si="0"/>
        <v>-3655.3999999999996</v>
      </c>
      <c r="M83" s="2"/>
      <c r="N83" s="19">
        <f t="shared" si="1"/>
        <v>0.29207216709014494</v>
      </c>
      <c r="O83" s="11"/>
      <c r="P83" s="2">
        <f>-43379.15</f>
        <v>-43379.15</v>
      </c>
      <c r="Q83" s="2"/>
      <c r="R83" s="19"/>
      <c r="S83" s="2"/>
      <c r="T83" s="2">
        <f>-42477.35</f>
        <v>-42477.35</v>
      </c>
      <c r="U83" s="2"/>
      <c r="V83" s="19"/>
      <c r="W83" s="2"/>
      <c r="X83" s="2">
        <f t="shared" si="2"/>
        <v>-901.80000000000291</v>
      </c>
      <c r="Y83" s="2"/>
      <c r="Z83" s="19">
        <f t="shared" si="3"/>
        <v>2.1230137944104398E-2</v>
      </c>
    </row>
    <row r="84" spans="1:26" s="24" customFormat="1" hidden="1" outlineLevel="1" x14ac:dyDescent="0.25">
      <c r="A84" s="44"/>
      <c r="B84" s="11" t="str">
        <f>CONCATENATE("          ", "4203", " - ", "SALES RETURN TAXABLE-RENTAL TE")</f>
        <v xml:space="preserve">          4203 - SALES RETURN TAXABLE-RENTAL TE</v>
      </c>
      <c r="C84" s="11"/>
      <c r="D84" s="2">
        <f>0</f>
        <v>0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-144.99</f>
        <v>-144.99</v>
      </c>
      <c r="Q84" s="2"/>
      <c r="R84" s="19"/>
      <c r="S84" s="2"/>
      <c r="T84" s="2">
        <f>-1699.5</f>
        <v>-1699.5</v>
      </c>
      <c r="U84" s="2"/>
      <c r="V84" s="19"/>
      <c r="W84" s="2"/>
      <c r="X84" s="2">
        <f t="shared" si="2"/>
        <v>1554.51</v>
      </c>
      <c r="Y84" s="2"/>
      <c r="Z84" s="19">
        <f t="shared" si="3"/>
        <v>-0.9146866725507502</v>
      </c>
    </row>
    <row r="85" spans="1:26" s="24" customFormat="1" hidden="1" outlineLevel="1" x14ac:dyDescent="0.25">
      <c r="A85" s="44"/>
      <c r="B85" s="11" t="str">
        <f>CONCATENATE("          ", "4204", " - ", "SALES RETURN TAXABLE-DIGITAL T")</f>
        <v xml:space="preserve">          4204 - SALES RETURN TAXABLE-DIGITAL T</v>
      </c>
      <c r="C85" s="11"/>
      <c r="D85" s="2">
        <f>-4891.98</f>
        <v>-4891.9799999999996</v>
      </c>
      <c r="E85" s="2"/>
      <c r="F85" s="19"/>
      <c r="G85" s="2"/>
      <c r="H85" s="2">
        <f>-9964.33</f>
        <v>-9964.33</v>
      </c>
      <c r="I85" s="2"/>
      <c r="J85" s="19"/>
      <c r="K85" s="2"/>
      <c r="L85" s="2">
        <f t="shared" si="0"/>
        <v>5072.3500000000004</v>
      </c>
      <c r="M85" s="2"/>
      <c r="N85" s="19">
        <f t="shared" si="1"/>
        <v>-0.50905078414705263</v>
      </c>
      <c r="O85" s="11"/>
      <c r="P85" s="2">
        <f>-16261.44</f>
        <v>-16261.44</v>
      </c>
      <c r="Q85" s="2"/>
      <c r="R85" s="19"/>
      <c r="S85" s="2"/>
      <c r="T85" s="2">
        <f>-26008.18</f>
        <v>-26008.18</v>
      </c>
      <c r="U85" s="2"/>
      <c r="V85" s="19"/>
      <c r="W85" s="2"/>
      <c r="X85" s="2">
        <f t="shared" si="2"/>
        <v>9746.74</v>
      </c>
      <c r="Y85" s="2"/>
      <c r="Z85" s="19">
        <f t="shared" si="3"/>
        <v>-0.37475671115779724</v>
      </c>
    </row>
    <row r="86" spans="1:26" s="24" customFormat="1" hidden="1" outlineLevel="1" x14ac:dyDescent="0.25">
      <c r="A86" s="44"/>
      <c r="B86" s="11" t="str">
        <f>CONCATENATE("          ", "4213", " - ", "NON-TAXABLE SALES-TRADE BOOKS")</f>
        <v xml:space="preserve">          4213 - NON-TAXABLE SALES-TRADE BOOKS</v>
      </c>
      <c r="C86" s="11"/>
      <c r="D86" s="2">
        <f>-13.95</f>
        <v>-13.95</v>
      </c>
      <c r="E86" s="2"/>
      <c r="F86" s="19"/>
      <c r="G86" s="2"/>
      <c r="H86" s="2">
        <f>-24.94</f>
        <v>-24.94</v>
      </c>
      <c r="I86" s="2"/>
      <c r="J86" s="19"/>
      <c r="K86" s="2"/>
      <c r="L86" s="2">
        <f t="shared" si="0"/>
        <v>10.990000000000002</v>
      </c>
      <c r="M86" s="2"/>
      <c r="N86" s="19">
        <f t="shared" si="1"/>
        <v>-0.44065757818765044</v>
      </c>
      <c r="O86" s="11"/>
      <c r="P86" s="2">
        <f>-116.66</f>
        <v>-116.66</v>
      </c>
      <c r="Q86" s="2"/>
      <c r="R86" s="19"/>
      <c r="S86" s="2"/>
      <c r="T86" s="2">
        <f>-121.9</f>
        <v>-121.9</v>
      </c>
      <c r="U86" s="2"/>
      <c r="V86" s="19"/>
      <c r="W86" s="2"/>
      <c r="X86" s="2">
        <f t="shared" si="2"/>
        <v>5.2400000000000091</v>
      </c>
      <c r="Y86" s="2"/>
      <c r="Z86" s="19">
        <f t="shared" si="3"/>
        <v>-4.2986054142740024E-2</v>
      </c>
    </row>
    <row r="87" spans="1:26" s="24" customFormat="1" hidden="1" outlineLevel="1" x14ac:dyDescent="0.25">
      <c r="A87" s="44"/>
      <c r="B87" s="11" t="str">
        <f>CONCATENATE("          ", "4214", " - ", "SALES RETURN TAXABLE-REMAINDER")</f>
        <v xml:space="preserve">          4214 - SALES RETURN TAXABLE-REMAINDER</v>
      </c>
      <c r="C87" s="11"/>
      <c r="D87" s="2">
        <f t="shared" ref="D87:D88" si="6">0</f>
        <v>0</v>
      </c>
      <c r="E87" s="2"/>
      <c r="F87" s="19"/>
      <c r="G87" s="2"/>
      <c r="H87" s="2">
        <f t="shared" ref="H87:H88" si="7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-11.94</f>
        <v>-11.94</v>
      </c>
      <c r="Q87" s="2"/>
      <c r="R87" s="19"/>
      <c r="S87" s="2"/>
      <c r="T87" s="2">
        <f>-3.95</f>
        <v>-3.95</v>
      </c>
      <c r="U87" s="2"/>
      <c r="V87" s="19"/>
      <c r="W87" s="2"/>
      <c r="X87" s="2">
        <f t="shared" si="2"/>
        <v>-7.9899999999999993</v>
      </c>
      <c r="Y87" s="2"/>
      <c r="Z87" s="19">
        <f t="shared" si="3"/>
        <v>2.022784810126582</v>
      </c>
    </row>
    <row r="88" spans="1:26" s="24" customFormat="1" hidden="1" outlineLevel="1" x14ac:dyDescent="0.25">
      <c r="A88" s="44"/>
      <c r="B88" s="11" t="str">
        <f>CONCATENATE("          ", "4217", " - ", "NON-TAXABLE SALES-DORM/HOUSEWA")</f>
        <v xml:space="preserve">          4217 - NON-TAXABLE SALES-DORM/HOUSEWA</v>
      </c>
      <c r="C88" s="11"/>
      <c r="D88" s="2">
        <f t="shared" si="6"/>
        <v>0</v>
      </c>
      <c r="E88" s="2"/>
      <c r="F88" s="19"/>
      <c r="G88" s="2"/>
      <c r="H88" s="2">
        <f t="shared" si="7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-2.98</f>
        <v>-2.98</v>
      </c>
      <c r="Q88" s="2"/>
      <c r="R88" s="19"/>
      <c r="S88" s="2"/>
      <c r="T88" s="2">
        <f>-1.5</f>
        <v>-1.5</v>
      </c>
      <c r="U88" s="2"/>
      <c r="V88" s="19"/>
      <c r="W88" s="2"/>
      <c r="X88" s="2">
        <f t="shared" si="2"/>
        <v>-1.48</v>
      </c>
      <c r="Y88" s="2"/>
      <c r="Z88" s="19">
        <f t="shared" si="3"/>
        <v>0.98666666666666669</v>
      </c>
    </row>
    <row r="89" spans="1:26" s="24" customFormat="1" hidden="1" outlineLevel="1" x14ac:dyDescent="0.25">
      <c r="A89" s="44"/>
      <c r="B89" s="11" t="str">
        <f>CONCATENATE("          ", "4218", " - ", "SALES RETURN TAXABLE-STUDY GUI")</f>
        <v xml:space="preserve">          4218 - SALES RETURN TAXABLE-STUDY GUI</v>
      </c>
      <c r="C89" s="11"/>
      <c r="D89" s="2">
        <f>-6.5</f>
        <v>-6.5</v>
      </c>
      <c r="E89" s="2"/>
      <c r="F89" s="19"/>
      <c r="G89" s="2"/>
      <c r="H89" s="2">
        <f>-20.85</f>
        <v>-20.85</v>
      </c>
      <c r="I89" s="2"/>
      <c r="J89" s="19"/>
      <c r="K89" s="2"/>
      <c r="L89" s="2">
        <f t="shared" si="0"/>
        <v>14.350000000000001</v>
      </c>
      <c r="M89" s="2"/>
      <c r="N89" s="19">
        <f t="shared" si="1"/>
        <v>-0.68824940047961636</v>
      </c>
      <c r="O89" s="11"/>
      <c r="P89" s="2">
        <f>-39.25</f>
        <v>-39.25</v>
      </c>
      <c r="Q89" s="2"/>
      <c r="R89" s="19"/>
      <c r="S89" s="2"/>
      <c r="T89" s="2">
        <f>-60.65</f>
        <v>-60.65</v>
      </c>
      <c r="U89" s="2"/>
      <c r="V89" s="19"/>
      <c r="W89" s="2"/>
      <c r="X89" s="2">
        <f t="shared" si="2"/>
        <v>21.4</v>
      </c>
      <c r="Y89" s="2"/>
      <c r="Z89" s="19">
        <f t="shared" si="3"/>
        <v>-0.3528441879637263</v>
      </c>
    </row>
    <row r="90" spans="1:26" s="24" customFormat="1" hidden="1" outlineLevel="1" x14ac:dyDescent="0.25">
      <c r="A90" s="44"/>
      <c r="B90" s="11" t="str">
        <f>CONCATENATE("          ", "4225", " - ", "SALES RETURN TAXABLE-TEST FORM")</f>
        <v xml:space="preserve">          4225 - SALES RETURN TAXABLE-TEST FORM</v>
      </c>
      <c r="C90" s="11"/>
      <c r="D90" s="2">
        <f>-14.74</f>
        <v>-14.74</v>
      </c>
      <c r="E90" s="2"/>
      <c r="F90" s="19"/>
      <c r="G90" s="2"/>
      <c r="H90" s="2">
        <f>-22.32</f>
        <v>-22.32</v>
      </c>
      <c r="I90" s="2"/>
      <c r="J90" s="19"/>
      <c r="K90" s="2"/>
      <c r="L90" s="2">
        <f t="shared" si="0"/>
        <v>7.58</v>
      </c>
      <c r="M90" s="2"/>
      <c r="N90" s="19">
        <f t="shared" si="1"/>
        <v>-0.3396057347670251</v>
      </c>
      <c r="O90" s="11"/>
      <c r="P90" s="2">
        <f>-95.71</f>
        <v>-95.71</v>
      </c>
      <c r="Q90" s="2"/>
      <c r="R90" s="19"/>
      <c r="S90" s="2"/>
      <c r="T90" s="2">
        <f>-84.74</f>
        <v>-84.74</v>
      </c>
      <c r="U90" s="2"/>
      <c r="V90" s="19"/>
      <c r="W90" s="2"/>
      <c r="X90" s="2">
        <f t="shared" si="2"/>
        <v>-10.969999999999999</v>
      </c>
      <c r="Y90" s="2"/>
      <c r="Z90" s="19">
        <f t="shared" si="3"/>
        <v>0.129454802926599</v>
      </c>
    </row>
    <row r="91" spans="1:26" s="24" customFormat="1" hidden="1" outlineLevel="1" x14ac:dyDescent="0.25">
      <c r="A91" s="44"/>
      <c r="B91" s="11" t="str">
        <f>CONCATENATE("          ", "4226", " - ", "SALES RETURN TAXABLE-WRITING I")</f>
        <v xml:space="preserve">          4226 - SALES RETURN TAXABLE-WRITING I</v>
      </c>
      <c r="C91" s="11"/>
      <c r="D91" s="2">
        <f>-149.55</f>
        <v>-149.55000000000001</v>
      </c>
      <c r="E91" s="2"/>
      <c r="F91" s="19"/>
      <c r="G91" s="2"/>
      <c r="H91" s="2">
        <f>-27.76</f>
        <v>-27.76</v>
      </c>
      <c r="I91" s="2"/>
      <c r="J91" s="19"/>
      <c r="K91" s="2"/>
      <c r="L91" s="2">
        <f t="shared" si="0"/>
        <v>-121.79</v>
      </c>
      <c r="M91" s="2"/>
      <c r="N91" s="19">
        <f t="shared" si="1"/>
        <v>4.3872478386167151</v>
      </c>
      <c r="O91" s="11"/>
      <c r="P91" s="2">
        <f>-680.91</f>
        <v>-680.91</v>
      </c>
      <c r="Q91" s="2"/>
      <c r="R91" s="19"/>
      <c r="S91" s="2"/>
      <c r="T91" s="2">
        <f>-312.3</f>
        <v>-312.3</v>
      </c>
      <c r="U91" s="2"/>
      <c r="V91" s="19"/>
      <c r="W91" s="2"/>
      <c r="X91" s="2">
        <f t="shared" si="2"/>
        <v>-368.60999999999996</v>
      </c>
      <c r="Y91" s="2"/>
      <c r="Z91" s="19">
        <f t="shared" si="3"/>
        <v>1.1803073967339095</v>
      </c>
    </row>
    <row r="92" spans="1:26" s="24" customFormat="1" hidden="1" outlineLevel="1" x14ac:dyDescent="0.25">
      <c r="A92" s="44"/>
      <c r="B92" s="11" t="str">
        <f>CONCATENATE("          ", "4227", " - ", "SALES RETURN TAXABLE-SCHOOL SU")</f>
        <v xml:space="preserve">          4227 - SALES RETURN TAXABLE-SCHOOL SU</v>
      </c>
      <c r="C92" s="11"/>
      <c r="D92" s="2">
        <f>-962.28</f>
        <v>-962.28</v>
      </c>
      <c r="E92" s="2"/>
      <c r="F92" s="19"/>
      <c r="G92" s="2"/>
      <c r="H92" s="2">
        <f>-1186.6</f>
        <v>-1186.5999999999999</v>
      </c>
      <c r="I92" s="2"/>
      <c r="J92" s="19"/>
      <c r="K92" s="2"/>
      <c r="L92" s="2">
        <f t="shared" si="0"/>
        <v>224.31999999999994</v>
      </c>
      <c r="M92" s="2"/>
      <c r="N92" s="19">
        <f t="shared" si="1"/>
        <v>-0.18904432833305237</v>
      </c>
      <c r="O92" s="11"/>
      <c r="P92" s="2">
        <f>-6910.86</f>
        <v>-6910.86</v>
      </c>
      <c r="Q92" s="2"/>
      <c r="R92" s="19"/>
      <c r="S92" s="2"/>
      <c r="T92" s="2">
        <f>-3880.97</f>
        <v>-3880.97</v>
      </c>
      <c r="U92" s="2"/>
      <c r="V92" s="19"/>
      <c r="W92" s="2"/>
      <c r="X92" s="2">
        <f t="shared" si="2"/>
        <v>-3029.89</v>
      </c>
      <c r="Y92" s="2"/>
      <c r="Z92" s="19">
        <f t="shared" si="3"/>
        <v>0.78070430845896777</v>
      </c>
    </row>
    <row r="93" spans="1:26" s="24" customFormat="1" hidden="1" outlineLevel="1" x14ac:dyDescent="0.25">
      <c r="A93" s="44"/>
      <c r="B93" s="11" t="str">
        <f>CONCATENATE("          ", "4228", " - ", "SALES RETURN TAXABLE-ART/TECH")</f>
        <v xml:space="preserve">          4228 - SALES RETURN TAXABLE-ART/TECH</v>
      </c>
      <c r="C93" s="11"/>
      <c r="D93" s="2">
        <f>-766.07</f>
        <v>-766.07</v>
      </c>
      <c r="E93" s="2"/>
      <c r="F93" s="19"/>
      <c r="G93" s="2"/>
      <c r="H93" s="2">
        <f>-1234.7</f>
        <v>-1234.7</v>
      </c>
      <c r="I93" s="2"/>
      <c r="J93" s="19"/>
      <c r="K93" s="2"/>
      <c r="L93" s="2">
        <f t="shared" si="0"/>
        <v>468.63</v>
      </c>
      <c r="M93" s="2"/>
      <c r="N93" s="19">
        <f t="shared" si="1"/>
        <v>-0.37954968818336438</v>
      </c>
      <c r="O93" s="11"/>
      <c r="P93" s="2">
        <f>-3914.69</f>
        <v>-3914.69</v>
      </c>
      <c r="Q93" s="2"/>
      <c r="R93" s="19"/>
      <c r="S93" s="2"/>
      <c r="T93" s="2">
        <f>-5833.5</f>
        <v>-5833.5</v>
      </c>
      <c r="U93" s="2"/>
      <c r="V93" s="19"/>
      <c r="W93" s="2"/>
      <c r="X93" s="2">
        <f t="shared" si="2"/>
        <v>1918.81</v>
      </c>
      <c r="Y93" s="2"/>
      <c r="Z93" s="19">
        <f t="shared" si="3"/>
        <v>-0.32892945915830973</v>
      </c>
    </row>
    <row r="94" spans="1:26" s="24" customFormat="1" hidden="1" outlineLevel="1" x14ac:dyDescent="0.25">
      <c r="A94" s="44"/>
      <c r="B94" s="11" t="str">
        <f>CONCATENATE("          ", "4233", " - ", "SALES RETURN TAXABLE-CANDY")</f>
        <v xml:space="preserve">          4233 - SALES RETURN TAXABLE-CANDY</v>
      </c>
      <c r="C94" s="11"/>
      <c r="D94" s="2">
        <f>0</f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-1.29</f>
        <v>-1.29</v>
      </c>
      <c r="Q94" s="2"/>
      <c r="R94" s="19"/>
      <c r="S94" s="2"/>
      <c r="T94" s="2">
        <f>-1.89</f>
        <v>-1.89</v>
      </c>
      <c r="U94" s="2"/>
      <c r="V94" s="19"/>
      <c r="W94" s="2"/>
      <c r="X94" s="2">
        <f t="shared" si="2"/>
        <v>0.59999999999999987</v>
      </c>
      <c r="Y94" s="2"/>
      <c r="Z94" s="19">
        <f t="shared" si="3"/>
        <v>-0.31746031746031739</v>
      </c>
    </row>
    <row r="95" spans="1:26" s="24" customFormat="1" hidden="1" outlineLevel="1" x14ac:dyDescent="0.25">
      <c r="A95" s="44"/>
      <c r="B95" s="11" t="str">
        <f>CONCATENATE("          ", "4240", " - ", "SALES RETURN TAXABLE-LOGO CLOT")</f>
        <v xml:space="preserve">          4240 - SALES RETURN TAXABLE-LOGO CLOT</v>
      </c>
      <c r="C95" s="11"/>
      <c r="D95" s="2">
        <f>-12286.81</f>
        <v>-12286.81</v>
      </c>
      <c r="E95" s="2"/>
      <c r="F95" s="19"/>
      <c r="G95" s="2"/>
      <c r="H95" s="2">
        <f>-9903.76</f>
        <v>-9903.76</v>
      </c>
      <c r="I95" s="2"/>
      <c r="J95" s="19"/>
      <c r="K95" s="2"/>
      <c r="L95" s="2">
        <f t="shared" si="0"/>
        <v>-2383.0499999999993</v>
      </c>
      <c r="M95" s="2"/>
      <c r="N95" s="19">
        <f t="shared" si="1"/>
        <v>0.24062073394347189</v>
      </c>
      <c r="O95" s="11"/>
      <c r="P95" s="2">
        <f>-61608.75</f>
        <v>-61608.75</v>
      </c>
      <c r="Q95" s="2"/>
      <c r="R95" s="19"/>
      <c r="S95" s="2"/>
      <c r="T95" s="2">
        <f>-58611.84</f>
        <v>-58611.839999999997</v>
      </c>
      <c r="U95" s="2"/>
      <c r="V95" s="19"/>
      <c r="W95" s="2"/>
      <c r="X95" s="2">
        <f t="shared" si="2"/>
        <v>-2996.9100000000035</v>
      </c>
      <c r="Y95" s="2"/>
      <c r="Z95" s="19">
        <f t="shared" si="3"/>
        <v>5.1131477872047755E-2</v>
      </c>
    </row>
    <row r="96" spans="1:26" s="24" customFormat="1" hidden="1" outlineLevel="1" x14ac:dyDescent="0.25">
      <c r="A96" s="44"/>
      <c r="B96" s="11" t="str">
        <f>CONCATENATE("          ", "4241", " - ", "SALES RETURN TAXABLE-LOGO GIFT")</f>
        <v xml:space="preserve">          4241 - SALES RETURN TAXABLE-LOGO GIFT</v>
      </c>
      <c r="C96" s="11"/>
      <c r="D96" s="2">
        <f>-805.34</f>
        <v>-805.34</v>
      </c>
      <c r="E96" s="2"/>
      <c r="F96" s="19"/>
      <c r="G96" s="2"/>
      <c r="H96" s="2">
        <f>-1041.57</f>
        <v>-1041.57</v>
      </c>
      <c r="I96" s="2"/>
      <c r="J96" s="19"/>
      <c r="K96" s="2"/>
      <c r="L96" s="2">
        <f t="shared" si="0"/>
        <v>236.2299999999999</v>
      </c>
      <c r="M96" s="2"/>
      <c r="N96" s="19">
        <f t="shared" si="1"/>
        <v>-0.22680184721142113</v>
      </c>
      <c r="O96" s="11"/>
      <c r="P96" s="2">
        <f>-4954.21</f>
        <v>-4954.21</v>
      </c>
      <c r="Q96" s="2"/>
      <c r="R96" s="19"/>
      <c r="S96" s="2"/>
      <c r="T96" s="2">
        <f>-5742.21</f>
        <v>-5742.21</v>
      </c>
      <c r="U96" s="2"/>
      <c r="V96" s="19"/>
      <c r="W96" s="2"/>
      <c r="X96" s="2">
        <f t="shared" si="2"/>
        <v>788</v>
      </c>
      <c r="Y96" s="2"/>
      <c r="Z96" s="19">
        <f t="shared" si="3"/>
        <v>-0.1372293942576116</v>
      </c>
    </row>
    <row r="97" spans="1:26" s="24" customFormat="1" hidden="1" outlineLevel="1" x14ac:dyDescent="0.25">
      <c r="A97" s="44"/>
      <c r="B97" s="11" t="str">
        <f>CONCATENATE("          ", "4242", " - ", "SALES RETURN TAXABLE-EVERYDAY")</f>
        <v xml:space="preserve">          4242 - SALES RETURN TAXABLE-EVERYDAY</v>
      </c>
      <c r="C97" s="11"/>
      <c r="D97" s="2">
        <f>-754.91</f>
        <v>-754.91</v>
      </c>
      <c r="E97" s="2"/>
      <c r="F97" s="19"/>
      <c r="G97" s="2"/>
      <c r="H97" s="2">
        <f>-237.92</f>
        <v>-237.92</v>
      </c>
      <c r="I97" s="2"/>
      <c r="J97" s="19"/>
      <c r="K97" s="2"/>
      <c r="L97" s="2">
        <f t="shared" si="0"/>
        <v>-516.99</v>
      </c>
      <c r="M97" s="2"/>
      <c r="N97" s="19">
        <f t="shared" si="1"/>
        <v>2.1729572965702757</v>
      </c>
      <c r="O97" s="11"/>
      <c r="P97" s="2">
        <f>-3544.33</f>
        <v>-3544.33</v>
      </c>
      <c r="Q97" s="2"/>
      <c r="R97" s="19"/>
      <c r="S97" s="2"/>
      <c r="T97" s="2">
        <f>-1955.01</f>
        <v>-1955.01</v>
      </c>
      <c r="U97" s="2"/>
      <c r="V97" s="19"/>
      <c r="W97" s="2"/>
      <c r="X97" s="2">
        <f t="shared" si="2"/>
        <v>-1589.32</v>
      </c>
      <c r="Y97" s="2"/>
      <c r="Z97" s="19">
        <f t="shared" si="3"/>
        <v>0.81294724835167076</v>
      </c>
    </row>
    <row r="98" spans="1:26" s="24" customFormat="1" hidden="1" outlineLevel="1" x14ac:dyDescent="0.25">
      <c r="A98" s="44"/>
      <c r="B98" s="11" t="str">
        <f>CONCATENATE("          ", "4243", " - ", "SALES RETURN TAXABLE-CARDS")</f>
        <v xml:space="preserve">          4243 - SALES RETURN TAXABLE-CARDS</v>
      </c>
      <c r="C98" s="11"/>
      <c r="D98" s="2">
        <f>-344.74</f>
        <v>-344.74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-344.74</v>
      </c>
      <c r="M98" s="2"/>
      <c r="N98" s="19">
        <f t="shared" si="1"/>
        <v>0</v>
      </c>
      <c r="O98" s="11"/>
      <c r="P98" s="2">
        <f>-1224.21</f>
        <v>-1224.21</v>
      </c>
      <c r="Q98" s="2"/>
      <c r="R98" s="19"/>
      <c r="S98" s="2"/>
      <c r="T98" s="2">
        <f>-25.94</f>
        <v>-25.94</v>
      </c>
      <c r="U98" s="2"/>
      <c r="V98" s="19"/>
      <c r="W98" s="2"/>
      <c r="X98" s="2">
        <f t="shared" si="2"/>
        <v>-1198.27</v>
      </c>
      <c r="Y98" s="2"/>
      <c r="Z98" s="19">
        <f t="shared" si="3"/>
        <v>46.193909020817266</v>
      </c>
    </row>
    <row r="99" spans="1:26" s="24" customFormat="1" hidden="1" outlineLevel="1" x14ac:dyDescent="0.25">
      <c r="A99" s="44"/>
      <c r="B99" s="11" t="str">
        <f>CONCATENATE("          ", "4244", " - ", "SALES RETURN TAXABLE-ACCESSORI")</f>
        <v xml:space="preserve">          4244 - SALES RETURN TAXABLE-ACCESSORI</v>
      </c>
      <c r="C99" s="11"/>
      <c r="D99" s="2">
        <f>-370.28</f>
        <v>-370.28</v>
      </c>
      <c r="E99" s="2"/>
      <c r="F99" s="19"/>
      <c r="G99" s="2"/>
      <c r="H99" s="2">
        <f>-268.5</f>
        <v>-268.5</v>
      </c>
      <c r="I99" s="2"/>
      <c r="J99" s="19"/>
      <c r="K99" s="2"/>
      <c r="L99" s="2">
        <f t="shared" si="0"/>
        <v>-101.77999999999997</v>
      </c>
      <c r="M99" s="2"/>
      <c r="N99" s="19">
        <f t="shared" si="1"/>
        <v>0.3790689013035381</v>
      </c>
      <c r="O99" s="11"/>
      <c r="P99" s="2">
        <f>-2102.05</f>
        <v>-2102.0500000000002</v>
      </c>
      <c r="Q99" s="2"/>
      <c r="R99" s="19"/>
      <c r="S99" s="2"/>
      <c r="T99" s="2">
        <f>-3012.87</f>
        <v>-3012.87</v>
      </c>
      <c r="U99" s="2"/>
      <c r="V99" s="19"/>
      <c r="W99" s="2"/>
      <c r="X99" s="2">
        <f t="shared" si="2"/>
        <v>910.81999999999971</v>
      </c>
      <c r="Y99" s="2"/>
      <c r="Z99" s="19">
        <f t="shared" si="3"/>
        <v>-0.3023097578056802</v>
      </c>
    </row>
    <row r="100" spans="1:26" s="24" customFormat="1" hidden="1" outlineLevel="1" x14ac:dyDescent="0.25">
      <c r="A100" s="44"/>
      <c r="B100" s="11" t="str">
        <f>CONCATENATE("          ", "4245", " - ", "SALES RETURN TAXABLE-SPECIAL O")</f>
        <v xml:space="preserve">          4245 - SALES RETURN TAXABLE-SPECIAL O</v>
      </c>
      <c r="C100" s="11"/>
      <c r="D100" s="2">
        <f>-1623.09</f>
        <v>-1623.09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-1623.09</v>
      </c>
      <c r="M100" s="2"/>
      <c r="N100" s="19">
        <f t="shared" si="1"/>
        <v>0</v>
      </c>
      <c r="O100" s="11"/>
      <c r="P100" s="2">
        <f>-1715.05</f>
        <v>-1715.05</v>
      </c>
      <c r="Q100" s="2"/>
      <c r="R100" s="19"/>
      <c r="S100" s="2"/>
      <c r="T100" s="2">
        <f>-225.7</f>
        <v>-225.7</v>
      </c>
      <c r="U100" s="2"/>
      <c r="V100" s="19"/>
      <c r="W100" s="2"/>
      <c r="X100" s="2">
        <f t="shared" si="2"/>
        <v>-1489.35</v>
      </c>
      <c r="Y100" s="2"/>
      <c r="Z100" s="19">
        <f t="shared" si="3"/>
        <v>6.5988037217545417</v>
      </c>
    </row>
    <row r="101" spans="1:26" s="24" customFormat="1" hidden="1" outlineLevel="1" x14ac:dyDescent="0.25">
      <c r="A101" s="44"/>
      <c r="B101" s="11" t="str">
        <f>CONCATENATE("          ", "4281", " - ", "SALES RETURN TAXABLE-ELECTRONI")</f>
        <v xml:space="preserve">          4281 - SALES RETURN TAXABLE-ELECTRONI</v>
      </c>
      <c r="C101" s="11"/>
      <c r="D101" s="2">
        <f>-642.85</f>
        <v>-642.85</v>
      </c>
      <c r="E101" s="2"/>
      <c r="F101" s="19"/>
      <c r="G101" s="2"/>
      <c r="H101" s="2">
        <f>-563.37</f>
        <v>-563.37</v>
      </c>
      <c r="I101" s="2"/>
      <c r="J101" s="19"/>
      <c r="K101" s="2"/>
      <c r="L101" s="2">
        <f t="shared" si="0"/>
        <v>-79.480000000000018</v>
      </c>
      <c r="M101" s="2"/>
      <c r="N101" s="19">
        <f t="shared" si="1"/>
        <v>0.14107957470223834</v>
      </c>
      <c r="O101" s="11"/>
      <c r="P101" s="2">
        <f>-6504.81</f>
        <v>-6504.81</v>
      </c>
      <c r="Q101" s="2"/>
      <c r="R101" s="19"/>
      <c r="S101" s="2"/>
      <c r="T101" s="2">
        <f>-6091.13</f>
        <v>-6091.13</v>
      </c>
      <c r="U101" s="2"/>
      <c r="V101" s="19"/>
      <c r="W101" s="2"/>
      <c r="X101" s="2">
        <f t="shared" si="2"/>
        <v>-413.68000000000029</v>
      </c>
      <c r="Y101" s="2"/>
      <c r="Z101" s="19">
        <f t="shared" si="3"/>
        <v>6.7915148749082735E-2</v>
      </c>
    </row>
    <row r="102" spans="1:26" s="24" customFormat="1" hidden="1" outlineLevel="1" x14ac:dyDescent="0.25">
      <c r="A102" s="44"/>
      <c r="B102" s="11" t="str">
        <f>CONCATENATE("          ", "4282", " - ", "SALES RETURN TAXABLE-COMPUTER")</f>
        <v xml:space="preserve">          4282 - SALES RETURN TAXABLE-COMPUTER</v>
      </c>
      <c r="C102" s="11"/>
      <c r="D102" s="2">
        <f>-15229.61</f>
        <v>-15229.61</v>
      </c>
      <c r="E102" s="2"/>
      <c r="F102" s="19"/>
      <c r="G102" s="2"/>
      <c r="H102" s="2">
        <f>-6494</f>
        <v>-6494</v>
      </c>
      <c r="I102" s="2"/>
      <c r="J102" s="19"/>
      <c r="K102" s="2"/>
      <c r="L102" s="2">
        <f t="shared" si="0"/>
        <v>-8735.61</v>
      </c>
      <c r="M102" s="2"/>
      <c r="N102" s="19">
        <f t="shared" si="1"/>
        <v>1.3451817061903297</v>
      </c>
      <c r="O102" s="11"/>
      <c r="P102" s="2">
        <f>-202883.19</f>
        <v>-202883.19</v>
      </c>
      <c r="Q102" s="2"/>
      <c r="R102" s="19"/>
      <c r="S102" s="2"/>
      <c r="T102" s="2">
        <f>-51540.97</f>
        <v>-51540.97</v>
      </c>
      <c r="U102" s="2"/>
      <c r="V102" s="19"/>
      <c r="W102" s="2"/>
      <c r="X102" s="2">
        <f t="shared" si="2"/>
        <v>-151342.22</v>
      </c>
      <c r="Y102" s="2"/>
      <c r="Z102" s="19">
        <f t="shared" si="3"/>
        <v>2.9363479189468107</v>
      </c>
    </row>
    <row r="103" spans="1:26" s="24" customFormat="1" hidden="1" outlineLevel="1" x14ac:dyDescent="0.25">
      <c r="A103" s="44"/>
      <c r="B103" s="11" t="str">
        <f>CONCATENATE("          ", "4283", " - ", "SALES RETURN TAXABLE-COMPUTER")</f>
        <v xml:space="preserve">          4283 - SALES RETURN TAXABLE-COMPUTER</v>
      </c>
      <c r="C103" s="11"/>
      <c r="D103" s="2">
        <f>-1632.57</f>
        <v>-1632.57</v>
      </c>
      <c r="E103" s="2"/>
      <c r="F103" s="19"/>
      <c r="G103" s="2"/>
      <c r="H103" s="2">
        <f>-1022.1</f>
        <v>-1022.1</v>
      </c>
      <c r="I103" s="2"/>
      <c r="J103" s="19"/>
      <c r="K103" s="2"/>
      <c r="L103" s="2">
        <f t="shared" si="0"/>
        <v>-610.46999999999991</v>
      </c>
      <c r="M103" s="2"/>
      <c r="N103" s="19">
        <f t="shared" si="1"/>
        <v>0.59727032579982375</v>
      </c>
      <c r="O103" s="11"/>
      <c r="P103" s="2">
        <f>-4914.72</f>
        <v>-4914.72</v>
      </c>
      <c r="Q103" s="2"/>
      <c r="R103" s="19"/>
      <c r="S103" s="2"/>
      <c r="T103" s="2">
        <f>-5027.57</f>
        <v>-5027.57</v>
      </c>
      <c r="U103" s="2"/>
      <c r="V103" s="19"/>
      <c r="W103" s="2"/>
      <c r="X103" s="2">
        <f t="shared" si="2"/>
        <v>112.84999999999945</v>
      </c>
      <c r="Y103" s="2"/>
      <c r="Z103" s="19">
        <f t="shared" si="3"/>
        <v>-2.244623147962126E-2</v>
      </c>
    </row>
    <row r="104" spans="1:26" s="24" customFormat="1" hidden="1" outlineLevel="1" x14ac:dyDescent="0.25">
      <c r="A104" s="44"/>
      <c r="B104" s="11" t="str">
        <f>CONCATENATE("          ", "4284", " - ", "SALES RETURN TAXABLE-SOFTWARE")</f>
        <v xml:space="preserve">          4284 - SALES RETURN TAXABLE-SOFTWARE</v>
      </c>
      <c r="C104" s="11"/>
      <c r="D104" s="2">
        <f t="shared" ref="D104:D105" si="8">0</f>
        <v>0</v>
      </c>
      <c r="E104" s="2"/>
      <c r="F104" s="19"/>
      <c r="G104" s="2"/>
      <c r="H104" s="2">
        <f t="shared" ref="H104:H105" si="9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-129</f>
        <v>-129</v>
      </c>
      <c r="Q104" s="2"/>
      <c r="R104" s="19"/>
      <c r="S104" s="2"/>
      <c r="T104" s="2">
        <f t="shared" ref="T104:T105" si="10">0</f>
        <v>0</v>
      </c>
      <c r="U104" s="2"/>
      <c r="V104" s="19"/>
      <c r="W104" s="2"/>
      <c r="X104" s="2">
        <f t="shared" si="2"/>
        <v>-129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"4285", " - ", "SALES RETURN TAXABLE-SOFTWARE")</f>
        <v xml:space="preserve">          4285 - SALES RETURN TAXABLE-SOFTWARE</v>
      </c>
      <c r="C105" s="11"/>
      <c r="D105" s="2">
        <f t="shared" si="8"/>
        <v>0</v>
      </c>
      <c r="E105" s="2"/>
      <c r="F105" s="19"/>
      <c r="G105" s="2"/>
      <c r="H105" s="2">
        <f t="shared" si="9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-655.98</f>
        <v>-655.98</v>
      </c>
      <c r="Q105" s="2"/>
      <c r="R105" s="19"/>
      <c r="S105" s="2"/>
      <c r="T105" s="2">
        <f t="shared" si="10"/>
        <v>0</v>
      </c>
      <c r="U105" s="2"/>
      <c r="V105" s="19"/>
      <c r="W105" s="2"/>
      <c r="X105" s="2">
        <f t="shared" si="2"/>
        <v>-655.98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"4286", " - ", "SALES RETURN TAXABLE-COMPUTER")</f>
        <v xml:space="preserve">          4286 - SALES RETURN TAXABLE-COMPUTER</v>
      </c>
      <c r="C106" s="11"/>
      <c r="D106" s="2">
        <f>-304.12</f>
        <v>-304.12</v>
      </c>
      <c r="E106" s="2"/>
      <c r="F106" s="19"/>
      <c r="G106" s="2"/>
      <c r="H106" s="2">
        <f>-647.83</f>
        <v>-647.83000000000004</v>
      </c>
      <c r="I106" s="2"/>
      <c r="J106" s="19"/>
      <c r="K106" s="2"/>
      <c r="L106" s="2">
        <f t="shared" si="0"/>
        <v>343.71000000000004</v>
      </c>
      <c r="M106" s="2"/>
      <c r="N106" s="19">
        <f t="shared" si="1"/>
        <v>-0.53055585570288499</v>
      </c>
      <c r="O106" s="11"/>
      <c r="P106" s="2">
        <f>-3292.01</f>
        <v>-3292.01</v>
      </c>
      <c r="Q106" s="2"/>
      <c r="R106" s="19"/>
      <c r="S106" s="2"/>
      <c r="T106" s="2">
        <f>-3585.58</f>
        <v>-3585.58</v>
      </c>
      <c r="U106" s="2"/>
      <c r="V106" s="19"/>
      <c r="W106" s="2"/>
      <c r="X106" s="2">
        <f t="shared" si="2"/>
        <v>293.56999999999971</v>
      </c>
      <c r="Y106" s="2"/>
      <c r="Z106" s="19">
        <f t="shared" si="3"/>
        <v>-8.1875177795503018E-2</v>
      </c>
    </row>
    <row r="107" spans="1:26" s="24" customFormat="1" hidden="1" outlineLevel="1" x14ac:dyDescent="0.25">
      <c r="A107" s="44"/>
      <c r="B107" s="11" t="str">
        <f>CONCATENATE("          ", "4288", " - ", "TAXABLE SALES RETURN-MUSIC")</f>
        <v xml:space="preserve">          4288 - TAXABLE SALES RETURN-MUSIC</v>
      </c>
      <c r="C107" s="11"/>
      <c r="D107" s="2">
        <f t="shared" ref="D107:D109" si="11">0</f>
        <v>0</v>
      </c>
      <c r="E107" s="2"/>
      <c r="F107" s="19"/>
      <c r="G107" s="2"/>
      <c r="H107" s="2">
        <f t="shared" ref="H107:H109" si="12"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-3.99</f>
        <v>-3.99</v>
      </c>
      <c r="Q107" s="2"/>
      <c r="R107" s="19"/>
      <c r="S107" s="2"/>
      <c r="T107" s="2">
        <f>0</f>
        <v>0</v>
      </c>
      <c r="U107" s="2"/>
      <c r="V107" s="19"/>
      <c r="W107" s="2"/>
      <c r="X107" s="2">
        <f t="shared" si="2"/>
        <v>-3.99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"4292", " - ", "SALES RETURN TAXABLE-GRAD MERC")</f>
        <v xml:space="preserve">          4292 - SALES RETURN TAXABLE-GRAD MERC</v>
      </c>
      <c r="C108" s="11"/>
      <c r="D108" s="2">
        <f t="shared" si="11"/>
        <v>0</v>
      </c>
      <c r="E108" s="2"/>
      <c r="F108" s="19"/>
      <c r="G108" s="2"/>
      <c r="H108" s="2">
        <f t="shared" si="12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-419.05</f>
        <v>-419.05</v>
      </c>
      <c r="Q108" s="2"/>
      <c r="R108" s="19"/>
      <c r="S108" s="2"/>
      <c r="T108" s="2">
        <f>-548.24</f>
        <v>-548.24</v>
      </c>
      <c r="U108" s="2"/>
      <c r="V108" s="19"/>
      <c r="W108" s="2"/>
      <c r="X108" s="2">
        <f t="shared" si="2"/>
        <v>129.19</v>
      </c>
      <c r="Y108" s="2"/>
      <c r="Z108" s="19">
        <f t="shared" si="3"/>
        <v>-0.23564497300452356</v>
      </c>
    </row>
    <row r="109" spans="1:26" s="24" customFormat="1" hidden="1" outlineLevel="1" x14ac:dyDescent="0.25">
      <c r="A109" s="44"/>
      <c r="B109" s="11" t="str">
        <f>CONCATENATE("          ", "4295", " - ", "SALES RETURN TAXABLE-CUSTOMER")</f>
        <v xml:space="preserve">          4295 - SALES RETURN TAXABLE-CUSTOMER</v>
      </c>
      <c r="C109" s="11"/>
      <c r="D109" s="2">
        <f t="shared" si="11"/>
        <v>0</v>
      </c>
      <c r="E109" s="2"/>
      <c r="F109" s="19"/>
      <c r="G109" s="2"/>
      <c r="H109" s="2">
        <f t="shared" si="12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--0.99</f>
        <v>0.99</v>
      </c>
      <c r="Q109" s="2"/>
      <c r="R109" s="19"/>
      <c r="S109" s="2"/>
      <c r="T109" s="2">
        <f>-126.72</f>
        <v>-126.72</v>
      </c>
      <c r="U109" s="2"/>
      <c r="V109" s="19"/>
      <c r="W109" s="2"/>
      <c r="X109" s="2">
        <f t="shared" si="2"/>
        <v>127.71</v>
      </c>
      <c r="Y109" s="2"/>
      <c r="Z109" s="19">
        <f t="shared" si="3"/>
        <v>-1.0078125</v>
      </c>
    </row>
    <row r="110" spans="1:26" s="24" customFormat="1" hidden="1" outlineLevel="1" x14ac:dyDescent="0.25">
      <c r="A110" s="44"/>
      <c r="B110" s="11" t="str">
        <f>CONCATENATE("          ", "4301", " - ", "SALES RETURN NON TAXABLE-NEW T")</f>
        <v xml:space="preserve">          4301 - SALES RETURN NON TAXABLE-NEW T</v>
      </c>
      <c r="C110" s="11"/>
      <c r="D110" s="2">
        <f>-2910.64</f>
        <v>-2910.64</v>
      </c>
      <c r="E110" s="2"/>
      <c r="F110" s="19"/>
      <c r="G110" s="2"/>
      <c r="H110" s="2">
        <f>-4939.03</f>
        <v>-4939.03</v>
      </c>
      <c r="I110" s="2"/>
      <c r="J110" s="19"/>
      <c r="K110" s="2"/>
      <c r="L110" s="2">
        <f t="shared" si="0"/>
        <v>2028.3899999999999</v>
      </c>
      <c r="M110" s="2"/>
      <c r="N110" s="19">
        <f t="shared" si="1"/>
        <v>-0.41068590391230664</v>
      </c>
      <c r="O110" s="11"/>
      <c r="P110" s="2">
        <f>-15221.62</f>
        <v>-15221.62</v>
      </c>
      <c r="Q110" s="2"/>
      <c r="R110" s="19"/>
      <c r="S110" s="2"/>
      <c r="T110" s="2">
        <f>-35074.1</f>
        <v>-35074.1</v>
      </c>
      <c r="U110" s="2"/>
      <c r="V110" s="19"/>
      <c r="W110" s="2"/>
      <c r="X110" s="2">
        <f t="shared" si="2"/>
        <v>19852.479999999996</v>
      </c>
      <c r="Y110" s="2"/>
      <c r="Z110" s="19">
        <f t="shared" si="3"/>
        <v>-0.56601537886930808</v>
      </c>
    </row>
    <row r="111" spans="1:26" s="24" customFormat="1" hidden="1" outlineLevel="1" x14ac:dyDescent="0.25">
      <c r="A111" s="44"/>
      <c r="B111" s="11" t="str">
        <f>CONCATENATE("          ", "4302", " - ", "SALES RETURN NON TAXABLE-TEXT")</f>
        <v xml:space="preserve">          4302 - SALES RETURN NON TAXABLE-TEXT</v>
      </c>
      <c r="C111" s="11"/>
      <c r="D111" s="2">
        <f>-614.47</f>
        <v>-614.47</v>
      </c>
      <c r="E111" s="2"/>
      <c r="F111" s="19"/>
      <c r="G111" s="2"/>
      <c r="H111" s="2">
        <f>-1055.72</f>
        <v>-1055.72</v>
      </c>
      <c r="I111" s="2"/>
      <c r="J111" s="19"/>
      <c r="K111" s="2"/>
      <c r="L111" s="2">
        <f t="shared" si="0"/>
        <v>441.25</v>
      </c>
      <c r="M111" s="2"/>
      <c r="N111" s="19">
        <f t="shared" si="1"/>
        <v>-0.41796120183381957</v>
      </c>
      <c r="O111" s="11"/>
      <c r="P111" s="2">
        <f>-1312.37</f>
        <v>-1312.37</v>
      </c>
      <c r="Q111" s="2"/>
      <c r="R111" s="19"/>
      <c r="S111" s="2"/>
      <c r="T111" s="2">
        <f>-3569.16</f>
        <v>-3569.16</v>
      </c>
      <c r="U111" s="2"/>
      <c r="V111" s="19"/>
      <c r="W111" s="2"/>
      <c r="X111" s="2">
        <f t="shared" si="2"/>
        <v>2256.79</v>
      </c>
      <c r="Y111" s="2"/>
      <c r="Z111" s="19">
        <f t="shared" si="3"/>
        <v>-0.63230283876318238</v>
      </c>
    </row>
    <row r="112" spans="1:26" s="24" customFormat="1" hidden="1" outlineLevel="1" x14ac:dyDescent="0.25">
      <c r="A112" s="44"/>
      <c r="B112" s="11" t="str">
        <f>CONCATENATE("          ", "4303", " - ", "SALES RETURN NON-TAXABLE-RENTA")</f>
        <v xml:space="preserve">          4303 - SALES RETURN NON-TAXABLE-RENTA</v>
      </c>
      <c r="C112" s="11"/>
      <c r="D112" s="2">
        <f>0</f>
        <v>0</v>
      </c>
      <c r="E112" s="2"/>
      <c r="F112" s="19"/>
      <c r="G112" s="2"/>
      <c r="H112" s="2">
        <f>0</f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-184.99</f>
        <v>-184.99</v>
      </c>
      <c r="Q112" s="2"/>
      <c r="R112" s="19"/>
      <c r="S112" s="2"/>
      <c r="T112" s="2">
        <f>-509.85</f>
        <v>-509.85</v>
      </c>
      <c r="U112" s="2"/>
      <c r="V112" s="19"/>
      <c r="W112" s="2"/>
      <c r="X112" s="2">
        <f t="shared" si="2"/>
        <v>324.86</v>
      </c>
      <c r="Y112" s="2"/>
      <c r="Z112" s="19">
        <f t="shared" si="3"/>
        <v>-0.63716779444934779</v>
      </c>
    </row>
    <row r="113" spans="1:26" s="24" customFormat="1" hidden="1" outlineLevel="1" x14ac:dyDescent="0.25">
      <c r="A113" s="44"/>
      <c r="B113" s="11" t="str">
        <f>CONCATENATE("          ", "4304", " - ", "SALES RETURN NON TAXABLE-DIGIT")</f>
        <v xml:space="preserve">          4304 - SALES RETURN NON TAXABLE-DIGIT</v>
      </c>
      <c r="C113" s="11"/>
      <c r="D113" s="2">
        <f>-4312.43</f>
        <v>-4312.43</v>
      </c>
      <c r="E113" s="2"/>
      <c r="F113" s="19"/>
      <c r="G113" s="2"/>
      <c r="H113" s="2">
        <f>-540.96</f>
        <v>-540.96</v>
      </c>
      <c r="I113" s="2"/>
      <c r="J113" s="19"/>
      <c r="K113" s="2"/>
      <c r="L113" s="2">
        <f t="shared" si="0"/>
        <v>-3771.4700000000003</v>
      </c>
      <c r="M113" s="2"/>
      <c r="N113" s="19">
        <f t="shared" si="1"/>
        <v>6.9718093759242832</v>
      </c>
      <c r="O113" s="11"/>
      <c r="P113" s="2">
        <f>-17742.75</f>
        <v>-17742.75</v>
      </c>
      <c r="Q113" s="2"/>
      <c r="R113" s="19"/>
      <c r="S113" s="2"/>
      <c r="T113" s="2">
        <f>-4284.71</f>
        <v>-4284.71</v>
      </c>
      <c r="U113" s="2"/>
      <c r="V113" s="19"/>
      <c r="W113" s="2"/>
      <c r="X113" s="2">
        <f t="shared" si="2"/>
        <v>-13458.04</v>
      </c>
      <c r="Y113" s="2"/>
      <c r="Z113" s="19">
        <f t="shared" si="3"/>
        <v>3.1409453615297185</v>
      </c>
    </row>
    <row r="114" spans="1:26" s="24" customFormat="1" hidden="1" outlineLevel="1" x14ac:dyDescent="0.25">
      <c r="A114" s="44"/>
      <c r="B114" s="11" t="str">
        <f>CONCATENATE("          ", "4311", " - ", "SALES RETURN NON TAXABLE-NO VA")</f>
        <v xml:space="preserve">          4311 - SALES RETURN NON TAXABLE-NO VA</v>
      </c>
      <c r="C114" s="11"/>
      <c r="D114" s="2">
        <f>-237.35</f>
        <v>-237.35</v>
      </c>
      <c r="E114" s="2"/>
      <c r="F114" s="19"/>
      <c r="G114" s="2"/>
      <c r="H114" s="2">
        <f>-139.77</f>
        <v>-139.77000000000001</v>
      </c>
      <c r="I114" s="2"/>
      <c r="J114" s="19"/>
      <c r="K114" s="2"/>
      <c r="L114" s="2">
        <f t="shared" si="0"/>
        <v>-97.579999999999984</v>
      </c>
      <c r="M114" s="2"/>
      <c r="N114" s="19">
        <f t="shared" si="1"/>
        <v>0.69814695571295682</v>
      </c>
      <c r="O114" s="11"/>
      <c r="P114" s="2">
        <f>-625.31</f>
        <v>-625.30999999999995</v>
      </c>
      <c r="Q114" s="2"/>
      <c r="R114" s="19"/>
      <c r="S114" s="2"/>
      <c r="T114" s="2">
        <f>-749.03</f>
        <v>-749.03</v>
      </c>
      <c r="U114" s="2"/>
      <c r="V114" s="19"/>
      <c r="W114" s="2"/>
      <c r="X114" s="2">
        <f t="shared" si="2"/>
        <v>123.72000000000003</v>
      </c>
      <c r="Y114" s="2"/>
      <c r="Z114" s="19">
        <f t="shared" si="3"/>
        <v>-0.16517362455442378</v>
      </c>
    </row>
    <row r="115" spans="1:26" s="24" customFormat="1" hidden="1" outlineLevel="1" x14ac:dyDescent="0.25">
      <c r="A115" s="44"/>
      <c r="B115" s="11" t="str">
        <f>CONCATENATE("          ", "4326", " - ", "SALES RETURN NON TAXABLE-WRITI")</f>
        <v xml:space="preserve">          4326 - SALES RETURN NON TAXABLE-WRITI</v>
      </c>
      <c r="C115" s="11"/>
      <c r="D115" s="2">
        <f t="shared" ref="D115:D116" si="13">0</f>
        <v>0</v>
      </c>
      <c r="E115" s="2"/>
      <c r="F115" s="19"/>
      <c r="G115" s="2"/>
      <c r="H115" s="2">
        <f>-6.69</f>
        <v>-6.69</v>
      </c>
      <c r="I115" s="2"/>
      <c r="J115" s="19"/>
      <c r="K115" s="2"/>
      <c r="L115" s="2">
        <f t="shared" si="0"/>
        <v>6.69</v>
      </c>
      <c r="M115" s="2"/>
      <c r="N115" s="19">
        <f t="shared" si="1"/>
        <v>-1</v>
      </c>
      <c r="O115" s="11"/>
      <c r="P115" s="2">
        <f>0</f>
        <v>0</v>
      </c>
      <c r="Q115" s="2"/>
      <c r="R115" s="19"/>
      <c r="S115" s="2"/>
      <c r="T115" s="2">
        <f>-14.77</f>
        <v>-14.77</v>
      </c>
      <c r="U115" s="2"/>
      <c r="V115" s="19"/>
      <c r="W115" s="2"/>
      <c r="X115" s="2">
        <f t="shared" si="2"/>
        <v>14.77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 t="shared" si="13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-21.87</f>
        <v>-21.87</v>
      </c>
      <c r="Q116" s="2"/>
      <c r="R116" s="19"/>
      <c r="S116" s="2"/>
      <c r="T116" s="2">
        <f>0</f>
        <v>0</v>
      </c>
      <c r="U116" s="2"/>
      <c r="V116" s="19"/>
      <c r="W116" s="2"/>
      <c r="X116" s="2">
        <f t="shared" si="2"/>
        <v>-21.87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"4340", " - ", "SALES RETURN NON TAXABLE-LOGO")</f>
        <v xml:space="preserve">          4340 - SALES RETURN NON TAXABLE-LOGO</v>
      </c>
      <c r="C117" s="11"/>
      <c r="D117" s="2">
        <f>-216.75</f>
        <v>-216.75</v>
      </c>
      <c r="E117" s="2"/>
      <c r="F117" s="19"/>
      <c r="G117" s="2"/>
      <c r="H117" s="2">
        <f>-194.09</f>
        <v>-194.09</v>
      </c>
      <c r="I117" s="2"/>
      <c r="J117" s="19"/>
      <c r="K117" s="2"/>
      <c r="L117" s="2">
        <f t="shared" si="0"/>
        <v>-22.659999999999997</v>
      </c>
      <c r="M117" s="2"/>
      <c r="N117" s="19">
        <f t="shared" si="1"/>
        <v>0.1167499613581328</v>
      </c>
      <c r="O117" s="11"/>
      <c r="P117" s="2">
        <f>-931.65</f>
        <v>-931.65</v>
      </c>
      <c r="Q117" s="2"/>
      <c r="R117" s="19"/>
      <c r="S117" s="2"/>
      <c r="T117" s="2">
        <f>-495.68</f>
        <v>-495.68</v>
      </c>
      <c r="U117" s="2"/>
      <c r="V117" s="19"/>
      <c r="W117" s="2"/>
      <c r="X117" s="2">
        <f t="shared" si="2"/>
        <v>-435.96999999999997</v>
      </c>
      <c r="Y117" s="2"/>
      <c r="Z117" s="19">
        <f t="shared" si="3"/>
        <v>0.8795392188508715</v>
      </c>
    </row>
    <row r="118" spans="1:26" s="24" customFormat="1" hidden="1" outlineLevel="1" x14ac:dyDescent="0.25">
      <c r="A118" s="44"/>
      <c r="B118" s="11" t="str">
        <f>CONCATENATE("          ", "4341", " - ", "SALES RETURN NON TAXABLE-LOGO")</f>
        <v xml:space="preserve">          4341 - SALES RETURN NON TAXABLE-LOGO</v>
      </c>
      <c r="C118" s="11"/>
      <c r="D118" s="2">
        <f>-9.95</f>
        <v>-9.9499999999999993</v>
      </c>
      <c r="E118" s="2"/>
      <c r="F118" s="19"/>
      <c r="G118" s="2"/>
      <c r="H118" s="2">
        <f>-23.9</f>
        <v>-23.9</v>
      </c>
      <c r="I118" s="2"/>
      <c r="J118" s="19"/>
      <c r="K118" s="2"/>
      <c r="L118" s="2">
        <f t="shared" si="0"/>
        <v>13.95</v>
      </c>
      <c r="M118" s="2"/>
      <c r="N118" s="19">
        <f t="shared" si="1"/>
        <v>-0.58368200836820083</v>
      </c>
      <c r="O118" s="11"/>
      <c r="P118" s="2">
        <f>-30.8</f>
        <v>-30.8</v>
      </c>
      <c r="Q118" s="2"/>
      <c r="R118" s="19"/>
      <c r="S118" s="2"/>
      <c r="T118" s="2">
        <f>-142.75</f>
        <v>-142.75</v>
      </c>
      <c r="U118" s="2"/>
      <c r="V118" s="19"/>
      <c r="W118" s="2"/>
      <c r="X118" s="2">
        <f t="shared" si="2"/>
        <v>111.95</v>
      </c>
      <c r="Y118" s="2"/>
      <c r="Z118" s="19">
        <f t="shared" si="3"/>
        <v>-0.78423817863397549</v>
      </c>
    </row>
    <row r="119" spans="1:26" s="24" customFormat="1" hidden="1" outlineLevel="1" x14ac:dyDescent="0.25">
      <c r="A119" s="44"/>
      <c r="B119" s="11" t="str">
        <f>CONCATENATE("          ", "4342", " - ", "SALES RETURN NON TAXABLE-EVERY")</f>
        <v xml:space="preserve">          4342 - SALES RETURN NON TAXABLE-EVERY</v>
      </c>
      <c r="C119" s="11"/>
      <c r="D119" s="2">
        <f>-39.42</f>
        <v>-39.42</v>
      </c>
      <c r="E119" s="2"/>
      <c r="F119" s="19"/>
      <c r="G119" s="2"/>
      <c r="H119" s="2">
        <f>-14.95</f>
        <v>-14.95</v>
      </c>
      <c r="I119" s="2"/>
      <c r="J119" s="19"/>
      <c r="K119" s="2"/>
      <c r="L119" s="2">
        <f t="shared" si="0"/>
        <v>-24.470000000000002</v>
      </c>
      <c r="M119" s="2"/>
      <c r="N119" s="19">
        <f t="shared" si="1"/>
        <v>1.6367892976588632</v>
      </c>
      <c r="O119" s="11"/>
      <c r="P119" s="2">
        <f>-149.22</f>
        <v>-149.22</v>
      </c>
      <c r="Q119" s="2"/>
      <c r="R119" s="19"/>
      <c r="S119" s="2"/>
      <c r="T119" s="2">
        <f>-83.7</f>
        <v>-83.7</v>
      </c>
      <c r="U119" s="2"/>
      <c r="V119" s="19"/>
      <c r="W119" s="2"/>
      <c r="X119" s="2">
        <f t="shared" si="2"/>
        <v>-65.52</v>
      </c>
      <c r="Y119" s="2"/>
      <c r="Z119" s="19">
        <f t="shared" si="3"/>
        <v>0.78279569892473111</v>
      </c>
    </row>
    <row r="120" spans="1:26" s="24" customFormat="1" hidden="1" outlineLevel="1" x14ac:dyDescent="0.25">
      <c r="A120" s="44"/>
      <c r="B120" s="11" t="str">
        <f>CONCATENATE("          ", "4346", " - ", "SALES RETURN NON TAXABLE-COIN-")</f>
        <v xml:space="preserve">          4346 - SALES RETURN NON TAXABLE-COIN-</v>
      </c>
      <c r="C120" s="11"/>
      <c r="D120" s="2">
        <f t="shared" ref="D120:D122" si="14">0</f>
        <v>0</v>
      </c>
      <c r="E120" s="2"/>
      <c r="F120" s="19"/>
      <c r="G120" s="2"/>
      <c r="H120" s="2">
        <f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-8.15</f>
        <v>-8.15</v>
      </c>
      <c r="Q120" s="2"/>
      <c r="R120" s="19"/>
      <c r="S120" s="2"/>
      <c r="T120" s="2">
        <f>0</f>
        <v>0</v>
      </c>
      <c r="U120" s="2"/>
      <c r="V120" s="19"/>
      <c r="W120" s="2"/>
      <c r="X120" s="2">
        <f t="shared" si="2"/>
        <v>-8.15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"4381", " - ", "SALES RETURN NON TAXABLE-ELECT")</f>
        <v xml:space="preserve">          4381 - SALES RETURN NON TAXABLE-ELECT</v>
      </c>
      <c r="C121" s="11"/>
      <c r="D121" s="2">
        <f t="shared" si="14"/>
        <v>0</v>
      </c>
      <c r="E121" s="2"/>
      <c r="F121" s="19"/>
      <c r="G121" s="2"/>
      <c r="H121" s="2">
        <f>-79.95</f>
        <v>-79.95</v>
      </c>
      <c r="I121" s="2"/>
      <c r="J121" s="19"/>
      <c r="K121" s="2"/>
      <c r="L121" s="2">
        <f t="shared" si="0"/>
        <v>79.95</v>
      </c>
      <c r="M121" s="2"/>
      <c r="N121" s="19">
        <f t="shared" si="1"/>
        <v>-1</v>
      </c>
      <c r="O121" s="11"/>
      <c r="P121" s="2">
        <f>-1279.84</f>
        <v>-1279.8399999999999</v>
      </c>
      <c r="Q121" s="2"/>
      <c r="R121" s="19"/>
      <c r="S121" s="2"/>
      <c r="T121" s="2">
        <f>-89.94</f>
        <v>-89.94</v>
      </c>
      <c r="U121" s="2"/>
      <c r="V121" s="19"/>
      <c r="W121" s="2"/>
      <c r="X121" s="2">
        <f t="shared" si="2"/>
        <v>-1189.8999999999999</v>
      </c>
      <c r="Y121" s="2"/>
      <c r="Z121" s="19">
        <f t="shared" si="3"/>
        <v>13.229931065154545</v>
      </c>
    </row>
    <row r="122" spans="1:26" s="24" customFormat="1" hidden="1" outlineLevel="1" x14ac:dyDescent="0.25">
      <c r="A122" s="44"/>
      <c r="B122" s="11" t="str">
        <f>CONCATENATE("          ", "4383", " - ", "SALES RETURN NON TAXABLE-COMPU")</f>
        <v xml:space="preserve">          4383 - SALES RETURN NON TAXABLE-COMPU</v>
      </c>
      <c r="C122" s="11"/>
      <c r="D122" s="2">
        <f t="shared" si="14"/>
        <v>0</v>
      </c>
      <c r="E122" s="2"/>
      <c r="F122" s="19"/>
      <c r="G122" s="2"/>
      <c r="H122" s="2">
        <f>-64.97</f>
        <v>-64.97</v>
      </c>
      <c r="I122" s="2"/>
      <c r="J122" s="19"/>
      <c r="K122" s="2"/>
      <c r="L122" s="2">
        <f t="shared" si="0"/>
        <v>64.97</v>
      </c>
      <c r="M122" s="2"/>
      <c r="N122" s="19">
        <f t="shared" si="1"/>
        <v>-1</v>
      </c>
      <c r="O122" s="11"/>
      <c r="P122" s="2">
        <f>-49.98</f>
        <v>-49.98</v>
      </c>
      <c r="Q122" s="2"/>
      <c r="R122" s="19"/>
      <c r="S122" s="2"/>
      <c r="T122" s="2">
        <f>-118.94</f>
        <v>-118.94</v>
      </c>
      <c r="U122" s="2"/>
      <c r="V122" s="19"/>
      <c r="W122" s="2"/>
      <c r="X122" s="2">
        <f t="shared" si="2"/>
        <v>68.960000000000008</v>
      </c>
      <c r="Y122" s="2"/>
      <c r="Z122" s="19">
        <f t="shared" si="3"/>
        <v>-0.57978812846813532</v>
      </c>
    </row>
    <row r="123" spans="1:26" s="24" customFormat="1" hidden="1" outlineLevel="1" x14ac:dyDescent="0.25">
      <c r="A123" s="44"/>
      <c r="B123" s="11" t="str">
        <f>CONCATENATE("          ", "4386", " - ", "SALES RETURN NON TAXABLE-COMPU")</f>
        <v xml:space="preserve">          4386 - SALES RETURN NON TAXABLE-COMPU</v>
      </c>
      <c r="C123" s="11"/>
      <c r="D123" s="2">
        <f>-49.99</f>
        <v>-49.99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-49.99</v>
      </c>
      <c r="M123" s="2"/>
      <c r="N123" s="19">
        <f t="shared" si="1"/>
        <v>0</v>
      </c>
      <c r="O123" s="11"/>
      <c r="P123" s="2">
        <f>-104.96</f>
        <v>-104.96</v>
      </c>
      <c r="Q123" s="2"/>
      <c r="R123" s="19"/>
      <c r="S123" s="2"/>
      <c r="T123" s="2">
        <f>-49.99</f>
        <v>-49.99</v>
      </c>
      <c r="U123" s="2"/>
      <c r="V123" s="19"/>
      <c r="W123" s="2"/>
      <c r="X123" s="2">
        <f t="shared" si="2"/>
        <v>-54.969999999999992</v>
      </c>
      <c r="Y123" s="2"/>
      <c r="Z123" s="19">
        <f t="shared" si="3"/>
        <v>1.0996199239847968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collapsed="1" x14ac:dyDescent="0.25">
      <c r="A125" s="10"/>
      <c r="B125" s="29" t="s">
        <v>8</v>
      </c>
      <c r="C125" s="10"/>
      <c r="D125" s="4">
        <f>SUM(OSRRefD16x_0)</f>
        <v>1370784.8599999996</v>
      </c>
      <c r="E125" s="4"/>
      <c r="F125" s="12">
        <f t="shared" ref="F125:F182" si="15">IF(D$12=0,0,D125/D$12)</f>
        <v>0.57389722878387295</v>
      </c>
      <c r="G125" s="4"/>
      <c r="H125" s="4">
        <f>SUM(OSRRefH16x_0)</f>
        <v>1921656.64</v>
      </c>
      <c r="I125" s="4"/>
      <c r="J125" s="12">
        <f t="shared" ref="J125:J182" si="16">IF(H$12=0,0,H125/H$12)</f>
        <v>0.6650157993005481</v>
      </c>
      <c r="K125" s="4"/>
      <c r="L125" s="4">
        <f t="shared" ref="L125:L182" si="17">+D125-H125</f>
        <v>-550871.78000000026</v>
      </c>
      <c r="M125" s="4"/>
      <c r="N125" s="12">
        <f t="shared" ref="N125:N182" si="18">IF(H125=0,0,L125/H125)</f>
        <v>-0.28666504126356324</v>
      </c>
      <c r="O125" s="10"/>
      <c r="P125" s="4">
        <f>SUM(OSRRefP16x_0)</f>
        <v>5998258.6700000027</v>
      </c>
      <c r="Q125" s="4"/>
      <c r="R125" s="12">
        <f t="shared" ref="R125:R182" si="19">IF(P$12=0,0,P125/P$12)</f>
        <v>0.63225280724952893</v>
      </c>
      <c r="S125" s="4"/>
      <c r="T125" s="4">
        <f>SUM(OSRRefT16x_0)</f>
        <v>6790452.5700000012</v>
      </c>
      <c r="U125" s="4"/>
      <c r="V125" s="12">
        <f t="shared" ref="V125:V182" si="20">IF(T$12=0,0,T125/T$12)</f>
        <v>0.65643994214058043</v>
      </c>
      <c r="W125" s="4"/>
      <c r="X125" s="4">
        <f t="shared" ref="X125:X182" si="21">+P125-T125</f>
        <v>-792193.89999999851</v>
      </c>
      <c r="Y125" s="4"/>
      <c r="Z125" s="12">
        <f t="shared" ref="Z125:Z182" si="22">IF(T125=0,0,X125/T125)</f>
        <v>-0.11666290160097509</v>
      </c>
    </row>
    <row r="126" spans="1:26" s="24" customFormat="1" hidden="1" outlineLevel="1" x14ac:dyDescent="0.25">
      <c r="A126" s="44"/>
      <c r="B126" s="11" t="str">
        <f>CONCATENATE("          ", "5001", " - ", "PURCHASES @ COST-NEW TEXT")</f>
        <v xml:space="preserve">          5001 - PURCHASES @ COST-NEW TEXT</v>
      </c>
      <c r="C126" s="11"/>
      <c r="D126" s="2">
        <v>890224.90999999992</v>
      </c>
      <c r="E126" s="2"/>
      <c r="F126" s="19">
        <f t="shared" si="15"/>
        <v>0.37270444382014312</v>
      </c>
      <c r="G126" s="2"/>
      <c r="H126" s="2">
        <v>795267.40999999992</v>
      </c>
      <c r="I126" s="2"/>
      <c r="J126" s="19">
        <f t="shared" si="16"/>
        <v>0.27521326198983537</v>
      </c>
      <c r="K126" s="2"/>
      <c r="L126" s="2">
        <f t="shared" si="17"/>
        <v>94957.5</v>
      </c>
      <c r="M126" s="2"/>
      <c r="N126" s="19">
        <f t="shared" si="18"/>
        <v>0.11940323318416884</v>
      </c>
      <c r="O126" s="11"/>
      <c r="P126" s="2">
        <v>2627294.66</v>
      </c>
      <c r="Q126" s="2"/>
      <c r="R126" s="19">
        <f t="shared" si="19"/>
        <v>0.27693277593456905</v>
      </c>
      <c r="S126" s="2"/>
      <c r="T126" s="2">
        <v>2950999.91</v>
      </c>
      <c r="U126" s="2"/>
      <c r="V126" s="19">
        <f t="shared" si="20"/>
        <v>0.28527615651651</v>
      </c>
      <c r="W126" s="2"/>
      <c r="X126" s="2">
        <f t="shared" si="21"/>
        <v>-323705.25</v>
      </c>
      <c r="Y126" s="2"/>
      <c r="Z126" s="19">
        <f t="shared" si="22"/>
        <v>-0.10969341235933823</v>
      </c>
    </row>
    <row r="127" spans="1:26" s="24" customFormat="1" hidden="1" outlineLevel="1" x14ac:dyDescent="0.25">
      <c r="A127" s="44"/>
      <c r="B127" s="11" t="str">
        <f>CONCATENATE("          ", "5002", " - ", "PURCHASES @ COST-USED TEXT")</f>
        <v xml:space="preserve">          5002 - PURCHASES @ COST-USED TEXT</v>
      </c>
      <c r="C127" s="11"/>
      <c r="D127" s="2">
        <v>260084.68000000002</v>
      </c>
      <c r="E127" s="2"/>
      <c r="F127" s="19">
        <f t="shared" si="15"/>
        <v>0.10888789441483941</v>
      </c>
      <c r="G127" s="2"/>
      <c r="H127" s="2">
        <v>169941.1</v>
      </c>
      <c r="I127" s="2"/>
      <c r="J127" s="19">
        <f t="shared" si="16"/>
        <v>5.8810462856941179E-2</v>
      </c>
      <c r="K127" s="2"/>
      <c r="L127" s="2">
        <f t="shared" si="17"/>
        <v>90143.580000000016</v>
      </c>
      <c r="M127" s="2"/>
      <c r="N127" s="19">
        <f t="shared" si="18"/>
        <v>0.53044013484672048</v>
      </c>
      <c r="O127" s="11"/>
      <c r="P127" s="2">
        <v>512607.53</v>
      </c>
      <c r="Q127" s="2"/>
      <c r="R127" s="19">
        <f t="shared" si="19"/>
        <v>5.4031939549507121E-2</v>
      </c>
      <c r="S127" s="2"/>
      <c r="T127" s="2">
        <v>422304.25</v>
      </c>
      <c r="U127" s="2"/>
      <c r="V127" s="19">
        <f t="shared" si="20"/>
        <v>4.0824580479430571E-2</v>
      </c>
      <c r="W127" s="2"/>
      <c r="X127" s="2">
        <f t="shared" si="21"/>
        <v>90303.280000000028</v>
      </c>
      <c r="Y127" s="2"/>
      <c r="Z127" s="19">
        <f t="shared" si="22"/>
        <v>0.21383464646638065</v>
      </c>
    </row>
    <row r="128" spans="1:26" s="24" customFormat="1" hidden="1" outlineLevel="1" x14ac:dyDescent="0.25">
      <c r="A128" s="44"/>
      <c r="B128" s="11" t="str">
        <f>CONCATENATE("          ", "5003", " - ", "PURCHASES @ COST-RENTAL TEXT")</f>
        <v xml:space="preserve">          5003 - PURCHASES @ COST-RENTAL TEXT</v>
      </c>
      <c r="C128" s="11"/>
      <c r="D128" s="2"/>
      <c r="E128" s="2"/>
      <c r="F128" s="19">
        <f t="shared" si="15"/>
        <v>0</v>
      </c>
      <c r="G128" s="2"/>
      <c r="H128" s="2">
        <v>45275.65</v>
      </c>
      <c r="I128" s="2"/>
      <c r="J128" s="19">
        <f t="shared" si="16"/>
        <v>1.5668263490402668E-2</v>
      </c>
      <c r="K128" s="2"/>
      <c r="L128" s="2">
        <f t="shared" si="17"/>
        <v>-45275.65</v>
      </c>
      <c r="M128" s="2"/>
      <c r="N128" s="19">
        <f t="shared" si="18"/>
        <v>-1</v>
      </c>
      <c r="O128" s="11"/>
      <c r="P128" s="2">
        <v>-78.400000000000006</v>
      </c>
      <c r="Q128" s="2"/>
      <c r="R128" s="19">
        <f t="shared" si="19"/>
        <v>-8.263835025367962E-6</v>
      </c>
      <c r="S128" s="2"/>
      <c r="T128" s="2">
        <v>53419.4</v>
      </c>
      <c r="U128" s="2"/>
      <c r="V128" s="19">
        <f t="shared" si="20"/>
        <v>5.1641076178203116E-3</v>
      </c>
      <c r="W128" s="2"/>
      <c r="X128" s="2">
        <f t="shared" si="21"/>
        <v>-53497.8</v>
      </c>
      <c r="Y128" s="2"/>
      <c r="Z128" s="19">
        <f t="shared" si="22"/>
        <v>-1.0014676316094901</v>
      </c>
    </row>
    <row r="129" spans="1:26" s="24" customFormat="1" hidden="1" outlineLevel="1" x14ac:dyDescent="0.25">
      <c r="A129" s="44"/>
      <c r="B129" s="11" t="str">
        <f>CONCATENATE("          ", "5004", " - ", "PURCHASES @ COST-DIGITAL TEXT")</f>
        <v xml:space="preserve">          5004 - PURCHASES @ COST-DIGITAL TEXT</v>
      </c>
      <c r="C129" s="11"/>
      <c r="D129" s="2">
        <v>119541.49999999999</v>
      </c>
      <c r="E129" s="2"/>
      <c r="F129" s="19">
        <f t="shared" si="15"/>
        <v>5.0047631525976549E-2</v>
      </c>
      <c r="G129" s="2"/>
      <c r="H129" s="2">
        <v>121328.07999999999</v>
      </c>
      <c r="I129" s="2"/>
      <c r="J129" s="19">
        <f t="shared" si="16"/>
        <v>4.1987256422042624E-2</v>
      </c>
      <c r="K129" s="2"/>
      <c r="L129" s="2">
        <f t="shared" si="17"/>
        <v>-1786.5800000000017</v>
      </c>
      <c r="M129" s="2"/>
      <c r="N129" s="19">
        <f t="shared" si="18"/>
        <v>-1.4725197992088905E-2</v>
      </c>
      <c r="O129" s="11"/>
      <c r="P129" s="2">
        <v>473893.77</v>
      </c>
      <c r="Q129" s="2"/>
      <c r="R129" s="19">
        <f t="shared" si="19"/>
        <v>4.9951274678949865E-2</v>
      </c>
      <c r="S129" s="2"/>
      <c r="T129" s="2">
        <v>453923.02</v>
      </c>
      <c r="U129" s="2"/>
      <c r="V129" s="19">
        <f t="shared" si="20"/>
        <v>4.3881199067866763E-2</v>
      </c>
      <c r="W129" s="2"/>
      <c r="X129" s="2">
        <f t="shared" si="21"/>
        <v>19970.75</v>
      </c>
      <c r="Y129" s="2"/>
      <c r="Z129" s="19">
        <f t="shared" si="22"/>
        <v>4.3995896044223534E-2</v>
      </c>
    </row>
    <row r="130" spans="1:26" s="24" customFormat="1" hidden="1" outlineLevel="1" x14ac:dyDescent="0.25">
      <c r="A130" s="44"/>
      <c r="B130" s="11" t="str">
        <f>CONCATENATE("          ", "5011", " - ", "PURCHASES @ COST-NO VALUE TEXT")</f>
        <v xml:space="preserve">          5011 - PURCHASES @ COST-NO VALUE TEXT</v>
      </c>
      <c r="C130" s="11"/>
      <c r="D130" s="2">
        <v>573</v>
      </c>
      <c r="E130" s="2"/>
      <c r="F130" s="19">
        <f t="shared" si="15"/>
        <v>2.3989403566447272E-4</v>
      </c>
      <c r="G130" s="2"/>
      <c r="H130" s="2">
        <v>357</v>
      </c>
      <c r="I130" s="2"/>
      <c r="J130" s="19">
        <f t="shared" si="16"/>
        <v>1.2354477663100921E-4</v>
      </c>
      <c r="K130" s="2"/>
      <c r="L130" s="2">
        <f t="shared" si="17"/>
        <v>216</v>
      </c>
      <c r="M130" s="2"/>
      <c r="N130" s="19">
        <f t="shared" si="18"/>
        <v>0.60504201680672265</v>
      </c>
      <c r="O130" s="11"/>
      <c r="P130" s="2">
        <v>5475</v>
      </c>
      <c r="Q130" s="2"/>
      <c r="R130" s="19">
        <f t="shared" si="19"/>
        <v>5.7709817300879583E-4</v>
      </c>
      <c r="S130" s="2"/>
      <c r="T130" s="2">
        <v>2931</v>
      </c>
      <c r="U130" s="2"/>
      <c r="V130" s="19">
        <f t="shared" si="20"/>
        <v>2.8334274491722731E-4</v>
      </c>
      <c r="W130" s="2"/>
      <c r="X130" s="2">
        <f t="shared" si="21"/>
        <v>2544</v>
      </c>
      <c r="Y130" s="2"/>
      <c r="Z130" s="19">
        <f t="shared" si="22"/>
        <v>0.86796315250767653</v>
      </c>
    </row>
    <row r="131" spans="1:26" s="24" customFormat="1" hidden="1" outlineLevel="1" x14ac:dyDescent="0.25">
      <c r="A131" s="44"/>
      <c r="B131" s="11" t="str">
        <f>CONCATENATE("          ", "5013", " - ", "PURCHASES @ COST-TRADE BOOKS")</f>
        <v xml:space="preserve">          5013 - PURCHASES @ COST-TRADE BOOKS</v>
      </c>
      <c r="C131" s="11"/>
      <c r="D131" s="2">
        <v>-276.85000000000002</v>
      </c>
      <c r="E131" s="2"/>
      <c r="F131" s="19">
        <f t="shared" si="15"/>
        <v>-1.1590691758064447E-4</v>
      </c>
      <c r="G131" s="2"/>
      <c r="H131" s="2">
        <v>-29.05</v>
      </c>
      <c r="I131" s="2"/>
      <c r="J131" s="19">
        <f t="shared" si="16"/>
        <v>-1.00531533925233E-5</v>
      </c>
      <c r="K131" s="2"/>
      <c r="L131" s="2">
        <f t="shared" si="17"/>
        <v>-247.8</v>
      </c>
      <c r="M131" s="2"/>
      <c r="N131" s="19">
        <f t="shared" si="18"/>
        <v>8.5301204819277103</v>
      </c>
      <c r="O131" s="11"/>
      <c r="P131" s="2">
        <v>458.46</v>
      </c>
      <c r="Q131" s="2"/>
      <c r="R131" s="19">
        <f t="shared" si="19"/>
        <v>4.8324461807783109E-5</v>
      </c>
      <c r="S131" s="2"/>
      <c r="T131" s="2">
        <v>1377.89</v>
      </c>
      <c r="U131" s="2"/>
      <c r="V131" s="19">
        <f t="shared" si="20"/>
        <v>1.3320202483589163E-4</v>
      </c>
      <c r="W131" s="2"/>
      <c r="X131" s="2">
        <f t="shared" si="21"/>
        <v>-919.43000000000006</v>
      </c>
      <c r="Y131" s="2"/>
      <c r="Z131" s="19">
        <f t="shared" si="22"/>
        <v>-0.66727387527306248</v>
      </c>
    </row>
    <row r="132" spans="1:26" s="24" customFormat="1" hidden="1" outlineLevel="1" x14ac:dyDescent="0.25">
      <c r="A132" s="44"/>
      <c r="B132" s="11" t="str">
        <f>CONCATENATE("          ", "5014", " - ", "PURCHASES @ COST-REMAINDERS")</f>
        <v xml:space="preserve">          5014 - PURCHASES @ COST-REMAINDERS</v>
      </c>
      <c r="C132" s="11"/>
      <c r="D132" s="2">
        <v>69.599999999999994</v>
      </c>
      <c r="E132" s="2"/>
      <c r="F132" s="19">
        <f t="shared" si="15"/>
        <v>2.9138961400082548E-5</v>
      </c>
      <c r="G132" s="2"/>
      <c r="H132" s="2">
        <v>166.6</v>
      </c>
      <c r="I132" s="2"/>
      <c r="J132" s="19">
        <f t="shared" si="16"/>
        <v>5.7654229094470967E-5</v>
      </c>
      <c r="K132" s="2"/>
      <c r="L132" s="2">
        <f t="shared" si="17"/>
        <v>-97</v>
      </c>
      <c r="M132" s="2"/>
      <c r="N132" s="19">
        <f t="shared" si="18"/>
        <v>-0.5822328931572629</v>
      </c>
      <c r="O132" s="11"/>
      <c r="P132" s="2">
        <v>583.39</v>
      </c>
      <c r="Q132" s="2"/>
      <c r="R132" s="19">
        <f t="shared" si="19"/>
        <v>6.149284075828336E-5</v>
      </c>
      <c r="S132" s="2"/>
      <c r="T132" s="2">
        <v>954.56</v>
      </c>
      <c r="U132" s="2"/>
      <c r="V132" s="19">
        <f t="shared" si="20"/>
        <v>9.2278284062841527E-5</v>
      </c>
      <c r="W132" s="2"/>
      <c r="X132" s="2">
        <f t="shared" si="21"/>
        <v>-371.16999999999996</v>
      </c>
      <c r="Y132" s="2"/>
      <c r="Z132" s="19">
        <f t="shared" si="22"/>
        <v>-0.38883883674153535</v>
      </c>
    </row>
    <row r="133" spans="1:26" s="24" customFormat="1" hidden="1" outlineLevel="1" x14ac:dyDescent="0.25">
      <c r="A133" s="44"/>
      <c r="B133" s="11" t="str">
        <f>CONCATENATE("          ", "5017", " - ", "PURCHASES @ COST-DORM/HOUSEWAR")</f>
        <v xml:space="preserve">          5017 - PURCHASES @ COST-DORM/HOUSEWAR</v>
      </c>
      <c r="C133" s="11"/>
      <c r="D133" s="2"/>
      <c r="E133" s="2"/>
      <c r="F133" s="19">
        <f t="shared" si="15"/>
        <v>0</v>
      </c>
      <c r="G133" s="2"/>
      <c r="H133" s="2"/>
      <c r="I133" s="2"/>
      <c r="J133" s="19">
        <f t="shared" si="16"/>
        <v>0</v>
      </c>
      <c r="K133" s="2"/>
      <c r="L133" s="2">
        <f t="shared" si="17"/>
        <v>0</v>
      </c>
      <c r="M133" s="2"/>
      <c r="N133" s="19">
        <f t="shared" si="18"/>
        <v>0</v>
      </c>
      <c r="O133" s="11"/>
      <c r="P133" s="2">
        <v>0</v>
      </c>
      <c r="Q133" s="2"/>
      <c r="R133" s="19">
        <f t="shared" si="19"/>
        <v>0</v>
      </c>
      <c r="S133" s="2"/>
      <c r="T133" s="2">
        <v>239.9</v>
      </c>
      <c r="U133" s="2"/>
      <c r="V133" s="19">
        <f t="shared" si="20"/>
        <v>2.3191376494589847E-5</v>
      </c>
      <c r="W133" s="2"/>
      <c r="X133" s="2">
        <f t="shared" si="21"/>
        <v>-239.9</v>
      </c>
      <c r="Y133" s="2"/>
      <c r="Z133" s="19">
        <f t="shared" si="22"/>
        <v>-1</v>
      </c>
    </row>
    <row r="134" spans="1:26" s="24" customFormat="1" hidden="1" outlineLevel="1" x14ac:dyDescent="0.25">
      <c r="A134" s="44"/>
      <c r="B134" s="11" t="str">
        <f>CONCATENATE("          ", "5018", " - ", "PURCHASES @ COST-STUDY GUIDES")</f>
        <v xml:space="preserve">          5018 - PURCHASES @ COST-STUDY GUIDES</v>
      </c>
      <c r="C134" s="11"/>
      <c r="D134" s="2">
        <v>1032.75</v>
      </c>
      <c r="E134" s="2"/>
      <c r="F134" s="19">
        <f t="shared" si="15"/>
        <v>4.3237445956803528E-4</v>
      </c>
      <c r="G134" s="2"/>
      <c r="H134" s="2">
        <v>-1051.22</v>
      </c>
      <c r="I134" s="2"/>
      <c r="J134" s="19">
        <f t="shared" si="16"/>
        <v>-3.6378918792730956E-4</v>
      </c>
      <c r="K134" s="2"/>
      <c r="L134" s="2">
        <f t="shared" si="17"/>
        <v>2083.9700000000003</v>
      </c>
      <c r="M134" s="2"/>
      <c r="N134" s="19">
        <f t="shared" si="18"/>
        <v>-1.9824299385475925</v>
      </c>
      <c r="O134" s="11"/>
      <c r="P134" s="2">
        <v>2031.15</v>
      </c>
      <c r="Q134" s="2"/>
      <c r="R134" s="19">
        <f t="shared" si="19"/>
        <v>2.1409551673183847E-4</v>
      </c>
      <c r="S134" s="2"/>
      <c r="T134" s="2">
        <v>1034.55</v>
      </c>
      <c r="U134" s="2"/>
      <c r="V134" s="19">
        <f t="shared" si="20"/>
        <v>1.0001099855138776E-4</v>
      </c>
      <c r="W134" s="2"/>
      <c r="X134" s="2">
        <f t="shared" si="21"/>
        <v>996.60000000000014</v>
      </c>
      <c r="Y134" s="2"/>
      <c r="Z134" s="19">
        <f t="shared" si="22"/>
        <v>0.96331738437001613</v>
      </c>
    </row>
    <row r="135" spans="1:26" s="24" customFormat="1" hidden="1" outlineLevel="1" x14ac:dyDescent="0.25">
      <c r="A135" s="44"/>
      <c r="B135" s="11" t="str">
        <f>CONCATENATE("          ", "5025", " - ", "PURCHASES @ COST-TEST FORMS")</f>
        <v xml:space="preserve">          5025 - PURCHASES @ COST-TEST FORMS</v>
      </c>
      <c r="C135" s="11"/>
      <c r="D135" s="2">
        <v>880</v>
      </c>
      <c r="E135" s="2"/>
      <c r="F135" s="19">
        <f t="shared" si="15"/>
        <v>3.684236498861012E-4</v>
      </c>
      <c r="G135" s="2"/>
      <c r="H135" s="2">
        <v>1316.92</v>
      </c>
      <c r="I135" s="2"/>
      <c r="J135" s="19">
        <f t="shared" si="16"/>
        <v>4.5573833961038844E-4</v>
      </c>
      <c r="K135" s="2"/>
      <c r="L135" s="2">
        <f t="shared" si="17"/>
        <v>-436.92000000000007</v>
      </c>
      <c r="M135" s="2"/>
      <c r="N135" s="19">
        <f t="shared" si="18"/>
        <v>-0.33177413965920483</v>
      </c>
      <c r="O135" s="11"/>
      <c r="P135" s="2">
        <v>22978.390000000003</v>
      </c>
      <c r="Q135" s="2"/>
      <c r="R135" s="19">
        <f t="shared" si="19"/>
        <v>2.4220615319970017E-3</v>
      </c>
      <c r="S135" s="2"/>
      <c r="T135" s="2">
        <v>16316.070000000002</v>
      </c>
      <c r="U135" s="2"/>
      <c r="V135" s="19">
        <f t="shared" si="20"/>
        <v>1.5772910474451129E-3</v>
      </c>
      <c r="W135" s="2"/>
      <c r="X135" s="2">
        <f t="shared" si="21"/>
        <v>6662.3200000000015</v>
      </c>
      <c r="Y135" s="2"/>
      <c r="Z135" s="19">
        <f t="shared" si="22"/>
        <v>0.40832872131585612</v>
      </c>
    </row>
    <row r="136" spans="1:26" s="24" customFormat="1" hidden="1" outlineLevel="1" x14ac:dyDescent="0.25">
      <c r="A136" s="44"/>
      <c r="B136" s="11" t="str">
        <f>CONCATENATE("          ", "5026", " - ", "PURCHASES @ COST-WRITING INSTR")</f>
        <v xml:space="preserve">          5026 - PURCHASES @ COST-WRITING INSTR</v>
      </c>
      <c r="C136" s="11"/>
      <c r="D136" s="2">
        <v>9201.3799999999992</v>
      </c>
      <c r="E136" s="2"/>
      <c r="F136" s="19">
        <f t="shared" si="15"/>
        <v>3.8522795495329249E-3</v>
      </c>
      <c r="G136" s="2"/>
      <c r="H136" s="2">
        <v>9855.14</v>
      </c>
      <c r="I136" s="2"/>
      <c r="J136" s="19">
        <f t="shared" si="16"/>
        <v>3.4105071987880226E-3</v>
      </c>
      <c r="K136" s="2"/>
      <c r="L136" s="2">
        <f t="shared" si="17"/>
        <v>-653.76000000000022</v>
      </c>
      <c r="M136" s="2"/>
      <c r="N136" s="19">
        <f t="shared" si="18"/>
        <v>-6.6336957161440654E-2</v>
      </c>
      <c r="O136" s="11"/>
      <c r="P136" s="2">
        <v>43496.15</v>
      </c>
      <c r="Q136" s="2"/>
      <c r="R136" s="19">
        <f t="shared" si="19"/>
        <v>4.5847577530441158E-3</v>
      </c>
      <c r="S136" s="2"/>
      <c r="T136" s="2">
        <v>41629.360000000001</v>
      </c>
      <c r="U136" s="2"/>
      <c r="V136" s="19">
        <f t="shared" si="20"/>
        <v>4.0243524843218787E-3</v>
      </c>
      <c r="W136" s="2"/>
      <c r="X136" s="2">
        <f t="shared" si="21"/>
        <v>1866.7900000000009</v>
      </c>
      <c r="Y136" s="2"/>
      <c r="Z136" s="19">
        <f t="shared" si="22"/>
        <v>4.4843110727621101E-2</v>
      </c>
    </row>
    <row r="137" spans="1:26" s="24" customFormat="1" hidden="1" outlineLevel="1" x14ac:dyDescent="0.25">
      <c r="A137" s="44"/>
      <c r="B137" s="11" t="str">
        <f>CONCATENATE("          ", "5027", " - ", "PURCHASES @ COST-SCHOOL SUPPLI")</f>
        <v xml:space="preserve">          5027 - PURCHASES @ COST-SCHOOL SUPPLI</v>
      </c>
      <c r="C137" s="11"/>
      <c r="D137" s="2">
        <v>42814.02</v>
      </c>
      <c r="E137" s="2"/>
      <c r="F137" s="19">
        <f t="shared" si="15"/>
        <v>1.7924656266700607E-2</v>
      </c>
      <c r="G137" s="2"/>
      <c r="H137" s="2">
        <v>15619.089999999998</v>
      </c>
      <c r="I137" s="2"/>
      <c r="J137" s="19">
        <f t="shared" si="16"/>
        <v>5.4052016392986827E-3</v>
      </c>
      <c r="K137" s="2"/>
      <c r="L137" s="2">
        <f t="shared" si="17"/>
        <v>27194.93</v>
      </c>
      <c r="M137" s="2"/>
      <c r="N137" s="19">
        <f t="shared" si="18"/>
        <v>1.7411340865568994</v>
      </c>
      <c r="O137" s="11"/>
      <c r="P137" s="2">
        <v>120814.02</v>
      </c>
      <c r="Q137" s="2"/>
      <c r="R137" s="19">
        <f t="shared" si="19"/>
        <v>1.2734529719789611E-2</v>
      </c>
      <c r="S137" s="2"/>
      <c r="T137" s="2">
        <v>113525.58</v>
      </c>
      <c r="U137" s="2"/>
      <c r="V137" s="19">
        <f t="shared" si="20"/>
        <v>1.0974633045213336E-2</v>
      </c>
      <c r="W137" s="2"/>
      <c r="X137" s="2">
        <f t="shared" si="21"/>
        <v>7288.4400000000023</v>
      </c>
      <c r="Y137" s="2"/>
      <c r="Z137" s="19">
        <f t="shared" si="22"/>
        <v>6.4200861162744136E-2</v>
      </c>
    </row>
    <row r="138" spans="1:26" s="24" customFormat="1" hidden="1" outlineLevel="1" x14ac:dyDescent="0.25">
      <c r="A138" s="44"/>
      <c r="B138" s="11" t="str">
        <f>CONCATENATE("          ", "5028", " - ", "PURCHASES @ COST-ART/TECH")</f>
        <v xml:space="preserve">          5028 - PURCHASES @ COST-ART/TECH</v>
      </c>
      <c r="C138" s="11"/>
      <c r="D138" s="2">
        <v>32126.68</v>
      </c>
      <c r="E138" s="2"/>
      <c r="F138" s="19">
        <f t="shared" si="15"/>
        <v>1.345025989127592E-2</v>
      </c>
      <c r="G138" s="2"/>
      <c r="H138" s="2">
        <v>38426.899999999994</v>
      </c>
      <c r="I138" s="2"/>
      <c r="J138" s="19">
        <f t="shared" si="16"/>
        <v>1.3298159039557781E-2</v>
      </c>
      <c r="K138" s="2"/>
      <c r="L138" s="2">
        <f t="shared" si="17"/>
        <v>-6300.2199999999939</v>
      </c>
      <c r="M138" s="2"/>
      <c r="N138" s="19">
        <f t="shared" si="18"/>
        <v>-0.16395337641079544</v>
      </c>
      <c r="O138" s="11"/>
      <c r="P138" s="2">
        <v>135127.5</v>
      </c>
      <c r="Q138" s="2"/>
      <c r="R138" s="19">
        <f t="shared" si="19"/>
        <v>1.4243257237122567E-2</v>
      </c>
      <c r="S138" s="2"/>
      <c r="T138" s="2">
        <v>136220.42000000001</v>
      </c>
      <c r="U138" s="2"/>
      <c r="V138" s="19">
        <f t="shared" si="20"/>
        <v>1.316856626290603E-2</v>
      </c>
      <c r="W138" s="2"/>
      <c r="X138" s="2">
        <f t="shared" si="21"/>
        <v>-1092.9200000000128</v>
      </c>
      <c r="Y138" s="2"/>
      <c r="Z138" s="19">
        <f t="shared" si="22"/>
        <v>-8.0231730308863575E-3</v>
      </c>
    </row>
    <row r="139" spans="1:26" s="24" customFormat="1" hidden="1" outlineLevel="1" x14ac:dyDescent="0.25">
      <c r="A139" s="44"/>
      <c r="B139" s="11" t="str">
        <f>CONCATENATE("          ", "5031", " - ", "PURCHASES @ COST-FOOD")</f>
        <v xml:space="preserve">          5031 - PURCHASES @ COST-FOOD</v>
      </c>
      <c r="C139" s="11"/>
      <c r="D139" s="2">
        <v>2390.66</v>
      </c>
      <c r="E139" s="2"/>
      <c r="F139" s="19">
        <f t="shared" si="15"/>
        <v>1.000881457768985E-3</v>
      </c>
      <c r="G139" s="2"/>
      <c r="H139" s="2">
        <v>3763.6</v>
      </c>
      <c r="I139" s="2"/>
      <c r="J139" s="19">
        <f t="shared" si="16"/>
        <v>1.3024457180069084E-3</v>
      </c>
      <c r="K139" s="2"/>
      <c r="L139" s="2">
        <f t="shared" si="17"/>
        <v>-1372.94</v>
      </c>
      <c r="M139" s="2"/>
      <c r="N139" s="19">
        <f t="shared" si="18"/>
        <v>-0.36479434583909026</v>
      </c>
      <c r="O139" s="11"/>
      <c r="P139" s="2">
        <v>24900.390000000003</v>
      </c>
      <c r="Q139" s="2"/>
      <c r="R139" s="19">
        <f t="shared" si="19"/>
        <v>2.6246519773893136E-3</v>
      </c>
      <c r="S139" s="2"/>
      <c r="T139" s="2">
        <v>22897.390000000003</v>
      </c>
      <c r="U139" s="2"/>
      <c r="V139" s="19">
        <f t="shared" si="20"/>
        <v>2.2135139317776432E-3</v>
      </c>
      <c r="W139" s="2"/>
      <c r="X139" s="2">
        <f t="shared" si="21"/>
        <v>2003</v>
      </c>
      <c r="Y139" s="2"/>
      <c r="Z139" s="19">
        <f t="shared" si="22"/>
        <v>8.7477219019285596E-2</v>
      </c>
    </row>
    <row r="140" spans="1:26" s="24" customFormat="1" hidden="1" outlineLevel="1" x14ac:dyDescent="0.25">
      <c r="A140" s="44"/>
      <c r="B140" s="11" t="str">
        <f>CONCATENATE("          ", "5032", " - ", "PURCHASES @ COST-JUICE")</f>
        <v xml:space="preserve">          5032 - PURCHASES @ COST-JUICE</v>
      </c>
      <c r="C140" s="11"/>
      <c r="D140" s="2">
        <v>371.03</v>
      </c>
      <c r="E140" s="2"/>
      <c r="F140" s="19">
        <f t="shared" si="15"/>
        <v>1.5533662138322743E-4</v>
      </c>
      <c r="G140" s="2"/>
      <c r="H140" s="2">
        <v>423.28</v>
      </c>
      <c r="I140" s="2"/>
      <c r="J140" s="19">
        <f t="shared" si="16"/>
        <v>1.4648188530076633E-4</v>
      </c>
      <c r="K140" s="2"/>
      <c r="L140" s="2">
        <f t="shared" si="17"/>
        <v>-52.25</v>
      </c>
      <c r="M140" s="2"/>
      <c r="N140" s="19">
        <f t="shared" si="18"/>
        <v>-0.12344074844074845</v>
      </c>
      <c r="O140" s="11"/>
      <c r="P140" s="2">
        <v>5392.51</v>
      </c>
      <c r="Q140" s="2"/>
      <c r="R140" s="19">
        <f t="shared" si="19"/>
        <v>5.6840322720212993E-4</v>
      </c>
      <c r="S140" s="2"/>
      <c r="T140" s="2">
        <v>5993.53</v>
      </c>
      <c r="U140" s="2"/>
      <c r="V140" s="19">
        <f t="shared" si="20"/>
        <v>5.7940062843526085E-4</v>
      </c>
      <c r="W140" s="2"/>
      <c r="X140" s="2">
        <f t="shared" si="21"/>
        <v>-601.01999999999953</v>
      </c>
      <c r="Y140" s="2"/>
      <c r="Z140" s="19">
        <f t="shared" si="22"/>
        <v>-0.10027813325369182</v>
      </c>
    </row>
    <row r="141" spans="1:26" s="24" customFormat="1" hidden="1" outlineLevel="1" x14ac:dyDescent="0.25">
      <c r="A141" s="44"/>
      <c r="B141" s="11" t="str">
        <f>CONCATENATE("          ", "5033", " - ", "PURCHASES @ COST-CANDY")</f>
        <v xml:space="preserve">          5033 - PURCHASES @ COST-CANDY</v>
      </c>
      <c r="C141" s="11"/>
      <c r="D141" s="2">
        <v>805.69</v>
      </c>
      <c r="E141" s="2"/>
      <c r="F141" s="19">
        <f t="shared" si="15"/>
        <v>3.3731278463265105E-4</v>
      </c>
      <c r="G141" s="2"/>
      <c r="H141" s="2">
        <v>1164.18</v>
      </c>
      <c r="I141" s="2"/>
      <c r="J141" s="19">
        <f t="shared" si="16"/>
        <v>4.0288055478512137E-4</v>
      </c>
      <c r="K141" s="2"/>
      <c r="L141" s="2">
        <f t="shared" si="17"/>
        <v>-358.49</v>
      </c>
      <c r="M141" s="2"/>
      <c r="N141" s="19">
        <f t="shared" si="18"/>
        <v>-0.3079334810768094</v>
      </c>
      <c r="O141" s="11"/>
      <c r="P141" s="2">
        <v>7003.62</v>
      </c>
      <c r="Q141" s="2"/>
      <c r="R141" s="19">
        <f t="shared" si="19"/>
        <v>7.3822398291285157E-4</v>
      </c>
      <c r="S141" s="2"/>
      <c r="T141" s="2">
        <v>5746.05</v>
      </c>
      <c r="U141" s="2"/>
      <c r="V141" s="19">
        <f t="shared" si="20"/>
        <v>5.5547648564709454E-4</v>
      </c>
      <c r="W141" s="2"/>
      <c r="X141" s="2">
        <f t="shared" si="21"/>
        <v>1257.5699999999997</v>
      </c>
      <c r="Y141" s="2"/>
      <c r="Z141" s="19">
        <f t="shared" si="22"/>
        <v>0.21885817213564096</v>
      </c>
    </row>
    <row r="142" spans="1:26" s="24" customFormat="1" hidden="1" outlineLevel="1" x14ac:dyDescent="0.25">
      <c r="A142" s="44"/>
      <c r="B142" s="11" t="str">
        <f>CONCATENATE("          ", "5034", " - ", "PURCHASES @ COST-SODA")</f>
        <v xml:space="preserve">          5034 - PURCHASES @ COST-SODA</v>
      </c>
      <c r="C142" s="11"/>
      <c r="D142" s="2"/>
      <c r="E142" s="2"/>
      <c r="F142" s="19">
        <f t="shared" si="15"/>
        <v>0</v>
      </c>
      <c r="G142" s="2"/>
      <c r="H142" s="2">
        <v>243.38</v>
      </c>
      <c r="I142" s="2"/>
      <c r="J142" s="19">
        <f t="shared" si="16"/>
        <v>8.4225007665140116E-5</v>
      </c>
      <c r="K142" s="2"/>
      <c r="L142" s="2">
        <f t="shared" si="17"/>
        <v>-243.38</v>
      </c>
      <c r="M142" s="2"/>
      <c r="N142" s="19">
        <f t="shared" si="18"/>
        <v>-1</v>
      </c>
      <c r="O142" s="11"/>
      <c r="P142" s="2">
        <v>2124.16</v>
      </c>
      <c r="Q142" s="2"/>
      <c r="R142" s="19">
        <f t="shared" si="19"/>
        <v>2.2389933427915316E-4</v>
      </c>
      <c r="S142" s="2"/>
      <c r="T142" s="2">
        <v>2305.7199999999998</v>
      </c>
      <c r="U142" s="2"/>
      <c r="V142" s="19">
        <f t="shared" si="20"/>
        <v>2.228962926682188E-4</v>
      </c>
      <c r="W142" s="2"/>
      <c r="X142" s="2">
        <f t="shared" si="21"/>
        <v>-181.55999999999995</v>
      </c>
      <c r="Y142" s="2"/>
      <c r="Z142" s="19">
        <f t="shared" si="22"/>
        <v>-7.8743299273112063E-2</v>
      </c>
    </row>
    <row r="143" spans="1:26" s="24" customFormat="1" hidden="1" outlineLevel="1" x14ac:dyDescent="0.25">
      <c r="A143" s="44"/>
      <c r="B143" s="11" t="str">
        <f>CONCATENATE("          ", "5035", " - ", "PURCHASES @ COST-HEALTH &amp; BEAU")</f>
        <v xml:space="preserve">          5035 - PURCHASES @ COST-HEALTH &amp; BEAU</v>
      </c>
      <c r="C143" s="11"/>
      <c r="D143" s="2">
        <v>32.82</v>
      </c>
      <c r="E143" s="2"/>
      <c r="F143" s="19">
        <f t="shared" si="15"/>
        <v>1.3740527487797549E-5</v>
      </c>
      <c r="G143" s="2"/>
      <c r="H143" s="2">
        <v>74.38</v>
      </c>
      <c r="I143" s="2"/>
      <c r="J143" s="19">
        <f t="shared" si="16"/>
        <v>2.5740225450460686E-5</v>
      </c>
      <c r="K143" s="2"/>
      <c r="L143" s="2">
        <f t="shared" si="17"/>
        <v>-41.559999999999995</v>
      </c>
      <c r="M143" s="2"/>
      <c r="N143" s="19">
        <f t="shared" si="18"/>
        <v>-0.55875235278300617</v>
      </c>
      <c r="O143" s="11"/>
      <c r="P143" s="2">
        <v>857.2</v>
      </c>
      <c r="Q143" s="2"/>
      <c r="R143" s="19">
        <f t="shared" si="19"/>
        <v>9.035407377226298E-5</v>
      </c>
      <c r="S143" s="2"/>
      <c r="T143" s="2">
        <v>674.73</v>
      </c>
      <c r="U143" s="2"/>
      <c r="V143" s="19">
        <f t="shared" si="20"/>
        <v>6.522683393995251E-5</v>
      </c>
      <c r="W143" s="2"/>
      <c r="X143" s="2">
        <f t="shared" si="21"/>
        <v>182.47000000000003</v>
      </c>
      <c r="Y143" s="2"/>
      <c r="Z143" s="19">
        <f t="shared" si="22"/>
        <v>0.27043409956575226</v>
      </c>
    </row>
    <row r="144" spans="1:26" s="24" customFormat="1" hidden="1" outlineLevel="1" x14ac:dyDescent="0.25">
      <c r="A144" s="44"/>
      <c r="B144" s="11" t="str">
        <f>CONCATENATE("          ", "5037", " - ", "PURCHASES @ COST-WATER")</f>
        <v xml:space="preserve">          5037 - PURCHASES @ COST-WATER</v>
      </c>
      <c r="C144" s="11"/>
      <c r="D144" s="2"/>
      <c r="E144" s="2"/>
      <c r="F144" s="19">
        <f t="shared" si="15"/>
        <v>0</v>
      </c>
      <c r="G144" s="2"/>
      <c r="H144" s="2">
        <v>216.7</v>
      </c>
      <c r="I144" s="2"/>
      <c r="J144" s="19">
        <f t="shared" si="16"/>
        <v>7.4992025478822682E-5</v>
      </c>
      <c r="K144" s="2"/>
      <c r="L144" s="2">
        <f t="shared" si="17"/>
        <v>-216.7</v>
      </c>
      <c r="M144" s="2"/>
      <c r="N144" s="19">
        <f t="shared" si="18"/>
        <v>-1</v>
      </c>
      <c r="O144" s="11"/>
      <c r="P144" s="2">
        <v>3759.27</v>
      </c>
      <c r="Q144" s="2"/>
      <c r="R144" s="19">
        <f t="shared" si="19"/>
        <v>3.9624983540580377E-4</v>
      </c>
      <c r="S144" s="2"/>
      <c r="T144" s="2">
        <v>4112.79</v>
      </c>
      <c r="U144" s="2"/>
      <c r="V144" s="19">
        <f t="shared" si="20"/>
        <v>3.9758758371481523E-4</v>
      </c>
      <c r="W144" s="2"/>
      <c r="X144" s="2">
        <f t="shared" si="21"/>
        <v>-353.52</v>
      </c>
      <c r="Y144" s="2"/>
      <c r="Z144" s="19">
        <f t="shared" si="22"/>
        <v>-8.5956248677904773E-2</v>
      </c>
    </row>
    <row r="145" spans="1:26" s="24" customFormat="1" hidden="1" outlineLevel="1" x14ac:dyDescent="0.25">
      <c r="A145" s="44"/>
      <c r="B145" s="11" t="str">
        <f>CONCATENATE("          ", "5040", " - ", "PURCHASES @ COST-LOGO CLOTHING")</f>
        <v xml:space="preserve">          5040 - PURCHASES @ COST-LOGO CLOTHING</v>
      </c>
      <c r="C145" s="11"/>
      <c r="D145" s="2">
        <v>94500.17</v>
      </c>
      <c r="E145" s="2"/>
      <c r="F145" s="19">
        <f t="shared" si="15"/>
        <v>3.9563747211655731E-2</v>
      </c>
      <c r="G145" s="2"/>
      <c r="H145" s="2">
        <v>107805.70999999999</v>
      </c>
      <c r="I145" s="2"/>
      <c r="J145" s="19">
        <f t="shared" si="16"/>
        <v>3.730765367366206E-2</v>
      </c>
      <c r="K145" s="2"/>
      <c r="L145" s="2">
        <f t="shared" si="17"/>
        <v>-13305.539999999994</v>
      </c>
      <c r="M145" s="2"/>
      <c r="N145" s="19">
        <f t="shared" si="18"/>
        <v>-0.12342147739669813</v>
      </c>
      <c r="O145" s="11"/>
      <c r="P145" s="2">
        <v>810739.01</v>
      </c>
      <c r="Q145" s="2"/>
      <c r="R145" s="19">
        <f t="shared" si="19"/>
        <v>8.5456803919262067E-2</v>
      </c>
      <c r="S145" s="2"/>
      <c r="T145" s="2">
        <v>718263.82</v>
      </c>
      <c r="U145" s="2"/>
      <c r="V145" s="19">
        <f t="shared" si="20"/>
        <v>6.9435292505470245E-2</v>
      </c>
      <c r="W145" s="2"/>
      <c r="X145" s="2">
        <f t="shared" si="21"/>
        <v>92475.190000000061</v>
      </c>
      <c r="Y145" s="2"/>
      <c r="Z145" s="19">
        <f t="shared" si="22"/>
        <v>0.12874822234537731</v>
      </c>
    </row>
    <row r="146" spans="1:26" s="24" customFormat="1" hidden="1" outlineLevel="1" x14ac:dyDescent="0.25">
      <c r="A146" s="44"/>
      <c r="B146" s="11" t="str">
        <f>CONCATENATE("          ", "5041", " - ", "PURCHASES @ COST-LOGO GIFTS")</f>
        <v xml:space="preserve">          5041 - PURCHASES @ COST-LOGO GIFTS</v>
      </c>
      <c r="C146" s="11"/>
      <c r="D146" s="2">
        <v>14612.2</v>
      </c>
      <c r="E146" s="2"/>
      <c r="F146" s="19">
        <f t="shared" si="15"/>
        <v>6.1175909737110094E-3</v>
      </c>
      <c r="G146" s="2"/>
      <c r="H146" s="2">
        <v>9492.9599999999991</v>
      </c>
      <c r="I146" s="2"/>
      <c r="J146" s="19">
        <f t="shared" si="16"/>
        <v>3.2851698116725635E-3</v>
      </c>
      <c r="K146" s="2"/>
      <c r="L146" s="2">
        <f t="shared" si="17"/>
        <v>5119.2400000000016</v>
      </c>
      <c r="M146" s="2"/>
      <c r="N146" s="19">
        <f t="shared" si="18"/>
        <v>0.53926699364581776</v>
      </c>
      <c r="O146" s="11"/>
      <c r="P146" s="2">
        <v>124015.87000000001</v>
      </c>
      <c r="Q146" s="2"/>
      <c r="R146" s="19">
        <f t="shared" si="19"/>
        <v>1.3072024109789285E-2</v>
      </c>
      <c r="S146" s="2"/>
      <c r="T146" s="2">
        <v>114936.31</v>
      </c>
      <c r="U146" s="2"/>
      <c r="V146" s="19">
        <f t="shared" si="20"/>
        <v>1.111100974618129E-2</v>
      </c>
      <c r="W146" s="2"/>
      <c r="X146" s="2">
        <f t="shared" si="21"/>
        <v>9079.5600000000122</v>
      </c>
      <c r="Y146" s="2"/>
      <c r="Z146" s="19">
        <f t="shared" si="22"/>
        <v>7.8996445944715055E-2</v>
      </c>
    </row>
    <row r="147" spans="1:26" s="24" customFormat="1" hidden="1" outlineLevel="1" x14ac:dyDescent="0.25">
      <c r="A147" s="44"/>
      <c r="B147" s="11" t="str">
        <f>CONCATENATE("          ", "5042", " - ", "PURCHASES @ COST-EVERYDAY GIFT")</f>
        <v xml:space="preserve">          5042 - PURCHASES @ COST-EVERYDAY GIFT</v>
      </c>
      <c r="C147" s="11"/>
      <c r="D147" s="2">
        <v>2972.86</v>
      </c>
      <c r="E147" s="2"/>
      <c r="F147" s="19">
        <f t="shared" si="15"/>
        <v>1.2446271952277215E-3</v>
      </c>
      <c r="G147" s="2"/>
      <c r="H147" s="2">
        <v>18027.329999999998</v>
      </c>
      <c r="I147" s="2"/>
      <c r="J147" s="19">
        <f t="shared" si="16"/>
        <v>6.238606325219863E-3</v>
      </c>
      <c r="K147" s="2"/>
      <c r="L147" s="2">
        <f t="shared" si="17"/>
        <v>-15054.469999999998</v>
      </c>
      <c r="M147" s="2"/>
      <c r="N147" s="19">
        <f t="shared" si="18"/>
        <v>-0.83509149718788078</v>
      </c>
      <c r="O147" s="11"/>
      <c r="P147" s="2">
        <v>91360.97</v>
      </c>
      <c r="Q147" s="2"/>
      <c r="R147" s="19">
        <f t="shared" si="19"/>
        <v>9.6299997938468322E-3</v>
      </c>
      <c r="S147" s="2"/>
      <c r="T147" s="2">
        <v>98601.319999999992</v>
      </c>
      <c r="U147" s="2"/>
      <c r="V147" s="19">
        <f t="shared" si="20"/>
        <v>9.5318896831326858E-3</v>
      </c>
      <c r="W147" s="2"/>
      <c r="X147" s="2">
        <f t="shared" si="21"/>
        <v>-7240.3499999999913</v>
      </c>
      <c r="Y147" s="2"/>
      <c r="Z147" s="19">
        <f t="shared" si="22"/>
        <v>-7.3430558536133103E-2</v>
      </c>
    </row>
    <row r="148" spans="1:26" s="24" customFormat="1" hidden="1" outlineLevel="1" x14ac:dyDescent="0.25">
      <c r="A148" s="44"/>
      <c r="B148" s="11" t="str">
        <f>CONCATENATE("          ", "5043", " - ", "PURCHASES @ COST-CARDS")</f>
        <v xml:space="preserve">          5043 - PURCHASES @ COST-CARDS</v>
      </c>
      <c r="C148" s="11"/>
      <c r="D148" s="2">
        <v>3909.52</v>
      </c>
      <c r="E148" s="2"/>
      <c r="F148" s="19">
        <f t="shared" si="15"/>
        <v>1.6367723042076255E-3</v>
      </c>
      <c r="G148" s="2"/>
      <c r="H148" s="2">
        <v>150.46</v>
      </c>
      <c r="I148" s="2"/>
      <c r="J148" s="19">
        <f t="shared" si="16"/>
        <v>5.2068759361069044E-5</v>
      </c>
      <c r="K148" s="2"/>
      <c r="L148" s="2">
        <f t="shared" si="17"/>
        <v>3759.06</v>
      </c>
      <c r="M148" s="2"/>
      <c r="N148" s="19">
        <f t="shared" si="18"/>
        <v>24.983783065266515</v>
      </c>
      <c r="O148" s="11"/>
      <c r="P148" s="2">
        <v>10694.41</v>
      </c>
      <c r="Q148" s="2"/>
      <c r="R148" s="19">
        <f t="shared" si="19"/>
        <v>1.1272556113985381E-3</v>
      </c>
      <c r="S148" s="2"/>
      <c r="T148" s="2">
        <v>2694.52</v>
      </c>
      <c r="U148" s="2"/>
      <c r="V148" s="19">
        <f t="shared" si="20"/>
        <v>2.6048198329388172E-4</v>
      </c>
      <c r="W148" s="2"/>
      <c r="X148" s="2">
        <f t="shared" si="21"/>
        <v>7999.8899999999994</v>
      </c>
      <c r="Y148" s="2"/>
      <c r="Z148" s="19">
        <f t="shared" si="22"/>
        <v>2.968948087228894</v>
      </c>
    </row>
    <row r="149" spans="1:26" s="24" customFormat="1" hidden="1" outlineLevel="1" x14ac:dyDescent="0.25">
      <c r="A149" s="44"/>
      <c r="B149" s="11" t="str">
        <f>CONCATENATE("          ", "5044", " - ", "PURCHASES @ COST-ACCESSORIES")</f>
        <v xml:space="preserve">          5044 - PURCHASES @ COST-ACCESSORIES</v>
      </c>
      <c r="C149" s="11"/>
      <c r="D149" s="2">
        <v>3179.63</v>
      </c>
      <c r="E149" s="2"/>
      <c r="F149" s="19">
        <f t="shared" si="15"/>
        <v>1.3311941930538001E-3</v>
      </c>
      <c r="G149" s="2"/>
      <c r="H149" s="2">
        <v>4714.93</v>
      </c>
      <c r="I149" s="2"/>
      <c r="J149" s="19">
        <f t="shared" si="16"/>
        <v>1.6316665929435416E-3</v>
      </c>
      <c r="K149" s="2"/>
      <c r="L149" s="2">
        <f t="shared" si="17"/>
        <v>-1535.3000000000002</v>
      </c>
      <c r="M149" s="2"/>
      <c r="N149" s="19">
        <f t="shared" si="18"/>
        <v>-0.32562519485973285</v>
      </c>
      <c r="O149" s="11"/>
      <c r="P149" s="2">
        <v>20867.21</v>
      </c>
      <c r="Q149" s="2"/>
      <c r="R149" s="19">
        <f t="shared" si="19"/>
        <v>2.1995303683636299E-3</v>
      </c>
      <c r="S149" s="2"/>
      <c r="T149" s="2">
        <v>25689.96</v>
      </c>
      <c r="U149" s="2"/>
      <c r="V149" s="19">
        <f t="shared" si="20"/>
        <v>2.4834745080906766E-3</v>
      </c>
      <c r="W149" s="2"/>
      <c r="X149" s="2">
        <f t="shared" si="21"/>
        <v>-4822.75</v>
      </c>
      <c r="Y149" s="2"/>
      <c r="Z149" s="19">
        <f t="shared" si="22"/>
        <v>-0.18772898050444611</v>
      </c>
    </row>
    <row r="150" spans="1:26" s="24" customFormat="1" hidden="1" outlineLevel="1" x14ac:dyDescent="0.25">
      <c r="A150" s="44"/>
      <c r="B150" s="11" t="str">
        <f>CONCATENATE("          ", "5045", " - ", "PURCHASES @ COST-SPECIAL ORDER")</f>
        <v xml:space="preserve">          5045 - PURCHASES @ COST-SPECIAL ORDER</v>
      </c>
      <c r="C150" s="11"/>
      <c r="D150" s="2">
        <v>6835.65</v>
      </c>
      <c r="E150" s="2"/>
      <c r="F150" s="19">
        <f t="shared" si="15"/>
        <v>2.861835366299918E-3</v>
      </c>
      <c r="G150" s="2"/>
      <c r="H150" s="2">
        <v>3857.1</v>
      </c>
      <c r="I150" s="2"/>
      <c r="J150" s="19">
        <f t="shared" si="16"/>
        <v>1.3348026833150299E-3</v>
      </c>
      <c r="K150" s="2"/>
      <c r="L150" s="2">
        <f t="shared" si="17"/>
        <v>2978.5499999999997</v>
      </c>
      <c r="M150" s="2"/>
      <c r="N150" s="19">
        <f t="shared" si="18"/>
        <v>0.7722252469471883</v>
      </c>
      <c r="O150" s="11"/>
      <c r="P150" s="2">
        <v>48016.23</v>
      </c>
      <c r="Q150" s="2"/>
      <c r="R150" s="19">
        <f t="shared" si="19"/>
        <v>5.0612015721954581E-3</v>
      </c>
      <c r="S150" s="2"/>
      <c r="T150" s="2">
        <v>55529.409999999996</v>
      </c>
      <c r="U150" s="2"/>
      <c r="V150" s="19">
        <f t="shared" si="20"/>
        <v>5.3680844261460702E-3</v>
      </c>
      <c r="W150" s="2"/>
      <c r="X150" s="2">
        <f t="shared" si="21"/>
        <v>-7513.179999999993</v>
      </c>
      <c r="Y150" s="2"/>
      <c r="Z150" s="19">
        <f t="shared" si="22"/>
        <v>-0.13530091531676627</v>
      </c>
    </row>
    <row r="151" spans="1:26" s="24" customFormat="1" hidden="1" outlineLevel="1" x14ac:dyDescent="0.25">
      <c r="A151" s="44"/>
      <c r="B151" s="11" t="str">
        <f>CONCATENATE("          ", "5081", " - ", "PURCHASES @ COST-ELECTRONICS")</f>
        <v xml:space="preserve">          5081 - PURCHASES @ COST-ELECTRONICS</v>
      </c>
      <c r="C151" s="11"/>
      <c r="D151" s="2">
        <v>32465.820000000003</v>
      </c>
      <c r="E151" s="2"/>
      <c r="F151" s="19">
        <f t="shared" si="15"/>
        <v>1.3592245341983163E-2</v>
      </c>
      <c r="G151" s="2"/>
      <c r="H151" s="2">
        <v>9183.98</v>
      </c>
      <c r="I151" s="2"/>
      <c r="J151" s="19">
        <f t="shared" si="16"/>
        <v>3.1782430187217254E-3</v>
      </c>
      <c r="K151" s="2"/>
      <c r="L151" s="2">
        <f t="shared" si="17"/>
        <v>23281.840000000004</v>
      </c>
      <c r="M151" s="2"/>
      <c r="N151" s="19">
        <f t="shared" si="18"/>
        <v>2.5350490745842222</v>
      </c>
      <c r="O151" s="11"/>
      <c r="P151" s="2">
        <v>221646.8</v>
      </c>
      <c r="Q151" s="2"/>
      <c r="R151" s="19">
        <f t="shared" si="19"/>
        <v>2.3362915677305196E-2</v>
      </c>
      <c r="S151" s="2"/>
      <c r="T151" s="2">
        <v>172396.33000000002</v>
      </c>
      <c r="U151" s="2"/>
      <c r="V151" s="19">
        <f t="shared" si="20"/>
        <v>1.6665728200565045E-2</v>
      </c>
      <c r="W151" s="2"/>
      <c r="X151" s="2">
        <f t="shared" si="21"/>
        <v>49250.469999999972</v>
      </c>
      <c r="Y151" s="2"/>
      <c r="Z151" s="19">
        <f t="shared" si="22"/>
        <v>0.28568166155277186</v>
      </c>
    </row>
    <row r="152" spans="1:26" s="24" customFormat="1" hidden="1" outlineLevel="1" x14ac:dyDescent="0.25">
      <c r="A152" s="44"/>
      <c r="B152" s="11" t="str">
        <f>CONCATENATE("          ", "5082", " - ", "PURCHASES @ COST-COMPUTER HARD")</f>
        <v xml:space="preserve">          5082 - PURCHASES @ COST-COMPUTER HARD</v>
      </c>
      <c r="C152" s="11"/>
      <c r="D152" s="2">
        <v>159135.18</v>
      </c>
      <c r="E152" s="2"/>
      <c r="F152" s="19">
        <f t="shared" si="15"/>
        <v>6.6624049819183739E-2</v>
      </c>
      <c r="G152" s="2"/>
      <c r="H152" s="2">
        <v>202589.77000000002</v>
      </c>
      <c r="I152" s="2"/>
      <c r="J152" s="19">
        <f t="shared" si="16"/>
        <v>7.0108985664923074E-2</v>
      </c>
      <c r="K152" s="2"/>
      <c r="L152" s="2">
        <f t="shared" si="17"/>
        <v>-43454.590000000026</v>
      </c>
      <c r="M152" s="2"/>
      <c r="N152" s="19">
        <f t="shared" si="18"/>
        <v>-0.21449548020119685</v>
      </c>
      <c r="O152" s="11"/>
      <c r="P152" s="2">
        <v>1167662.76</v>
      </c>
      <c r="Q152" s="2"/>
      <c r="R152" s="19">
        <f t="shared" si="19"/>
        <v>0.12307872976920695</v>
      </c>
      <c r="S152" s="2"/>
      <c r="T152" s="2">
        <v>1148536.0799999998</v>
      </c>
      <c r="U152" s="2"/>
      <c r="V152" s="19">
        <f t="shared" si="20"/>
        <v>0.11103014859900108</v>
      </c>
      <c r="W152" s="2"/>
      <c r="X152" s="2">
        <f t="shared" si="21"/>
        <v>19126.680000000168</v>
      </c>
      <c r="Y152" s="2"/>
      <c r="Z152" s="19">
        <f t="shared" si="22"/>
        <v>1.6653094607180449E-2</v>
      </c>
    </row>
    <row r="153" spans="1:26" s="24" customFormat="1" hidden="1" outlineLevel="1" x14ac:dyDescent="0.25">
      <c r="A153" s="44"/>
      <c r="B153" s="11" t="str">
        <f>CONCATENATE("          ", "5083", " - ", "PURCHASES @ COST-COMPUTER EQUI")</f>
        <v xml:space="preserve">          5083 - PURCHASES @ COST-COMPUTER EQUI</v>
      </c>
      <c r="C153" s="11"/>
      <c r="D153" s="2">
        <v>10530</v>
      </c>
      <c r="E153" s="2"/>
      <c r="F153" s="19">
        <f t="shared" si="15"/>
        <v>4.408523901478007E-3</v>
      </c>
      <c r="G153" s="2"/>
      <c r="H153" s="2">
        <v>7173.55</v>
      </c>
      <c r="I153" s="2"/>
      <c r="J153" s="19">
        <f t="shared" si="16"/>
        <v>2.4825059731130986E-3</v>
      </c>
      <c r="K153" s="2"/>
      <c r="L153" s="2">
        <f t="shared" si="17"/>
        <v>3356.45</v>
      </c>
      <c r="M153" s="2"/>
      <c r="N153" s="19">
        <f t="shared" si="18"/>
        <v>0.46789246607328305</v>
      </c>
      <c r="O153" s="11"/>
      <c r="P153" s="2">
        <v>65360.780000000006</v>
      </c>
      <c r="Q153" s="2"/>
      <c r="R153" s="19">
        <f t="shared" si="19"/>
        <v>6.8894222327725739E-3</v>
      </c>
      <c r="S153" s="2"/>
      <c r="T153" s="2">
        <v>69223.87999999999</v>
      </c>
      <c r="U153" s="2"/>
      <c r="V153" s="19">
        <f t="shared" si="20"/>
        <v>6.691942740709912E-3</v>
      </c>
      <c r="W153" s="2"/>
      <c r="X153" s="2">
        <f t="shared" si="21"/>
        <v>-3863.099999999984</v>
      </c>
      <c r="Y153" s="2"/>
      <c r="Z153" s="19">
        <f t="shared" si="22"/>
        <v>-5.5805886639119111E-2</v>
      </c>
    </row>
    <row r="154" spans="1:26" s="24" customFormat="1" hidden="1" outlineLevel="1" x14ac:dyDescent="0.25">
      <c r="A154" s="44"/>
      <c r="B154" s="11" t="str">
        <f>CONCATENATE("          ", "5084", " - ", "PURCHASES @ COST-SOFTWARE LICE")</f>
        <v xml:space="preserve">          5084 - PURCHASES @ COST-SOFTWARE LICE</v>
      </c>
      <c r="C154" s="11"/>
      <c r="D154" s="2"/>
      <c r="E154" s="2"/>
      <c r="F154" s="19">
        <f t="shared" si="15"/>
        <v>0</v>
      </c>
      <c r="G154" s="2"/>
      <c r="H154" s="2"/>
      <c r="I154" s="2"/>
      <c r="J154" s="19">
        <f t="shared" si="16"/>
        <v>0</v>
      </c>
      <c r="K154" s="2"/>
      <c r="L154" s="2">
        <f t="shared" si="17"/>
        <v>0</v>
      </c>
      <c r="M154" s="2"/>
      <c r="N154" s="19">
        <f t="shared" si="18"/>
        <v>0</v>
      </c>
      <c r="O154" s="11"/>
      <c r="P154" s="2">
        <v>2728</v>
      </c>
      <c r="Q154" s="2"/>
      <c r="R154" s="19">
        <f t="shared" si="19"/>
        <v>2.8754772894392603E-4</v>
      </c>
      <c r="S154" s="2"/>
      <c r="T154" s="2">
        <v>1750</v>
      </c>
      <c r="U154" s="2"/>
      <c r="V154" s="19">
        <f t="shared" si="20"/>
        <v>1.6917427622147656E-4</v>
      </c>
      <c r="W154" s="2"/>
      <c r="X154" s="2">
        <f t="shared" si="21"/>
        <v>978</v>
      </c>
      <c r="Y154" s="2"/>
      <c r="Z154" s="19">
        <f t="shared" si="22"/>
        <v>0.55885714285714283</v>
      </c>
    </row>
    <row r="155" spans="1:26" s="24" customFormat="1" hidden="1" outlineLevel="1" x14ac:dyDescent="0.25">
      <c r="A155" s="44"/>
      <c r="B155" s="11" t="str">
        <f>CONCATENATE("          ", "5085", " - ", "PURCHASES @ COST-SOFTWARE")</f>
        <v xml:space="preserve">          5085 - PURCHASES @ COST-SOFTWARE</v>
      </c>
      <c r="C155" s="11"/>
      <c r="D155" s="2"/>
      <c r="E155" s="2"/>
      <c r="F155" s="19">
        <f t="shared" si="15"/>
        <v>0</v>
      </c>
      <c r="G155" s="2"/>
      <c r="H155" s="2">
        <v>2806.51</v>
      </c>
      <c r="I155" s="2"/>
      <c r="J155" s="19">
        <f t="shared" si="16"/>
        <v>9.7123151558177511E-4</v>
      </c>
      <c r="K155" s="2"/>
      <c r="L155" s="2">
        <f t="shared" si="17"/>
        <v>-2806.51</v>
      </c>
      <c r="M155" s="2"/>
      <c r="N155" s="19">
        <f t="shared" si="18"/>
        <v>-1</v>
      </c>
      <c r="O155" s="11"/>
      <c r="P155" s="2">
        <v>7860.66</v>
      </c>
      <c r="Q155" s="2"/>
      <c r="R155" s="19">
        <f t="shared" si="19"/>
        <v>8.2856119171567503E-4</v>
      </c>
      <c r="S155" s="2"/>
      <c r="T155" s="2">
        <v>9369.98</v>
      </c>
      <c r="U155" s="2"/>
      <c r="V155" s="19">
        <f t="shared" si="20"/>
        <v>9.0580547697697764E-4</v>
      </c>
      <c r="W155" s="2"/>
      <c r="X155" s="2">
        <f t="shared" si="21"/>
        <v>-1509.3199999999997</v>
      </c>
      <c r="Y155" s="2"/>
      <c r="Z155" s="19">
        <f t="shared" si="22"/>
        <v>-0.16108038651096371</v>
      </c>
    </row>
    <row r="156" spans="1:26" s="24" customFormat="1" hidden="1" outlineLevel="1" x14ac:dyDescent="0.25">
      <c r="A156" s="44"/>
      <c r="B156" s="11" t="str">
        <f>CONCATENATE("          ", "5086", " - ", "PURCHASES @ COST-COMPUTER SUPP")</f>
        <v xml:space="preserve">          5086 - PURCHASES @ COST-COMPUTER SUPP</v>
      </c>
      <c r="C156" s="11"/>
      <c r="D156" s="2">
        <v>4364.12</v>
      </c>
      <c r="E156" s="2"/>
      <c r="F156" s="19">
        <f t="shared" si="15"/>
        <v>1.8270966124328773E-3</v>
      </c>
      <c r="G156" s="2"/>
      <c r="H156" s="2">
        <v>5695.27</v>
      </c>
      <c r="I156" s="2"/>
      <c r="J156" s="19">
        <f t="shared" si="16"/>
        <v>1.9709267787206947E-3</v>
      </c>
      <c r="K156" s="2"/>
      <c r="L156" s="2">
        <f t="shared" si="17"/>
        <v>-1331.1500000000005</v>
      </c>
      <c r="M156" s="2"/>
      <c r="N156" s="19">
        <f t="shared" si="18"/>
        <v>-0.23372904181891296</v>
      </c>
      <c r="O156" s="11"/>
      <c r="P156" s="2">
        <v>25347.759999999998</v>
      </c>
      <c r="Q156" s="2"/>
      <c r="R156" s="19">
        <f t="shared" si="19"/>
        <v>2.6718074860028187E-3</v>
      </c>
      <c r="S156" s="2"/>
      <c r="T156" s="2">
        <v>30260.01</v>
      </c>
      <c r="U156" s="2"/>
      <c r="V156" s="19">
        <f t="shared" si="20"/>
        <v>2.9252658801169388E-3</v>
      </c>
      <c r="W156" s="2"/>
      <c r="X156" s="2">
        <f t="shared" si="21"/>
        <v>-4912.25</v>
      </c>
      <c r="Y156" s="2"/>
      <c r="Z156" s="19">
        <f t="shared" si="22"/>
        <v>-0.16233471172018782</v>
      </c>
    </row>
    <row r="157" spans="1:26" s="24" customFormat="1" hidden="1" outlineLevel="1" x14ac:dyDescent="0.25">
      <c r="A157" s="44"/>
      <c r="B157" s="11" t="str">
        <f>CONCATENATE("          ", "5088", " - ", "PURCHASES @ COST-MUSIC")</f>
        <v xml:space="preserve">          5088 - PURCHASES @ COST-MUSIC</v>
      </c>
      <c r="C157" s="11"/>
      <c r="D157" s="2"/>
      <c r="E157" s="2"/>
      <c r="F157" s="19">
        <f t="shared" si="15"/>
        <v>0</v>
      </c>
      <c r="G157" s="2"/>
      <c r="H157" s="2"/>
      <c r="I157" s="2"/>
      <c r="J157" s="19">
        <f t="shared" si="16"/>
        <v>0</v>
      </c>
      <c r="K157" s="2"/>
      <c r="L157" s="2">
        <f t="shared" si="17"/>
        <v>0</v>
      </c>
      <c r="M157" s="2"/>
      <c r="N157" s="19">
        <f t="shared" si="18"/>
        <v>0</v>
      </c>
      <c r="O157" s="11"/>
      <c r="P157" s="2">
        <v>88.75</v>
      </c>
      <c r="Q157" s="2"/>
      <c r="R157" s="19">
        <f t="shared" si="19"/>
        <v>9.3547877359873294E-6</v>
      </c>
      <c r="S157" s="2"/>
      <c r="T157" s="2">
        <v>0</v>
      </c>
      <c r="U157" s="2"/>
      <c r="V157" s="19">
        <f t="shared" si="20"/>
        <v>0</v>
      </c>
      <c r="W157" s="2"/>
      <c r="X157" s="2">
        <f t="shared" si="21"/>
        <v>88.75</v>
      </c>
      <c r="Y157" s="2"/>
      <c r="Z157" s="19">
        <f t="shared" si="22"/>
        <v>0</v>
      </c>
    </row>
    <row r="158" spans="1:26" s="24" customFormat="1" hidden="1" outlineLevel="1" x14ac:dyDescent="0.25">
      <c r="A158" s="44"/>
      <c r="B158" s="11" t="str">
        <f>CONCATENATE("          ", "5092", " - ", "PURCHASES @ COST-GRAD MERCH")</f>
        <v xml:space="preserve">          5092 - PURCHASES @ COST-GRAD MERCH</v>
      </c>
      <c r="C158" s="11"/>
      <c r="D158" s="2">
        <v>122.72</v>
      </c>
      <c r="E158" s="2"/>
      <c r="F158" s="19">
        <f t="shared" si="15"/>
        <v>5.1378352629570843E-5</v>
      </c>
      <c r="G158" s="2"/>
      <c r="H158" s="2">
        <v>-820</v>
      </c>
      <c r="I158" s="2"/>
      <c r="J158" s="19">
        <f t="shared" si="16"/>
        <v>-2.8377231607122568E-4</v>
      </c>
      <c r="K158" s="2"/>
      <c r="L158" s="2">
        <f t="shared" si="17"/>
        <v>942.72</v>
      </c>
      <c r="M158" s="2"/>
      <c r="N158" s="19">
        <f t="shared" si="18"/>
        <v>-1.149658536585366</v>
      </c>
      <c r="O158" s="11"/>
      <c r="P158" s="2">
        <v>2046.86</v>
      </c>
      <c r="Q158" s="2"/>
      <c r="R158" s="19">
        <f t="shared" si="19"/>
        <v>2.1575144591868195E-4</v>
      </c>
      <c r="S158" s="2"/>
      <c r="T158" s="2">
        <v>-2690.04</v>
      </c>
      <c r="U158" s="2"/>
      <c r="V158" s="19">
        <f t="shared" si="20"/>
        <v>-2.6004889714675475E-4</v>
      </c>
      <c r="W158" s="2"/>
      <c r="X158" s="2">
        <f t="shared" si="21"/>
        <v>4736.8999999999996</v>
      </c>
      <c r="Y158" s="2"/>
      <c r="Z158" s="19">
        <f t="shared" si="22"/>
        <v>-1.7609031835957829</v>
      </c>
    </row>
    <row r="159" spans="1:26" s="24" customFormat="1" hidden="1" outlineLevel="1" x14ac:dyDescent="0.25">
      <c r="A159" s="44"/>
      <c r="B159" s="11" t="str">
        <f>CONCATENATE("          ", "5095", " - ", "PURCHASES @ COST-CUSTOMER SERV")</f>
        <v xml:space="preserve">          5095 - PURCHASES @ COST-CUSTOMER SERV</v>
      </c>
      <c r="C159" s="11"/>
      <c r="D159" s="2"/>
      <c r="E159" s="2"/>
      <c r="F159" s="19">
        <f t="shared" si="15"/>
        <v>0</v>
      </c>
      <c r="G159" s="2"/>
      <c r="H159" s="2">
        <v>0</v>
      </c>
      <c r="I159" s="2"/>
      <c r="J159" s="19">
        <f t="shared" si="16"/>
        <v>0</v>
      </c>
      <c r="K159" s="2"/>
      <c r="L159" s="2">
        <f t="shared" si="17"/>
        <v>0</v>
      </c>
      <c r="M159" s="2"/>
      <c r="N159" s="19">
        <f t="shared" si="18"/>
        <v>0</v>
      </c>
      <c r="O159" s="11"/>
      <c r="P159" s="2">
        <v>0</v>
      </c>
      <c r="Q159" s="2"/>
      <c r="R159" s="19">
        <f t="shared" si="19"/>
        <v>0</v>
      </c>
      <c r="S159" s="2"/>
      <c r="T159" s="2">
        <v>0</v>
      </c>
      <c r="U159" s="2"/>
      <c r="V159" s="19">
        <f t="shared" si="20"/>
        <v>0</v>
      </c>
      <c r="W159" s="2"/>
      <c r="X159" s="2">
        <f t="shared" si="21"/>
        <v>0</v>
      </c>
      <c r="Y159" s="2"/>
      <c r="Z159" s="19">
        <f t="shared" si="22"/>
        <v>0</v>
      </c>
    </row>
    <row r="160" spans="1:26" s="24" customFormat="1" hidden="1" outlineLevel="1" x14ac:dyDescent="0.25">
      <c r="A160" s="44"/>
      <c r="B160" s="11" t="str">
        <f>CONCATENATE("          ", "5200", " - ", "PURCHASES OFFSET")</f>
        <v xml:space="preserve">          5200 - PURCHASES OFFSET</v>
      </c>
      <c r="C160" s="11"/>
      <c r="D160" s="2">
        <v>-1245332</v>
      </c>
      <c r="E160" s="2"/>
      <c r="F160" s="19">
        <f t="shared" si="15"/>
        <v>-0.52137472813631613</v>
      </c>
      <c r="G160" s="2"/>
      <c r="H160" s="2">
        <v>-929071</v>
      </c>
      <c r="I160" s="2"/>
      <c r="J160" s="19">
        <f t="shared" si="16"/>
        <v>-0.32151784081049961</v>
      </c>
      <c r="K160" s="2"/>
      <c r="L160" s="2">
        <f t="shared" si="17"/>
        <v>-316261</v>
      </c>
      <c r="M160" s="2"/>
      <c r="N160" s="19">
        <f t="shared" si="18"/>
        <v>0.34040563100129051</v>
      </c>
      <c r="O160" s="11"/>
      <c r="P160" s="2">
        <v>-5513495</v>
      </c>
      <c r="Q160" s="2"/>
      <c r="R160" s="19">
        <f t="shared" si="19"/>
        <v>-0.58115577924988682</v>
      </c>
      <c r="S160" s="2"/>
      <c r="T160" s="2">
        <v>-5324782</v>
      </c>
      <c r="U160" s="2"/>
      <c r="V160" s="19">
        <f t="shared" si="20"/>
        <v>-0.51475208050694088</v>
      </c>
      <c r="W160" s="2"/>
      <c r="X160" s="2">
        <f t="shared" si="21"/>
        <v>-188713</v>
      </c>
      <c r="Y160" s="2"/>
      <c r="Z160" s="19">
        <f t="shared" si="22"/>
        <v>3.5440511930817077E-2</v>
      </c>
    </row>
    <row r="161" spans="1:26" s="24" customFormat="1" hidden="1" outlineLevel="1" x14ac:dyDescent="0.25">
      <c r="A161" s="44"/>
      <c r="B161" s="11" t="str">
        <f>CONCATENATE("          ", "5300", " - ", "COG$ OFFSET")</f>
        <v xml:space="preserve">          5300 - COG$ OFFSET</v>
      </c>
      <c r="C161" s="11"/>
      <c r="D161" s="2">
        <v>914062</v>
      </c>
      <c r="E161" s="2"/>
      <c r="F161" s="19">
        <f t="shared" si="15"/>
        <v>0.38268415711612436</v>
      </c>
      <c r="G161" s="2"/>
      <c r="H161" s="2">
        <v>1257719</v>
      </c>
      <c r="I161" s="2"/>
      <c r="J161" s="19">
        <f t="shared" si="16"/>
        <v>0.43525101658144616</v>
      </c>
      <c r="K161" s="2"/>
      <c r="L161" s="2">
        <f t="shared" si="17"/>
        <v>-343657</v>
      </c>
      <c r="M161" s="2"/>
      <c r="N161" s="19">
        <f t="shared" si="18"/>
        <v>-0.27323829885689888</v>
      </c>
      <c r="O161" s="11"/>
      <c r="P161" s="2">
        <v>4834197.4700000007</v>
      </c>
      <c r="Q161" s="2"/>
      <c r="R161" s="19">
        <f t="shared" si="19"/>
        <v>0.50955370372616315</v>
      </c>
      <c r="S161" s="2"/>
      <c r="T161" s="2">
        <v>5336628</v>
      </c>
      <c r="U161" s="2"/>
      <c r="V161" s="19">
        <f t="shared" si="20"/>
        <v>0.51589724535043779</v>
      </c>
      <c r="W161" s="2"/>
      <c r="X161" s="2">
        <f t="shared" si="21"/>
        <v>-502430.52999999933</v>
      </c>
      <c r="Y161" s="2"/>
      <c r="Z161" s="19">
        <f t="shared" si="22"/>
        <v>-9.4147564716896018E-2</v>
      </c>
    </row>
    <row r="162" spans="1:26" s="24" customFormat="1" hidden="1" outlineLevel="1" x14ac:dyDescent="0.25">
      <c r="A162" s="44"/>
      <c r="B162" s="11" t="str">
        <f>CONCATENATE("          ", "5500", " - ", "FREIGHT-IN")</f>
        <v xml:space="preserve">          5500 - FREIGHT-IN</v>
      </c>
      <c r="C162" s="11"/>
      <c r="D162" s="2">
        <v>7.3</v>
      </c>
      <c r="E162" s="2"/>
      <c r="F162" s="19">
        <f t="shared" si="15"/>
        <v>3.0562416411006125E-6</v>
      </c>
      <c r="G162" s="2"/>
      <c r="H162" s="2">
        <v>156.58000000000001</v>
      </c>
      <c r="I162" s="2"/>
      <c r="J162" s="19">
        <f t="shared" si="16"/>
        <v>5.4186669817600629E-5</v>
      </c>
      <c r="K162" s="2"/>
      <c r="L162" s="2">
        <f t="shared" si="17"/>
        <v>-149.28</v>
      </c>
      <c r="M162" s="2"/>
      <c r="N162" s="19">
        <f t="shared" si="18"/>
        <v>-0.95337846468259035</v>
      </c>
      <c r="O162" s="11"/>
      <c r="P162" s="2">
        <v>122.53</v>
      </c>
      <c r="Q162" s="2"/>
      <c r="R162" s="19">
        <f t="shared" si="19"/>
        <v>1.2915404408907352E-5</v>
      </c>
      <c r="S162" s="2"/>
      <c r="T162" s="2">
        <v>181.16</v>
      </c>
      <c r="U162" s="2"/>
      <c r="V162" s="19">
        <f t="shared" si="20"/>
        <v>1.7512921074447254E-5</v>
      </c>
      <c r="W162" s="2"/>
      <c r="X162" s="2">
        <f t="shared" si="21"/>
        <v>-58.629999999999995</v>
      </c>
      <c r="Y162" s="2"/>
      <c r="Z162" s="19">
        <f t="shared" si="22"/>
        <v>-0.32363656436299404</v>
      </c>
    </row>
    <row r="163" spans="1:26" s="24" customFormat="1" hidden="1" outlineLevel="1" x14ac:dyDescent="0.25">
      <c r="A163" s="44"/>
      <c r="B163" s="11" t="str">
        <f>CONCATENATE("          ", "5501", " - ", "FREIGHT-IN-NEW TEXT")</f>
        <v xml:space="preserve">          5501 - FREIGHT-IN-NEW TEXT</v>
      </c>
      <c r="C163" s="11"/>
      <c r="D163" s="2">
        <v>3407.43</v>
      </c>
      <c r="E163" s="2"/>
      <c r="F163" s="19">
        <f t="shared" si="15"/>
        <v>1.4265656787856794E-3</v>
      </c>
      <c r="G163" s="2"/>
      <c r="H163" s="2">
        <v>13385.88</v>
      </c>
      <c r="I163" s="2"/>
      <c r="J163" s="19">
        <f t="shared" si="16"/>
        <v>4.6323685003067045E-3</v>
      </c>
      <c r="K163" s="2"/>
      <c r="L163" s="2">
        <f t="shared" si="17"/>
        <v>-9978.4499999999989</v>
      </c>
      <c r="M163" s="2"/>
      <c r="N163" s="19">
        <f t="shared" si="18"/>
        <v>-0.74544594752082038</v>
      </c>
      <c r="O163" s="11"/>
      <c r="P163" s="2">
        <v>42077.369999999995</v>
      </c>
      <c r="Q163" s="2"/>
      <c r="R163" s="19">
        <f t="shared" si="19"/>
        <v>4.4352097446602942E-3</v>
      </c>
      <c r="S163" s="2"/>
      <c r="T163" s="2">
        <v>52281</v>
      </c>
      <c r="U163" s="2"/>
      <c r="V163" s="19">
        <f t="shared" si="20"/>
        <v>5.0540573343628662E-3</v>
      </c>
      <c r="W163" s="2"/>
      <c r="X163" s="2">
        <f t="shared" si="21"/>
        <v>-10203.630000000005</v>
      </c>
      <c r="Y163" s="2"/>
      <c r="Z163" s="19">
        <f t="shared" si="22"/>
        <v>-0.19516899064669774</v>
      </c>
    </row>
    <row r="164" spans="1:26" s="24" customFormat="1" hidden="1" outlineLevel="1" x14ac:dyDescent="0.25">
      <c r="A164" s="44"/>
      <c r="B164" s="11" t="str">
        <f>CONCATENATE("          ", "5502", " - ", "FREIGHT-IN-USED TEXT")</f>
        <v xml:space="preserve">          5502 - FREIGHT-IN-USED TEXT</v>
      </c>
      <c r="C164" s="11"/>
      <c r="D164" s="2">
        <v>4124.8100000000004</v>
      </c>
      <c r="E164" s="2"/>
      <c r="F164" s="19">
        <f t="shared" si="15"/>
        <v>1.7269063128257833E-3</v>
      </c>
      <c r="G164" s="2"/>
      <c r="H164" s="2">
        <v>3187.01</v>
      </c>
      <c r="I164" s="2"/>
      <c r="J164" s="19">
        <f t="shared" si="16"/>
        <v>1.1029087915148256E-3</v>
      </c>
      <c r="K164" s="2"/>
      <c r="L164" s="2">
        <f t="shared" si="17"/>
        <v>937.80000000000018</v>
      </c>
      <c r="M164" s="2"/>
      <c r="N164" s="19">
        <f t="shared" si="18"/>
        <v>0.29425699950737527</v>
      </c>
      <c r="O164" s="11"/>
      <c r="P164" s="2">
        <v>11778.23</v>
      </c>
      <c r="Q164" s="2"/>
      <c r="R164" s="19">
        <f t="shared" si="19"/>
        <v>1.2414968062607102E-3</v>
      </c>
      <c r="S164" s="2"/>
      <c r="T164" s="2">
        <v>11057.1</v>
      </c>
      <c r="U164" s="2"/>
      <c r="V164" s="19">
        <f t="shared" si="20"/>
        <v>1.0689010797762793E-3</v>
      </c>
      <c r="W164" s="2"/>
      <c r="X164" s="2">
        <f t="shared" si="21"/>
        <v>721.1299999999992</v>
      </c>
      <c r="Y164" s="2"/>
      <c r="Z164" s="19">
        <f t="shared" si="22"/>
        <v>6.5218728237964665E-2</v>
      </c>
    </row>
    <row r="165" spans="1:26" s="24" customFormat="1" hidden="1" outlineLevel="1" x14ac:dyDescent="0.25">
      <c r="A165" s="44"/>
      <c r="B165" s="11" t="str">
        <f>CONCATENATE("          ", "5504", " - ", "FREIGHT-IN-DIGITAL TEXT")</f>
        <v xml:space="preserve">          5504 - FREIGHT-IN-DIGITAL TEXT</v>
      </c>
      <c r="C165" s="11"/>
      <c r="D165" s="2"/>
      <c r="E165" s="2"/>
      <c r="F165" s="19">
        <f t="shared" si="15"/>
        <v>0</v>
      </c>
      <c r="G165" s="2"/>
      <c r="H165" s="2">
        <v>77.31</v>
      </c>
      <c r="I165" s="2"/>
      <c r="J165" s="19">
        <f t="shared" si="16"/>
        <v>2.6754192384715192E-5</v>
      </c>
      <c r="K165" s="2"/>
      <c r="L165" s="2">
        <f t="shared" si="17"/>
        <v>-77.31</v>
      </c>
      <c r="M165" s="2"/>
      <c r="N165" s="19">
        <f t="shared" si="18"/>
        <v>-1</v>
      </c>
      <c r="O165" s="11"/>
      <c r="P165" s="2">
        <v>105.97</v>
      </c>
      <c r="Q165" s="2"/>
      <c r="R165" s="19">
        <f t="shared" si="19"/>
        <v>1.1169880071916363E-5</v>
      </c>
      <c r="S165" s="2"/>
      <c r="T165" s="2">
        <v>243.53</v>
      </c>
      <c r="U165" s="2"/>
      <c r="V165" s="19">
        <f t="shared" si="20"/>
        <v>2.354229227898068E-5</v>
      </c>
      <c r="W165" s="2"/>
      <c r="X165" s="2">
        <f t="shared" si="21"/>
        <v>-137.56</v>
      </c>
      <c r="Y165" s="2"/>
      <c r="Z165" s="19">
        <f t="shared" si="22"/>
        <v>-0.56485853898903626</v>
      </c>
    </row>
    <row r="166" spans="1:26" s="24" customFormat="1" hidden="1" outlineLevel="1" x14ac:dyDescent="0.25">
      <c r="A166" s="44"/>
      <c r="B166" s="11" t="str">
        <f>CONCATENATE("          ", "5513", " - ", "FREIGHT-IN-TRADE BOOKS")</f>
        <v xml:space="preserve">          5513 - FREIGHT-IN-TRADE BOOKS</v>
      </c>
      <c r="C166" s="11"/>
      <c r="D166" s="2"/>
      <c r="E166" s="2"/>
      <c r="F166" s="19">
        <f t="shared" si="15"/>
        <v>0</v>
      </c>
      <c r="G166" s="2"/>
      <c r="H166" s="2"/>
      <c r="I166" s="2"/>
      <c r="J166" s="19">
        <f t="shared" si="16"/>
        <v>0</v>
      </c>
      <c r="K166" s="2"/>
      <c r="L166" s="2">
        <f t="shared" si="17"/>
        <v>0</v>
      </c>
      <c r="M166" s="2"/>
      <c r="N166" s="19">
        <f t="shared" si="18"/>
        <v>0</v>
      </c>
      <c r="O166" s="11"/>
      <c r="P166" s="2">
        <v>21.41</v>
      </c>
      <c r="Q166" s="2"/>
      <c r="R166" s="19">
        <f t="shared" si="19"/>
        <v>2.2567437231266334E-6</v>
      </c>
      <c r="S166" s="2"/>
      <c r="T166" s="2">
        <v>12.22</v>
      </c>
      <c r="U166" s="2"/>
      <c r="V166" s="19">
        <f t="shared" si="20"/>
        <v>1.1813198031008251E-6</v>
      </c>
      <c r="W166" s="2"/>
      <c r="X166" s="2">
        <f t="shared" si="21"/>
        <v>9.19</v>
      </c>
      <c r="Y166" s="2"/>
      <c r="Z166" s="19">
        <f t="shared" si="22"/>
        <v>0.7520458265139115</v>
      </c>
    </row>
    <row r="167" spans="1:26" s="24" customFormat="1" hidden="1" outlineLevel="1" x14ac:dyDescent="0.25">
      <c r="A167" s="44"/>
      <c r="B167" s="11" t="str">
        <f>CONCATENATE("          ", "5518", " - ", "FREIGHT-IN-STUDY GUIDES")</f>
        <v xml:space="preserve">          5518 - FREIGHT-IN-STUDY GUIDES</v>
      </c>
      <c r="C167" s="11"/>
      <c r="D167" s="2"/>
      <c r="E167" s="2"/>
      <c r="F167" s="19">
        <f t="shared" si="15"/>
        <v>0</v>
      </c>
      <c r="G167" s="2"/>
      <c r="H167" s="2"/>
      <c r="I167" s="2"/>
      <c r="J167" s="19">
        <f t="shared" si="16"/>
        <v>0</v>
      </c>
      <c r="K167" s="2"/>
      <c r="L167" s="2">
        <f t="shared" si="17"/>
        <v>0</v>
      </c>
      <c r="M167" s="2"/>
      <c r="N167" s="19">
        <f t="shared" si="18"/>
        <v>0</v>
      </c>
      <c r="O167" s="11"/>
      <c r="P167" s="2">
        <v>21.13</v>
      </c>
      <c r="Q167" s="2"/>
      <c r="R167" s="19">
        <f t="shared" si="19"/>
        <v>2.2272300266074619E-6</v>
      </c>
      <c r="S167" s="2"/>
      <c r="T167" s="2"/>
      <c r="U167" s="2"/>
      <c r="V167" s="19">
        <f t="shared" si="20"/>
        <v>0</v>
      </c>
      <c r="W167" s="2"/>
      <c r="X167" s="2">
        <f t="shared" si="21"/>
        <v>21.13</v>
      </c>
      <c r="Y167" s="2"/>
      <c r="Z167" s="19">
        <f t="shared" si="22"/>
        <v>0</v>
      </c>
    </row>
    <row r="168" spans="1:26" s="24" customFormat="1" hidden="1" outlineLevel="1" x14ac:dyDescent="0.25">
      <c r="A168" s="44"/>
      <c r="B168" s="11" t="str">
        <f>CONCATENATE("          ", "5525", " - ", "FREIGHT-IN-TEST FORMS")</f>
        <v xml:space="preserve">          5525 - FREIGHT-IN-TEST FORMS</v>
      </c>
      <c r="C168" s="11"/>
      <c r="D168" s="2"/>
      <c r="E168" s="2"/>
      <c r="F168" s="19">
        <f t="shared" si="15"/>
        <v>0</v>
      </c>
      <c r="G168" s="2"/>
      <c r="H168" s="2">
        <v>232.99</v>
      </c>
      <c r="I168" s="2"/>
      <c r="J168" s="19">
        <f t="shared" si="16"/>
        <v>8.0629404782237653E-5</v>
      </c>
      <c r="K168" s="2"/>
      <c r="L168" s="2">
        <f t="shared" si="17"/>
        <v>-232.99</v>
      </c>
      <c r="M168" s="2"/>
      <c r="N168" s="19">
        <f t="shared" si="18"/>
        <v>-1</v>
      </c>
      <c r="O168" s="11"/>
      <c r="P168" s="2">
        <v>622.41</v>
      </c>
      <c r="Q168" s="2"/>
      <c r="R168" s="19">
        <f t="shared" si="19"/>
        <v>6.560578518034787E-5</v>
      </c>
      <c r="S168" s="2"/>
      <c r="T168" s="2">
        <v>283.91000000000003</v>
      </c>
      <c r="U168" s="2"/>
      <c r="V168" s="19">
        <f t="shared" si="20"/>
        <v>2.7445867864022525E-5</v>
      </c>
      <c r="W168" s="2"/>
      <c r="X168" s="2">
        <f t="shared" si="21"/>
        <v>338.49999999999994</v>
      </c>
      <c r="Y168" s="2"/>
      <c r="Z168" s="19">
        <f t="shared" si="22"/>
        <v>1.1922792434222109</v>
      </c>
    </row>
    <row r="169" spans="1:26" s="24" customFormat="1" hidden="1" outlineLevel="1" x14ac:dyDescent="0.25">
      <c r="A169" s="44"/>
      <c r="B169" s="11" t="str">
        <f>CONCATENATE("          ", "5526", " - ", "FREIGHT-IN-WRITING INSTRUMENTS")</f>
        <v xml:space="preserve">          5526 - FREIGHT-IN-WRITING INSTRUMENTS</v>
      </c>
      <c r="C169" s="11"/>
      <c r="D169" s="2"/>
      <c r="E169" s="2"/>
      <c r="F169" s="19">
        <f t="shared" si="15"/>
        <v>0</v>
      </c>
      <c r="G169" s="2"/>
      <c r="H169" s="2">
        <v>16.86</v>
      </c>
      <c r="I169" s="2"/>
      <c r="J169" s="19">
        <f t="shared" si="16"/>
        <v>5.8346356694644685E-6</v>
      </c>
      <c r="K169" s="2"/>
      <c r="L169" s="2">
        <f t="shared" si="17"/>
        <v>-16.86</v>
      </c>
      <c r="M169" s="2"/>
      <c r="N169" s="19">
        <f t="shared" si="18"/>
        <v>-1</v>
      </c>
      <c r="O169" s="11"/>
      <c r="P169" s="2">
        <v>260.35000000000002</v>
      </c>
      <c r="Q169" s="2"/>
      <c r="R169" s="19">
        <f t="shared" si="19"/>
        <v>2.7442467459879452E-5</v>
      </c>
      <c r="S169" s="2"/>
      <c r="T169" s="2">
        <v>131.16</v>
      </c>
      <c r="U169" s="2"/>
      <c r="V169" s="19">
        <f t="shared" si="20"/>
        <v>1.2679370325262209E-5</v>
      </c>
      <c r="W169" s="2"/>
      <c r="X169" s="2">
        <f t="shared" si="21"/>
        <v>129.19000000000003</v>
      </c>
      <c r="Y169" s="2"/>
      <c r="Z169" s="19">
        <f t="shared" si="22"/>
        <v>0.98498017688319628</v>
      </c>
    </row>
    <row r="170" spans="1:26" s="24" customFormat="1" hidden="1" outlineLevel="1" x14ac:dyDescent="0.25">
      <c r="A170" s="44"/>
      <c r="B170" s="11" t="str">
        <f>CONCATENATE("          ", "5527", " - ", "FREIGHT-IN-SCHOOL SUPPLIES")</f>
        <v xml:space="preserve">          5527 - FREIGHT-IN-SCHOOL SUPPLIES</v>
      </c>
      <c r="C170" s="11"/>
      <c r="D170" s="2">
        <v>321.92</v>
      </c>
      <c r="E170" s="2"/>
      <c r="F170" s="19">
        <f t="shared" si="15"/>
        <v>1.3477606974015194E-4</v>
      </c>
      <c r="G170" s="2"/>
      <c r="H170" s="2">
        <v>105.31</v>
      </c>
      <c r="I170" s="2"/>
      <c r="J170" s="19">
        <f t="shared" si="16"/>
        <v>3.6443978787147289E-5</v>
      </c>
      <c r="K170" s="2"/>
      <c r="L170" s="2">
        <f t="shared" si="17"/>
        <v>216.61</v>
      </c>
      <c r="M170" s="2"/>
      <c r="N170" s="19">
        <f t="shared" si="18"/>
        <v>2.0568796885386003</v>
      </c>
      <c r="O170" s="11"/>
      <c r="P170" s="2">
        <v>1219.8399999999999</v>
      </c>
      <c r="Q170" s="2"/>
      <c r="R170" s="19">
        <f t="shared" si="19"/>
        <v>1.2857852700694968E-4</v>
      </c>
      <c r="S170" s="2"/>
      <c r="T170" s="2">
        <v>1330.96</v>
      </c>
      <c r="U170" s="2"/>
      <c r="V170" s="19">
        <f t="shared" si="20"/>
        <v>1.2866525410270654E-4</v>
      </c>
      <c r="W170" s="2"/>
      <c r="X170" s="2">
        <f t="shared" si="21"/>
        <v>-111.12000000000012</v>
      </c>
      <c r="Y170" s="2"/>
      <c r="Z170" s="19">
        <f t="shared" si="22"/>
        <v>-8.3488609725311136E-2</v>
      </c>
    </row>
    <row r="171" spans="1:26" s="24" customFormat="1" hidden="1" outlineLevel="1" x14ac:dyDescent="0.25">
      <c r="A171" s="44"/>
      <c r="B171" s="11" t="str">
        <f>CONCATENATE("          ", "5528", " - ", "FREIGHT-IN-ART/TECH")</f>
        <v xml:space="preserve">          5528 - FREIGHT-IN-ART/TECH</v>
      </c>
      <c r="C171" s="11"/>
      <c r="D171" s="2">
        <v>220.82</v>
      </c>
      <c r="E171" s="2"/>
      <c r="F171" s="19">
        <f t="shared" si="15"/>
        <v>9.244921632710099E-5</v>
      </c>
      <c r="G171" s="2"/>
      <c r="H171" s="2">
        <v>537.45000000000005</v>
      </c>
      <c r="I171" s="2"/>
      <c r="J171" s="19">
        <f t="shared" si="16"/>
        <v>1.8599198935668324E-4</v>
      </c>
      <c r="K171" s="2"/>
      <c r="L171" s="2">
        <f t="shared" si="17"/>
        <v>-316.63000000000005</v>
      </c>
      <c r="M171" s="2"/>
      <c r="N171" s="19">
        <f t="shared" si="18"/>
        <v>-0.58913387291841102</v>
      </c>
      <c r="O171" s="11"/>
      <c r="P171" s="2">
        <v>1331.46</v>
      </c>
      <c r="Q171" s="2"/>
      <c r="R171" s="19">
        <f t="shared" si="19"/>
        <v>1.4034395131219931E-4</v>
      </c>
      <c r="S171" s="2"/>
      <c r="T171" s="2">
        <v>5194.9799999999996</v>
      </c>
      <c r="U171" s="2"/>
      <c r="V171" s="19">
        <f t="shared" si="20"/>
        <v>5.0220398942002649E-4</v>
      </c>
      <c r="W171" s="2"/>
      <c r="X171" s="2">
        <f t="shared" si="21"/>
        <v>-3863.5199999999995</v>
      </c>
      <c r="Y171" s="2"/>
      <c r="Z171" s="19">
        <f t="shared" si="22"/>
        <v>-0.74370257440837118</v>
      </c>
    </row>
    <row r="172" spans="1:26" s="24" customFormat="1" hidden="1" outlineLevel="1" x14ac:dyDescent="0.25">
      <c r="A172" s="44"/>
      <c r="B172" s="11" t="str">
        <f>CONCATENATE("          ", "5540", " - ", "FREIGHT-IN-LOGO CLOTHING")</f>
        <v xml:space="preserve">          5540 - FREIGHT-IN-LOGO CLOTHING</v>
      </c>
      <c r="C172" s="11"/>
      <c r="D172" s="2">
        <v>1400.5</v>
      </c>
      <c r="E172" s="2"/>
      <c r="F172" s="19">
        <f t="shared" si="15"/>
        <v>5.8633786552895995E-4</v>
      </c>
      <c r="G172" s="2"/>
      <c r="H172" s="2">
        <v>1692.94</v>
      </c>
      <c r="I172" s="2"/>
      <c r="J172" s="19">
        <f t="shared" si="16"/>
        <v>5.8586524971904978E-4</v>
      </c>
      <c r="K172" s="2"/>
      <c r="L172" s="2">
        <f t="shared" si="17"/>
        <v>-292.44000000000005</v>
      </c>
      <c r="M172" s="2"/>
      <c r="N172" s="19">
        <f t="shared" si="18"/>
        <v>-0.17274091225914684</v>
      </c>
      <c r="O172" s="11"/>
      <c r="P172" s="2">
        <v>25677.89</v>
      </c>
      <c r="Q172" s="2"/>
      <c r="R172" s="19">
        <f t="shared" si="19"/>
        <v>2.7066051882595117E-3</v>
      </c>
      <c r="S172" s="2"/>
      <c r="T172" s="2">
        <v>17945.27</v>
      </c>
      <c r="U172" s="2"/>
      <c r="V172" s="19">
        <f t="shared" si="20"/>
        <v>1.7347874650565582E-3</v>
      </c>
      <c r="W172" s="2"/>
      <c r="X172" s="2">
        <f t="shared" si="21"/>
        <v>7732.619999999999</v>
      </c>
      <c r="Y172" s="2"/>
      <c r="Z172" s="19">
        <f t="shared" si="22"/>
        <v>0.43090017592379487</v>
      </c>
    </row>
    <row r="173" spans="1:26" s="24" customFormat="1" hidden="1" outlineLevel="1" x14ac:dyDescent="0.25">
      <c r="A173" s="44"/>
      <c r="B173" s="11" t="str">
        <f>CONCATENATE("          ", "5541", " - ", "FREIGHT-IN-LOGO GIFTS")</f>
        <v xml:space="preserve">          5541 - FREIGHT-IN-LOGO GIFTS</v>
      </c>
      <c r="C173" s="11"/>
      <c r="D173" s="2">
        <v>24.8</v>
      </c>
      <c r="E173" s="2"/>
      <c r="F173" s="19">
        <f t="shared" si="15"/>
        <v>1.0382848314971944E-5</v>
      </c>
      <c r="G173" s="2"/>
      <c r="H173" s="2">
        <v>72.37</v>
      </c>
      <c r="I173" s="2"/>
      <c r="J173" s="19">
        <f t="shared" si="16"/>
        <v>2.50446372122861E-5</v>
      </c>
      <c r="K173" s="2"/>
      <c r="L173" s="2">
        <f t="shared" si="17"/>
        <v>-47.570000000000007</v>
      </c>
      <c r="M173" s="2"/>
      <c r="N173" s="19">
        <f t="shared" si="18"/>
        <v>-0.65731656763852431</v>
      </c>
      <c r="O173" s="11"/>
      <c r="P173" s="2">
        <v>3587.57</v>
      </c>
      <c r="Q173" s="2"/>
      <c r="R173" s="19">
        <f t="shared" si="19"/>
        <v>3.7815161507601201E-4</v>
      </c>
      <c r="S173" s="2"/>
      <c r="T173" s="2">
        <v>4828.58</v>
      </c>
      <c r="U173" s="2"/>
      <c r="V173" s="19">
        <f t="shared" si="20"/>
        <v>4.667837295299985E-4</v>
      </c>
      <c r="W173" s="2"/>
      <c r="X173" s="2">
        <f t="shared" si="21"/>
        <v>-1241.0099999999998</v>
      </c>
      <c r="Y173" s="2"/>
      <c r="Z173" s="19">
        <f t="shared" si="22"/>
        <v>-0.25701344908855189</v>
      </c>
    </row>
    <row r="174" spans="1:26" s="24" customFormat="1" hidden="1" outlineLevel="1" x14ac:dyDescent="0.25">
      <c r="A174" s="44"/>
      <c r="B174" s="11" t="str">
        <f>CONCATENATE("          ", "5542", " - ", "FREIGHT-IN-EVERYDAY GIFTS")</f>
        <v xml:space="preserve">          5542 - FREIGHT-IN-EVERYDAY GIFTS</v>
      </c>
      <c r="C174" s="11"/>
      <c r="D174" s="2"/>
      <c r="E174" s="2"/>
      <c r="F174" s="19">
        <f t="shared" si="15"/>
        <v>0</v>
      </c>
      <c r="G174" s="2"/>
      <c r="H174" s="2">
        <v>120.49</v>
      </c>
      <c r="I174" s="2"/>
      <c r="J174" s="19">
        <f t="shared" si="16"/>
        <v>4.1697227272465825E-5</v>
      </c>
      <c r="K174" s="2"/>
      <c r="L174" s="2">
        <f t="shared" si="17"/>
        <v>-120.49</v>
      </c>
      <c r="M174" s="2"/>
      <c r="N174" s="19">
        <f t="shared" si="18"/>
        <v>-1</v>
      </c>
      <c r="O174" s="11"/>
      <c r="P174" s="2">
        <v>1708.33</v>
      </c>
      <c r="Q174" s="2"/>
      <c r="R174" s="19">
        <f t="shared" si="19"/>
        <v>1.800683327664139E-4</v>
      </c>
      <c r="S174" s="2"/>
      <c r="T174" s="2">
        <v>1342.04</v>
      </c>
      <c r="U174" s="2"/>
      <c r="V174" s="19">
        <f t="shared" si="20"/>
        <v>1.2973636894872596E-4</v>
      </c>
      <c r="W174" s="2"/>
      <c r="X174" s="2">
        <f t="shared" si="21"/>
        <v>366.28999999999996</v>
      </c>
      <c r="Y174" s="2"/>
      <c r="Z174" s="19">
        <f t="shared" si="22"/>
        <v>0.27293523292897376</v>
      </c>
    </row>
    <row r="175" spans="1:26" s="24" customFormat="1" hidden="1" outlineLevel="1" x14ac:dyDescent="0.25">
      <c r="A175" s="44"/>
      <c r="B175" s="11" t="str">
        <f>CONCATENATE("          ", "5543", " - ", "FREIGHT-IN-CARDS")</f>
        <v xml:space="preserve">          5543 - FREIGHT-IN-CARDS</v>
      </c>
      <c r="C175" s="11"/>
      <c r="D175" s="2"/>
      <c r="E175" s="2"/>
      <c r="F175" s="19">
        <f t="shared" si="15"/>
        <v>0</v>
      </c>
      <c r="G175" s="2"/>
      <c r="H175" s="2">
        <v>44.71</v>
      </c>
      <c r="I175" s="2"/>
      <c r="J175" s="19">
        <f t="shared" si="16"/>
        <v>1.5472512501883536E-5</v>
      </c>
      <c r="K175" s="2"/>
      <c r="L175" s="2">
        <f t="shared" si="17"/>
        <v>-44.71</v>
      </c>
      <c r="M175" s="2"/>
      <c r="N175" s="19">
        <f t="shared" si="18"/>
        <v>-1</v>
      </c>
      <c r="O175" s="11"/>
      <c r="P175" s="2">
        <v>121.35</v>
      </c>
      <c r="Q175" s="2"/>
      <c r="R175" s="19">
        <f t="shared" si="19"/>
        <v>1.2791025259290843E-5</v>
      </c>
      <c r="S175" s="2"/>
      <c r="T175" s="2">
        <v>57.18</v>
      </c>
      <c r="U175" s="2"/>
      <c r="V175" s="19">
        <f t="shared" si="20"/>
        <v>5.5276486367680175E-6</v>
      </c>
      <c r="W175" s="2"/>
      <c r="X175" s="2">
        <f t="shared" si="21"/>
        <v>64.169999999999987</v>
      </c>
      <c r="Y175" s="2"/>
      <c r="Z175" s="19">
        <f t="shared" si="22"/>
        <v>1.1222455403987406</v>
      </c>
    </row>
    <row r="176" spans="1:26" s="24" customFormat="1" hidden="1" outlineLevel="1" x14ac:dyDescent="0.25">
      <c r="A176" s="44"/>
      <c r="B176" s="11" t="str">
        <f>CONCATENATE("          ", "5544", " - ", "FREIGHT-IN-ACCESSORIES")</f>
        <v xml:space="preserve">          5544 - FREIGHT-IN-ACCESSORIES</v>
      </c>
      <c r="C176" s="11"/>
      <c r="D176" s="2"/>
      <c r="E176" s="2"/>
      <c r="F176" s="19">
        <f t="shared" si="15"/>
        <v>0</v>
      </c>
      <c r="G176" s="2"/>
      <c r="H176" s="2">
        <v>145.19999999999999</v>
      </c>
      <c r="I176" s="2"/>
      <c r="J176" s="19">
        <f t="shared" si="16"/>
        <v>5.0248463772612149E-5</v>
      </c>
      <c r="K176" s="2"/>
      <c r="L176" s="2">
        <f t="shared" si="17"/>
        <v>-145.19999999999999</v>
      </c>
      <c r="M176" s="2"/>
      <c r="N176" s="19">
        <f t="shared" si="18"/>
        <v>-1</v>
      </c>
      <c r="O176" s="11"/>
      <c r="P176" s="2">
        <v>442.31</v>
      </c>
      <c r="Q176" s="2"/>
      <c r="R176" s="19">
        <f t="shared" si="19"/>
        <v>4.6622153954980907E-5</v>
      </c>
      <c r="S176" s="2"/>
      <c r="T176" s="2">
        <v>735.65</v>
      </c>
      <c r="U176" s="2"/>
      <c r="V176" s="19">
        <f t="shared" si="20"/>
        <v>7.1116032172759562E-5</v>
      </c>
      <c r="W176" s="2"/>
      <c r="X176" s="2">
        <f t="shared" si="21"/>
        <v>-293.33999999999997</v>
      </c>
      <c r="Y176" s="2"/>
      <c r="Z176" s="19">
        <f t="shared" si="22"/>
        <v>-0.39874940528784064</v>
      </c>
    </row>
    <row r="177" spans="1:26" s="24" customFormat="1" hidden="1" outlineLevel="1" x14ac:dyDescent="0.25">
      <c r="A177" s="44"/>
      <c r="B177" s="11" t="str">
        <f>CONCATENATE("          ", "5545", " - ", "FREIGHT-IN-SPECIAL ORDERS")</f>
        <v xml:space="preserve">          5545 - FREIGHT-IN-SPECIAL ORDERS</v>
      </c>
      <c r="C177" s="11"/>
      <c r="D177" s="2">
        <v>14.23</v>
      </c>
      <c r="E177" s="2"/>
      <c r="F177" s="19">
        <f t="shared" si="15"/>
        <v>5.9575778839536598E-6</v>
      </c>
      <c r="G177" s="2"/>
      <c r="H177" s="2">
        <v>120.96</v>
      </c>
      <c r="I177" s="2"/>
      <c r="J177" s="19">
        <f t="shared" si="16"/>
        <v>4.1859877258506648E-5</v>
      </c>
      <c r="K177" s="2"/>
      <c r="L177" s="2">
        <f t="shared" si="17"/>
        <v>-106.72999999999999</v>
      </c>
      <c r="M177" s="2"/>
      <c r="N177" s="19">
        <f t="shared" si="18"/>
        <v>-0.88235780423280419</v>
      </c>
      <c r="O177" s="11"/>
      <c r="P177" s="2">
        <v>841.9</v>
      </c>
      <c r="Q177" s="2"/>
      <c r="R177" s="19">
        <f t="shared" si="19"/>
        <v>8.874136106960825E-5</v>
      </c>
      <c r="S177" s="2"/>
      <c r="T177" s="2">
        <v>1443.49</v>
      </c>
      <c r="U177" s="2"/>
      <c r="V177" s="19">
        <f t="shared" si="20"/>
        <v>1.395436434188224E-4</v>
      </c>
      <c r="W177" s="2"/>
      <c r="X177" s="2">
        <f t="shared" si="21"/>
        <v>-601.59</v>
      </c>
      <c r="Y177" s="2"/>
      <c r="Z177" s="19">
        <f t="shared" si="22"/>
        <v>-0.41676076730701289</v>
      </c>
    </row>
    <row r="178" spans="1:26" s="24" customFormat="1" hidden="1" outlineLevel="1" x14ac:dyDescent="0.25">
      <c r="A178" s="44"/>
      <c r="B178" s="11" t="str">
        <f>CONCATENATE("          ", "5581", " - ", "FREIGHT-IN-ELECTRONICS")</f>
        <v xml:space="preserve">          5581 - FREIGHT-IN-ELECTRONICS</v>
      </c>
      <c r="C178" s="11"/>
      <c r="D178" s="2"/>
      <c r="E178" s="2"/>
      <c r="F178" s="19">
        <f t="shared" si="15"/>
        <v>0</v>
      </c>
      <c r="G178" s="2"/>
      <c r="H178" s="2"/>
      <c r="I178" s="2"/>
      <c r="J178" s="19">
        <f t="shared" si="16"/>
        <v>0</v>
      </c>
      <c r="K178" s="2"/>
      <c r="L178" s="2">
        <f t="shared" si="17"/>
        <v>0</v>
      </c>
      <c r="M178" s="2"/>
      <c r="N178" s="19">
        <f t="shared" si="18"/>
        <v>0</v>
      </c>
      <c r="O178" s="11"/>
      <c r="P178" s="2">
        <v>105.75</v>
      </c>
      <c r="Q178" s="2"/>
      <c r="R178" s="19">
        <f t="shared" si="19"/>
        <v>1.1146690738937015E-5</v>
      </c>
      <c r="S178" s="2"/>
      <c r="T178" s="2"/>
      <c r="U178" s="2"/>
      <c r="V178" s="19">
        <f t="shared" si="20"/>
        <v>0</v>
      </c>
      <c r="W178" s="2"/>
      <c r="X178" s="2">
        <f t="shared" si="21"/>
        <v>105.75</v>
      </c>
      <c r="Y178" s="2"/>
      <c r="Z178" s="19">
        <f t="shared" si="22"/>
        <v>0</v>
      </c>
    </row>
    <row r="179" spans="1:26" s="24" customFormat="1" hidden="1" outlineLevel="1" x14ac:dyDescent="0.25">
      <c r="A179" s="44"/>
      <c r="B179" s="11" t="str">
        <f>CONCATENATE("          ", "5582", " - ", "FREIGHT-IN-COMPUTER HARDWARE")</f>
        <v xml:space="preserve">          5582 - FREIGHT-IN-COMPUTER HARDWARE</v>
      </c>
      <c r="C179" s="11"/>
      <c r="D179" s="2"/>
      <c r="E179" s="2"/>
      <c r="F179" s="19">
        <f t="shared" si="15"/>
        <v>0</v>
      </c>
      <c r="G179" s="2"/>
      <c r="H179" s="2"/>
      <c r="I179" s="2"/>
      <c r="J179" s="19">
        <f t="shared" si="16"/>
        <v>0</v>
      </c>
      <c r="K179" s="2"/>
      <c r="L179" s="2">
        <f t="shared" si="17"/>
        <v>0</v>
      </c>
      <c r="M179" s="2"/>
      <c r="N179" s="19">
        <f t="shared" si="18"/>
        <v>0</v>
      </c>
      <c r="O179" s="11"/>
      <c r="P179" s="2">
        <v>4.84</v>
      </c>
      <c r="Q179" s="2"/>
      <c r="R179" s="19">
        <f t="shared" si="19"/>
        <v>5.1016532554567515E-7</v>
      </c>
      <c r="S179" s="2"/>
      <c r="T179" s="2">
        <v>12</v>
      </c>
      <c r="U179" s="2"/>
      <c r="V179" s="19">
        <f t="shared" si="20"/>
        <v>1.1600521798044109E-6</v>
      </c>
      <c r="W179" s="2"/>
      <c r="X179" s="2">
        <f t="shared" si="21"/>
        <v>-7.16</v>
      </c>
      <c r="Y179" s="2"/>
      <c r="Z179" s="19">
        <f t="shared" si="22"/>
        <v>-0.59666666666666668</v>
      </c>
    </row>
    <row r="180" spans="1:26" s="24" customFormat="1" hidden="1" outlineLevel="1" x14ac:dyDescent="0.25">
      <c r="A180" s="44"/>
      <c r="B180" s="11" t="str">
        <f>CONCATENATE("          ", "5583", " - ", "FREIGHT-IN-COMPUTER EQUIPMENT")</f>
        <v xml:space="preserve">          5583 - FREIGHT-IN-COMPUTER EQUIPMENT</v>
      </c>
      <c r="C180" s="11"/>
      <c r="D180" s="2"/>
      <c r="E180" s="2"/>
      <c r="F180" s="19">
        <f t="shared" si="15"/>
        <v>0</v>
      </c>
      <c r="G180" s="2"/>
      <c r="H180" s="2">
        <v>3.83</v>
      </c>
      <c r="I180" s="2"/>
      <c r="J180" s="19">
        <f t="shared" si="16"/>
        <v>1.3254243543326761E-6</v>
      </c>
      <c r="K180" s="2"/>
      <c r="L180" s="2">
        <f t="shared" si="17"/>
        <v>-3.83</v>
      </c>
      <c r="M180" s="2"/>
      <c r="N180" s="19">
        <f t="shared" si="18"/>
        <v>-1</v>
      </c>
      <c r="O180" s="11"/>
      <c r="P180" s="2">
        <v>49.12</v>
      </c>
      <c r="Q180" s="2"/>
      <c r="R180" s="19">
        <f t="shared" si="19"/>
        <v>5.177545617934621E-6</v>
      </c>
      <c r="S180" s="2"/>
      <c r="T180" s="2">
        <v>26.73</v>
      </c>
      <c r="U180" s="2"/>
      <c r="V180" s="19">
        <f t="shared" si="20"/>
        <v>2.5840162305143251E-6</v>
      </c>
      <c r="W180" s="2"/>
      <c r="X180" s="2">
        <f t="shared" si="21"/>
        <v>22.389999999999997</v>
      </c>
      <c r="Y180" s="2"/>
      <c r="Z180" s="19">
        <f t="shared" si="22"/>
        <v>0.83763561541339304</v>
      </c>
    </row>
    <row r="181" spans="1:26" s="24" customFormat="1" hidden="1" outlineLevel="1" x14ac:dyDescent="0.25">
      <c r="A181" s="44"/>
      <c r="B181" s="11" t="str">
        <f>CONCATENATE("          ", "5586", " - ", "FREIGHT-IN-COMPUTER SUPPLIES")</f>
        <v xml:space="preserve">          5586 - FREIGHT-IN-COMPUTER SUPPLIES</v>
      </c>
      <c r="C181" s="11"/>
      <c r="D181" s="2">
        <v>33.31</v>
      </c>
      <c r="E181" s="2"/>
      <c r="F181" s="19">
        <f t="shared" si="15"/>
        <v>1.3945672474665947E-5</v>
      </c>
      <c r="G181" s="2"/>
      <c r="H181" s="2">
        <v>72.040000000000006</v>
      </c>
      <c r="I181" s="2"/>
      <c r="J181" s="19">
        <f t="shared" si="16"/>
        <v>2.4930436158257436E-5</v>
      </c>
      <c r="K181" s="2"/>
      <c r="L181" s="2">
        <f t="shared" si="17"/>
        <v>-38.730000000000004</v>
      </c>
      <c r="M181" s="2"/>
      <c r="N181" s="19">
        <f t="shared" si="18"/>
        <v>-0.53761799000555244</v>
      </c>
      <c r="O181" s="11"/>
      <c r="P181" s="2">
        <v>195.82</v>
      </c>
      <c r="Q181" s="2"/>
      <c r="R181" s="19">
        <f t="shared" si="19"/>
        <v>2.0640614472800437E-5</v>
      </c>
      <c r="S181" s="2"/>
      <c r="T181" s="2">
        <v>217.61</v>
      </c>
      <c r="U181" s="2"/>
      <c r="V181" s="19">
        <f t="shared" si="20"/>
        <v>2.1036579570603152E-5</v>
      </c>
      <c r="W181" s="2"/>
      <c r="X181" s="2">
        <f t="shared" si="21"/>
        <v>-21.79000000000002</v>
      </c>
      <c r="Y181" s="2"/>
      <c r="Z181" s="19">
        <f t="shared" si="22"/>
        <v>-0.10013326593447001</v>
      </c>
    </row>
    <row r="182" spans="1:26" s="24" customFormat="1" hidden="1" outlineLevel="1" x14ac:dyDescent="0.25">
      <c r="A182" s="44"/>
      <c r="B182" s="11" t="str">
        <f>CONCATENATE("          ", "5592", " - ", "FREIGHT-IN-GRAD MERCH")</f>
        <v xml:space="preserve">          5592 - FREIGHT-IN-GRAD MERCH</v>
      </c>
      <c r="C182" s="11"/>
      <c r="D182" s="2"/>
      <c r="E182" s="2"/>
      <c r="F182" s="19">
        <f t="shared" si="15"/>
        <v>0</v>
      </c>
      <c r="G182" s="2"/>
      <c r="H182" s="2"/>
      <c r="I182" s="2"/>
      <c r="J182" s="19">
        <f t="shared" si="16"/>
        <v>0</v>
      </c>
      <c r="K182" s="2"/>
      <c r="L182" s="2">
        <f t="shared" si="17"/>
        <v>0</v>
      </c>
      <c r="M182" s="2"/>
      <c r="N182" s="19">
        <f t="shared" si="18"/>
        <v>0</v>
      </c>
      <c r="O182" s="11"/>
      <c r="P182" s="2">
        <v>105.78</v>
      </c>
      <c r="Q182" s="2"/>
      <c r="R182" s="19">
        <f t="shared" si="19"/>
        <v>1.1149852920706926E-5</v>
      </c>
      <c r="S182" s="2"/>
      <c r="T182" s="2">
        <v>114.3</v>
      </c>
      <c r="U182" s="2"/>
      <c r="V182" s="19">
        <f t="shared" si="20"/>
        <v>1.1049497012637012E-5</v>
      </c>
      <c r="W182" s="2"/>
      <c r="X182" s="2">
        <f t="shared" si="21"/>
        <v>-8.519999999999996</v>
      </c>
      <c r="Y182" s="2"/>
      <c r="Z182" s="19">
        <f t="shared" si="22"/>
        <v>-7.4540682414698134E-2</v>
      </c>
    </row>
    <row r="183" spans="1:26" x14ac:dyDescent="0.25">
      <c r="A183" s="9"/>
      <c r="B183" s="10"/>
      <c r="C183" s="10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O183" s="10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x14ac:dyDescent="0.25">
      <c r="A184" s="10"/>
      <c r="B184" s="28" t="s">
        <v>6</v>
      </c>
      <c r="C184" s="28"/>
      <c r="D184" s="21">
        <f>D12-D125</f>
        <v>1017769.7300000002</v>
      </c>
      <c r="E184" s="14"/>
      <c r="F184" s="22">
        <f>IF(D$12=0,0,D184/D$12)</f>
        <v>0.42610277121612711</v>
      </c>
      <c r="G184" s="14"/>
      <c r="H184" s="21">
        <f>H12-H125</f>
        <v>967983.94000000064</v>
      </c>
      <c r="I184" s="14"/>
      <c r="J184" s="22">
        <f>IF(H$12=0,0,H184/H$12)</f>
        <v>0.33498420069945184</v>
      </c>
      <c r="K184" s="16"/>
      <c r="L184" s="21">
        <f>+D184-H184</f>
        <v>49785.789999999572</v>
      </c>
      <c r="M184" s="16"/>
      <c r="N184" s="22">
        <f>IF(H184=0,0,L184/H184)</f>
        <v>5.1432454550846718E-2</v>
      </c>
      <c r="O184" s="29"/>
      <c r="P184" s="21">
        <f>P12-P125</f>
        <v>3488861.9899999956</v>
      </c>
      <c r="Q184" s="14"/>
      <c r="R184" s="22">
        <f>IF(P$12=0,0,P184/P$12)</f>
        <v>0.36774719275047107</v>
      </c>
      <c r="S184" s="14"/>
      <c r="T184" s="21">
        <f>T12-T125</f>
        <v>3553909.6999999965</v>
      </c>
      <c r="U184" s="14"/>
      <c r="V184" s="22">
        <f>IF(T$12=0,0,T184/T$12)</f>
        <v>0.34356005785941962</v>
      </c>
      <c r="W184" s="16"/>
      <c r="X184" s="21">
        <f>+P184-T184</f>
        <v>-65047.710000000894</v>
      </c>
      <c r="Y184" s="16"/>
      <c r="Z184" s="22">
        <f>IF(T184=0,0,X184/T184)</f>
        <v>-1.8303140904227522E-2</v>
      </c>
    </row>
    <row r="185" spans="1:26" x14ac:dyDescent="0.25">
      <c r="A185" s="9"/>
      <c r="B185" s="10"/>
      <c r="C185" s="9"/>
      <c r="D185" s="1"/>
      <c r="E185" s="1"/>
      <c r="F185" s="5"/>
      <c r="G185" s="1"/>
      <c r="H185" s="1"/>
      <c r="I185" s="1"/>
      <c r="J185" s="5"/>
      <c r="K185" s="1"/>
      <c r="L185" s="1"/>
      <c r="M185" s="1"/>
      <c r="N185" s="5"/>
      <c r="O185" s="37"/>
      <c r="P185" s="1"/>
      <c r="Q185" s="1"/>
      <c r="R185" s="5"/>
      <c r="S185" s="1"/>
      <c r="T185" s="1"/>
      <c r="U185" s="1"/>
      <c r="V185" s="5"/>
      <c r="W185" s="1"/>
      <c r="X185" s="1"/>
      <c r="Y185" s="1"/>
      <c r="Z185" s="5"/>
    </row>
    <row r="186" spans="1:26" s="23" customFormat="1" x14ac:dyDescent="0.25">
      <c r="A186" s="10"/>
      <c r="B186" s="29" t="s">
        <v>9</v>
      </c>
      <c r="C186" s="10"/>
      <c r="D186" s="20">
        <f>SUM(OSRRefD22x_0)</f>
        <v>487627.04000000015</v>
      </c>
      <c r="E186" s="20"/>
      <c r="F186" s="32">
        <f t="shared" ref="F186:F196" si="23">IF(D$12=0,0,D186/D$12)</f>
        <v>0.20415151574994991</v>
      </c>
      <c r="G186" s="20"/>
      <c r="H186" s="20">
        <f>SUM(OSRRefH22x_0)</f>
        <v>529758.21000000008</v>
      </c>
      <c r="I186" s="20"/>
      <c r="J186" s="32">
        <f t="shared" ref="J186:J196" si="24">IF(H$12=0,0,H186/H$12)</f>
        <v>0.18333013927981312</v>
      </c>
      <c r="K186" s="4"/>
      <c r="L186" s="20">
        <f t="shared" ref="L186:L196" si="25">+D186-H186</f>
        <v>-42131.169999999925</v>
      </c>
      <c r="M186" s="4"/>
      <c r="N186" s="32">
        <f t="shared" ref="N186:N196" si="26">IF(H186=0,0,L186/H186)</f>
        <v>-7.9529055340170976E-2</v>
      </c>
      <c r="O186" s="10"/>
      <c r="P186" s="20">
        <f>SUM(OSRRefP22x_0)</f>
        <v>2856147.3600000008</v>
      </c>
      <c r="Q186" s="20"/>
      <c r="R186" s="32">
        <f t="shared" ref="R186:R196" si="27">IF(P$12=0,0,P186/P$12)</f>
        <v>0.30105523713240107</v>
      </c>
      <c r="S186" s="20"/>
      <c r="T186" s="20">
        <f>SUM(OSRRefT22x_0)</f>
        <v>3038993.6500000004</v>
      </c>
      <c r="U186" s="20"/>
      <c r="V186" s="32">
        <f t="shared" ref="V186:V196" si="28">IF(T$12=0,0,T186/T$12)</f>
        <v>0.29378260067452189</v>
      </c>
      <c r="W186" s="4"/>
      <c r="X186" s="20">
        <f t="shared" ref="X186:X196" si="29">+P186-T186</f>
        <v>-182846.28999999957</v>
      </c>
      <c r="Y186" s="4"/>
      <c r="Z186" s="32">
        <f t="shared" ref="Z186:Z196" si="30">IF(T186=0,0,X186/T186)</f>
        <v>-6.0166723283544721E-2</v>
      </c>
    </row>
    <row r="187" spans="1:26" s="26" customFormat="1" outlineLevel="1" collapsed="1" x14ac:dyDescent="0.25">
      <c r="A187" s="27"/>
      <c r="B187" s="13" t="str">
        <f>CONCATENATE("     ","*Benefits                                         ")</f>
        <v xml:space="preserve">     *Benefits                                         </v>
      </c>
      <c r="C187" s="13"/>
      <c r="D187" s="1">
        <f>SUM(OSRRefD22_0x_0)</f>
        <v>51322.009999999995</v>
      </c>
      <c r="E187" s="1"/>
      <c r="F187" s="5">
        <f t="shared" si="23"/>
        <v>2.148663891328521E-2</v>
      </c>
      <c r="G187" s="1"/>
      <c r="H187" s="1">
        <f>SUM(OSRRefH22_0x_0)</f>
        <v>57182.600000000006</v>
      </c>
      <c r="I187" s="1"/>
      <c r="J187" s="5">
        <f t="shared" si="24"/>
        <v>1.9788827854846914E-2</v>
      </c>
      <c r="K187" s="1"/>
      <c r="L187" s="1">
        <f t="shared" si="25"/>
        <v>-5860.5900000000111</v>
      </c>
      <c r="M187" s="1"/>
      <c r="N187" s="5">
        <f t="shared" si="26"/>
        <v>-0.10248904386998861</v>
      </c>
      <c r="O187" s="13"/>
      <c r="P187" s="1">
        <f>SUM(OSRRefP22_0x_0)</f>
        <v>371289.59000000008</v>
      </c>
      <c r="Q187" s="1"/>
      <c r="R187" s="5">
        <f t="shared" si="27"/>
        <v>3.9136172428526926E-2</v>
      </c>
      <c r="S187" s="1"/>
      <c r="T187" s="1">
        <f>SUM(OSRRefT22_0x_0)</f>
        <v>384552.5</v>
      </c>
      <c r="U187" s="1"/>
      <c r="V187" s="5">
        <f t="shared" si="28"/>
        <v>3.7175080489519639E-2</v>
      </c>
      <c r="W187" s="1"/>
      <c r="X187" s="1">
        <f t="shared" si="29"/>
        <v>-13262.909999999916</v>
      </c>
      <c r="Y187" s="1"/>
      <c r="Z187" s="5">
        <f t="shared" si="30"/>
        <v>-3.4489204985014829E-2</v>
      </c>
    </row>
    <row r="188" spans="1:26" s="24" customFormat="1" hidden="1" outlineLevel="2" x14ac:dyDescent="0.25">
      <c r="A188" s="25"/>
      <c r="B188" s="11" t="str">
        <f>CONCATENATE("          ", "6111", " - ", "F.I.C.A.")</f>
        <v xml:space="preserve">          6111 - F.I.C.A.</v>
      </c>
      <c r="C188" s="11"/>
      <c r="D188" s="6">
        <v>7647.92</v>
      </c>
      <c r="E188" s="2"/>
      <c r="F188" s="7">
        <f t="shared" si="23"/>
        <v>3.2019029550419448E-3</v>
      </c>
      <c r="G188" s="2"/>
      <c r="H188" s="6">
        <v>8118.77</v>
      </c>
      <c r="I188" s="2"/>
      <c r="J188" s="7">
        <f t="shared" si="24"/>
        <v>2.809612398231201E-3</v>
      </c>
      <c r="K188" s="2"/>
      <c r="L188" s="6">
        <f t="shared" si="25"/>
        <v>-470.85000000000036</v>
      </c>
      <c r="M188" s="2"/>
      <c r="N188" s="7">
        <f t="shared" si="26"/>
        <v>-5.7995238194948291E-2</v>
      </c>
      <c r="O188" s="11"/>
      <c r="P188" s="6">
        <v>72435.86</v>
      </c>
      <c r="Q188" s="2"/>
      <c r="R188" s="7">
        <f t="shared" si="27"/>
        <v>7.6351785326613537E-3</v>
      </c>
      <c r="S188" s="2"/>
      <c r="T188" s="6">
        <v>72852.63</v>
      </c>
      <c r="U188" s="2"/>
      <c r="V188" s="7">
        <f t="shared" si="28"/>
        <v>7.0427376863320176E-3</v>
      </c>
      <c r="W188" s="2"/>
      <c r="X188" s="6">
        <f t="shared" si="29"/>
        <v>-416.77000000000407</v>
      </c>
      <c r="Y188" s="2"/>
      <c r="Z188" s="7">
        <f t="shared" si="30"/>
        <v>-5.7207268975739663E-3</v>
      </c>
    </row>
    <row r="189" spans="1:26" s="24" customFormat="1" hidden="1" outlineLevel="2" x14ac:dyDescent="0.25">
      <c r="A189" s="25"/>
      <c r="B189" s="11" t="str">
        <f>CONCATENATE("          ", "6112", " - ", "COMPENSATION INSURANCE")</f>
        <v xml:space="preserve">          6112 - COMPENSATION INSURANCE</v>
      </c>
      <c r="C189" s="11"/>
      <c r="D189" s="6">
        <v>3704.39</v>
      </c>
      <c r="E189" s="2"/>
      <c r="F189" s="7">
        <f t="shared" si="23"/>
        <v>1.5508919140926982E-3</v>
      </c>
      <c r="G189" s="2"/>
      <c r="H189" s="6">
        <v>2118.86</v>
      </c>
      <c r="I189" s="2"/>
      <c r="J189" s="7">
        <f t="shared" si="24"/>
        <v>7.3326074345204538E-4</v>
      </c>
      <c r="K189" s="2"/>
      <c r="L189" s="6">
        <f t="shared" si="25"/>
        <v>1585.5299999999997</v>
      </c>
      <c r="M189" s="2"/>
      <c r="N189" s="7">
        <f t="shared" si="26"/>
        <v>0.74829389388633494</v>
      </c>
      <c r="O189" s="11"/>
      <c r="P189" s="6">
        <v>18114.8</v>
      </c>
      <c r="Q189" s="2"/>
      <c r="R189" s="7">
        <f t="shared" si="27"/>
        <v>1.9094096775195862E-3</v>
      </c>
      <c r="S189" s="2"/>
      <c r="T189" s="6">
        <v>13561.02</v>
      </c>
      <c r="U189" s="2"/>
      <c r="V189" s="7">
        <f t="shared" si="28"/>
        <v>1.3109575676142676E-3</v>
      </c>
      <c r="W189" s="2"/>
      <c r="X189" s="6">
        <f t="shared" si="29"/>
        <v>4553.7799999999988</v>
      </c>
      <c r="Y189" s="2"/>
      <c r="Z189" s="7">
        <f t="shared" si="30"/>
        <v>0.33579922454210664</v>
      </c>
    </row>
    <row r="190" spans="1:26" s="24" customFormat="1" hidden="1" outlineLevel="2" x14ac:dyDescent="0.25">
      <c r="A190" s="25"/>
      <c r="B190" s="11" t="str">
        <f>CONCATENATE("          ", "6113", " - ", "GROUP INSURANCE")</f>
        <v xml:space="preserve">          6113 - GROUP INSURANCE</v>
      </c>
      <c r="C190" s="11"/>
      <c r="D190" s="6">
        <v>18811.96</v>
      </c>
      <c r="E190" s="2"/>
      <c r="F190" s="7">
        <f t="shared" si="23"/>
        <v>7.875876096262887E-3</v>
      </c>
      <c r="G190" s="2"/>
      <c r="H190" s="6">
        <v>20673.849999999999</v>
      </c>
      <c r="I190" s="2"/>
      <c r="J190" s="7">
        <f t="shared" si="24"/>
        <v>7.1544710934257419E-3</v>
      </c>
      <c r="K190" s="2"/>
      <c r="L190" s="6">
        <f t="shared" si="25"/>
        <v>-1861.8899999999994</v>
      </c>
      <c r="M190" s="2"/>
      <c r="N190" s="7">
        <f t="shared" si="26"/>
        <v>-9.0060148448402183E-2</v>
      </c>
      <c r="O190" s="11"/>
      <c r="P190" s="6">
        <v>136166.71</v>
      </c>
      <c r="Q190" s="2"/>
      <c r="R190" s="7">
        <f t="shared" si="27"/>
        <v>1.4352796267692881E-2</v>
      </c>
      <c r="S190" s="2"/>
      <c r="T190" s="6">
        <v>141376.18</v>
      </c>
      <c r="U190" s="2"/>
      <c r="V190" s="7">
        <f t="shared" si="28"/>
        <v>1.3666978815118394E-2</v>
      </c>
      <c r="W190" s="2"/>
      <c r="X190" s="6">
        <f t="shared" si="29"/>
        <v>-5209.4700000000012</v>
      </c>
      <c r="Y190" s="2"/>
      <c r="Z190" s="7">
        <f t="shared" si="30"/>
        <v>-3.6848286606697124E-2</v>
      </c>
    </row>
    <row r="191" spans="1:26" s="24" customFormat="1" hidden="1" outlineLevel="2" x14ac:dyDescent="0.25">
      <c r="A191" s="25"/>
      <c r="B191" s="11" t="str">
        <f>CONCATENATE("          ", "6114", " - ", "STATE UNEMPLOYMENT INSURANCE")</f>
        <v xml:space="preserve">          6114 - STATE UNEMPLOYMENT INSURANCE</v>
      </c>
      <c r="C191" s="11"/>
      <c r="D191" s="6">
        <v>583.25</v>
      </c>
      <c r="E191" s="2"/>
      <c r="F191" s="7">
        <f t="shared" si="23"/>
        <v>2.4418533385916878E-4</v>
      </c>
      <c r="G191" s="2"/>
      <c r="H191" s="6">
        <v>570.02</v>
      </c>
      <c r="I191" s="2"/>
      <c r="J191" s="7">
        <f t="shared" si="24"/>
        <v>1.9726328732551224E-4</v>
      </c>
      <c r="K191" s="2"/>
      <c r="L191" s="6">
        <f t="shared" si="25"/>
        <v>13.230000000000018</v>
      </c>
      <c r="M191" s="2"/>
      <c r="N191" s="7">
        <f t="shared" si="26"/>
        <v>2.3209711939931967E-2</v>
      </c>
      <c r="O191" s="11"/>
      <c r="P191" s="6">
        <v>3700.32</v>
      </c>
      <c r="Q191" s="2"/>
      <c r="R191" s="7">
        <f t="shared" si="27"/>
        <v>3.9003614822792827E-4</v>
      </c>
      <c r="S191" s="2"/>
      <c r="T191" s="6">
        <v>3758.87</v>
      </c>
      <c r="U191" s="2"/>
      <c r="V191" s="7">
        <f t="shared" si="28"/>
        <v>3.6337377809178377E-4</v>
      </c>
      <c r="W191" s="2"/>
      <c r="X191" s="6">
        <f t="shared" si="29"/>
        <v>-58.549999999999727</v>
      </c>
      <c r="Y191" s="2"/>
      <c r="Z191" s="7">
        <f t="shared" si="30"/>
        <v>-1.5576489742927989E-2</v>
      </c>
    </row>
    <row r="192" spans="1:26" s="24" customFormat="1" hidden="1" outlineLevel="2" x14ac:dyDescent="0.25">
      <c r="A192" s="25"/>
      <c r="B192" s="11" t="str">
        <f>CONCATENATE("          ", "6115", " - ", "P.E.R.S.")</f>
        <v xml:space="preserve">          6115 - P.E.R.S.</v>
      </c>
      <c r="C192" s="11"/>
      <c r="D192" s="6">
        <v>9305.31</v>
      </c>
      <c r="E192" s="2"/>
      <c r="F192" s="7">
        <f t="shared" si="23"/>
        <v>3.8957912199109506E-3</v>
      </c>
      <c r="G192" s="2"/>
      <c r="H192" s="6">
        <v>8752.7900000000009</v>
      </c>
      <c r="I192" s="2"/>
      <c r="J192" s="7">
        <f t="shared" si="24"/>
        <v>3.0290237687622726E-3</v>
      </c>
      <c r="K192" s="2"/>
      <c r="L192" s="6">
        <f t="shared" si="25"/>
        <v>552.51999999999862</v>
      </c>
      <c r="M192" s="2"/>
      <c r="N192" s="7">
        <f t="shared" si="26"/>
        <v>6.3125014995218498E-2</v>
      </c>
      <c r="O192" s="11"/>
      <c r="P192" s="6">
        <v>52358.270000000004</v>
      </c>
      <c r="Q192" s="2"/>
      <c r="R192" s="7">
        <f t="shared" si="27"/>
        <v>5.5188788966029668E-3</v>
      </c>
      <c r="S192" s="2"/>
      <c r="T192" s="6">
        <v>50732.18</v>
      </c>
      <c r="U192" s="2"/>
      <c r="V192" s="7">
        <f t="shared" si="28"/>
        <v>4.9043313329358114E-3</v>
      </c>
      <c r="W192" s="2"/>
      <c r="X192" s="6">
        <f t="shared" si="29"/>
        <v>1626.0900000000038</v>
      </c>
      <c r="Y192" s="2"/>
      <c r="Z192" s="7">
        <f t="shared" si="30"/>
        <v>3.2052436934505942E-2</v>
      </c>
    </row>
    <row r="193" spans="1:26" s="24" customFormat="1" hidden="1" outlineLevel="2" x14ac:dyDescent="0.25">
      <c r="A193" s="25"/>
      <c r="B193" s="11" t="str">
        <f>CONCATENATE("          ", "6117", " - ", "RETIREMENT STAFF HOURLY")</f>
        <v xml:space="preserve">          6117 - RETIREMENT STAFF HOURLY</v>
      </c>
      <c r="C193" s="11"/>
      <c r="D193" s="6">
        <v>376.62</v>
      </c>
      <c r="E193" s="2"/>
      <c r="F193" s="7">
        <f t="shared" si="23"/>
        <v>1.5767694888648118E-4</v>
      </c>
      <c r="G193" s="2"/>
      <c r="H193" s="6">
        <v>314.62</v>
      </c>
      <c r="I193" s="2"/>
      <c r="J193" s="7">
        <f t="shared" si="24"/>
        <v>1.0887859278332808E-4</v>
      </c>
      <c r="K193" s="2"/>
      <c r="L193" s="6">
        <f t="shared" si="25"/>
        <v>62</v>
      </c>
      <c r="M193" s="2"/>
      <c r="N193" s="7">
        <f t="shared" si="26"/>
        <v>0.19706312376835547</v>
      </c>
      <c r="O193" s="11"/>
      <c r="P193" s="6">
        <v>2147.59</v>
      </c>
      <c r="Q193" s="2"/>
      <c r="R193" s="7">
        <f t="shared" si="27"/>
        <v>2.2636899824145387E-4</v>
      </c>
      <c r="S193" s="2"/>
      <c r="T193" s="6">
        <v>2869.51</v>
      </c>
      <c r="U193" s="2"/>
      <c r="V193" s="7">
        <f t="shared" si="28"/>
        <v>2.7739844420587959E-4</v>
      </c>
      <c r="W193" s="2"/>
      <c r="X193" s="6">
        <f t="shared" si="29"/>
        <v>-721.92000000000007</v>
      </c>
      <c r="Y193" s="2"/>
      <c r="Z193" s="7">
        <f t="shared" si="30"/>
        <v>-0.25158302288544038</v>
      </c>
    </row>
    <row r="194" spans="1:26" s="24" customFormat="1" hidden="1" outlineLevel="2" x14ac:dyDescent="0.25">
      <c r="A194" s="25"/>
      <c r="B194" s="11" t="str">
        <f>CONCATENATE("          ", "6118", " - ", "VACATION")</f>
        <v xml:space="preserve">          6118 - VACATION</v>
      </c>
      <c r="C194" s="11"/>
      <c r="D194" s="6">
        <v>4385.49</v>
      </c>
      <c r="E194" s="2"/>
      <c r="F194" s="7">
        <f t="shared" si="23"/>
        <v>1.8360434458397704E-3</v>
      </c>
      <c r="G194" s="2"/>
      <c r="H194" s="6">
        <v>7264.37</v>
      </c>
      <c r="I194" s="2"/>
      <c r="J194" s="7">
        <f t="shared" si="24"/>
        <v>2.5139354874369872E-3</v>
      </c>
      <c r="K194" s="2"/>
      <c r="L194" s="6">
        <f t="shared" si="25"/>
        <v>-2878.88</v>
      </c>
      <c r="M194" s="2"/>
      <c r="N194" s="7">
        <f t="shared" si="26"/>
        <v>-0.39630139984609819</v>
      </c>
      <c r="O194" s="11"/>
      <c r="P194" s="6">
        <v>39557.879999999997</v>
      </c>
      <c r="Q194" s="2"/>
      <c r="R194" s="7">
        <f t="shared" si="27"/>
        <v>4.1696402330778414E-3</v>
      </c>
      <c r="S194" s="2"/>
      <c r="T194" s="6">
        <v>46559.87</v>
      </c>
      <c r="U194" s="2"/>
      <c r="V194" s="7">
        <f t="shared" si="28"/>
        <v>4.500989890409166E-3</v>
      </c>
      <c r="W194" s="2"/>
      <c r="X194" s="6">
        <f t="shared" si="29"/>
        <v>-7001.9900000000052</v>
      </c>
      <c r="Y194" s="2"/>
      <c r="Z194" s="7">
        <f t="shared" si="30"/>
        <v>-0.15038680305593646</v>
      </c>
    </row>
    <row r="195" spans="1:26" s="24" customFormat="1" hidden="1" outlineLevel="2" x14ac:dyDescent="0.25">
      <c r="A195" s="25"/>
      <c r="B195" s="11" t="str">
        <f>CONCATENATE("          ", "6119", " - ", "SICK LEAVE")</f>
        <v xml:space="preserve">          6119 - SICK LEAVE</v>
      </c>
      <c r="C195" s="11"/>
      <c r="D195" s="6">
        <v>3553.89</v>
      </c>
      <c r="E195" s="2"/>
      <c r="F195" s="7">
        <f t="shared" si="23"/>
        <v>1.4878830966974048E-3</v>
      </c>
      <c r="G195" s="2"/>
      <c r="H195" s="6">
        <v>7011.55</v>
      </c>
      <c r="I195" s="2"/>
      <c r="J195" s="7">
        <f t="shared" si="24"/>
        <v>2.4264436374990274E-3</v>
      </c>
      <c r="K195" s="2"/>
      <c r="L195" s="6">
        <f t="shared" si="25"/>
        <v>-3457.6600000000003</v>
      </c>
      <c r="M195" s="2"/>
      <c r="N195" s="7">
        <f t="shared" si="26"/>
        <v>-0.49313775128181359</v>
      </c>
      <c r="O195" s="11"/>
      <c r="P195" s="6">
        <v>31371.260000000002</v>
      </c>
      <c r="Q195" s="2"/>
      <c r="R195" s="7">
        <f t="shared" si="27"/>
        <v>3.3067208823714914E-3</v>
      </c>
      <c r="S195" s="2"/>
      <c r="T195" s="6">
        <v>37201.83</v>
      </c>
      <c r="U195" s="2"/>
      <c r="V195" s="7">
        <f t="shared" si="28"/>
        <v>3.5963386653510938E-3</v>
      </c>
      <c r="W195" s="2"/>
      <c r="X195" s="6">
        <f t="shared" si="29"/>
        <v>-5830.57</v>
      </c>
      <c r="Y195" s="2"/>
      <c r="Z195" s="7">
        <f t="shared" si="30"/>
        <v>-0.15672804267962084</v>
      </c>
    </row>
    <row r="196" spans="1:26" s="24" customFormat="1" hidden="1" outlineLevel="2" x14ac:dyDescent="0.25">
      <c r="A196" s="25"/>
      <c r="B196" s="11" t="str">
        <f>CONCATENATE("          ", "6156", " - ", "EMPLOYEE MEALS")</f>
        <v xml:space="preserve">          6156 - EMPLOYEE MEALS</v>
      </c>
      <c r="C196" s="11"/>
      <c r="D196" s="6">
        <v>2953.18</v>
      </c>
      <c r="E196" s="2"/>
      <c r="F196" s="7">
        <f t="shared" si="23"/>
        <v>1.2363879026939049E-3</v>
      </c>
      <c r="G196" s="2"/>
      <c r="H196" s="6">
        <v>2357.77</v>
      </c>
      <c r="I196" s="2"/>
      <c r="J196" s="7">
        <f t="shared" si="24"/>
        <v>8.1593884593079719E-4</v>
      </c>
      <c r="K196" s="2"/>
      <c r="L196" s="6">
        <f t="shared" si="25"/>
        <v>595.40999999999985</v>
      </c>
      <c r="M196" s="2"/>
      <c r="N196" s="7">
        <f t="shared" si="26"/>
        <v>0.25253099326906353</v>
      </c>
      <c r="O196" s="11"/>
      <c r="P196" s="6">
        <v>15436.9</v>
      </c>
      <c r="Q196" s="2"/>
      <c r="R196" s="7">
        <f t="shared" si="27"/>
        <v>1.6271427921314117E-3</v>
      </c>
      <c r="S196" s="2"/>
      <c r="T196" s="6">
        <v>15640.409999999998</v>
      </c>
      <c r="U196" s="2"/>
      <c r="V196" s="7">
        <f t="shared" si="28"/>
        <v>1.5119743094612252E-3</v>
      </c>
      <c r="W196" s="2"/>
      <c r="X196" s="6">
        <f t="shared" si="29"/>
        <v>-203.5099999999984</v>
      </c>
      <c r="Y196" s="2"/>
      <c r="Z196" s="7">
        <f t="shared" si="30"/>
        <v>-1.3011807235232225E-2</v>
      </c>
    </row>
    <row r="197" spans="1:26" s="26" customFormat="1" outlineLevel="1" collapsed="1" x14ac:dyDescent="0.25">
      <c r="A197" s="27"/>
      <c r="B197" s="13" t="str">
        <f>CONCATENATE("     ","*Payroll                                          ")</f>
        <v xml:space="preserve">     *Payroll                                          </v>
      </c>
      <c r="C197" s="13"/>
      <c r="D197" s="1">
        <f>SUM(OSRRefD22_1x_0)</f>
        <v>279314.69</v>
      </c>
      <c r="E197" s="1"/>
      <c r="F197" s="5">
        <f t="shared" ref="F197:F204" si="31">IF(D$12=0,0,D197/D$12)</f>
        <v>0.11693879267796012</v>
      </c>
      <c r="G197" s="1"/>
      <c r="H197" s="1">
        <f>SUM(OSRRefH22_1x_0)</f>
        <v>268672.90999999997</v>
      </c>
      <c r="I197" s="1"/>
      <c r="J197" s="5">
        <f t="shared" ref="J197:J204" si="32">IF(H$12=0,0,H197/H$12)</f>
        <v>9.2977968214995071E-2</v>
      </c>
      <c r="K197" s="1"/>
      <c r="L197" s="1">
        <f t="shared" ref="L197:L204" si="33">+D197-H197</f>
        <v>10641.780000000028</v>
      </c>
      <c r="M197" s="1"/>
      <c r="N197" s="5">
        <f t="shared" ref="N197:N204" si="34">IF(H197=0,0,L197/H197)</f>
        <v>3.9608682542650202E-2</v>
      </c>
      <c r="O197" s="13"/>
      <c r="P197" s="1">
        <f>SUM(OSRRefP22_1x_0)</f>
        <v>1371374.3399999999</v>
      </c>
      <c r="Q197" s="1"/>
      <c r="R197" s="5">
        <f t="shared" ref="R197:R204" si="35">IF(P$12=0,0,P197/P$12)</f>
        <v>0.14455116458906722</v>
      </c>
      <c r="S197" s="1"/>
      <c r="T197" s="1">
        <f>SUM(OSRRefT22_1x_0)</f>
        <v>1313379.04</v>
      </c>
      <c r="U197" s="1"/>
      <c r="V197" s="5">
        <f t="shared" ref="V197:V204" si="36">IF(T$12=0,0,T197/T$12)</f>
        <v>0.12696568485511869</v>
      </c>
      <c r="W197" s="1"/>
      <c r="X197" s="1">
        <f t="shared" ref="X197:X204" si="37">+P197-T197</f>
        <v>57995.299999999814</v>
      </c>
      <c r="Y197" s="1"/>
      <c r="Z197" s="5">
        <f t="shared" ref="Z197:Z204" si="38">IF(T197=0,0,X197/T197)</f>
        <v>4.4157321103586222E-2</v>
      </c>
    </row>
    <row r="198" spans="1:26" s="24" customFormat="1" hidden="1" outlineLevel="2" x14ac:dyDescent="0.25">
      <c r="A198" s="25"/>
      <c r="B198" s="11" t="str">
        <f>CONCATENATE("          ", "6001", " - ", "ADMINISTRATIVE SALARIES")</f>
        <v xml:space="preserve">          6001 - ADMINISTRATIVE SALARIES</v>
      </c>
      <c r="C198" s="11"/>
      <c r="D198" s="6">
        <v>12324.43</v>
      </c>
      <c r="E198" s="2"/>
      <c r="F198" s="7">
        <f t="shared" si="31"/>
        <v>5.1597857765520033E-3</v>
      </c>
      <c r="G198" s="2"/>
      <c r="H198" s="6">
        <v>10925</v>
      </c>
      <c r="I198" s="2"/>
      <c r="J198" s="7">
        <f t="shared" si="32"/>
        <v>3.7807470159489515E-3</v>
      </c>
      <c r="K198" s="2"/>
      <c r="L198" s="6">
        <f t="shared" si="33"/>
        <v>1399.4300000000003</v>
      </c>
      <c r="M198" s="2"/>
      <c r="N198" s="7">
        <f t="shared" si="34"/>
        <v>0.12809427917620139</v>
      </c>
      <c r="O198" s="11"/>
      <c r="P198" s="6">
        <v>79306.540000000008</v>
      </c>
      <c r="Q198" s="2"/>
      <c r="R198" s="7">
        <f t="shared" si="35"/>
        <v>8.35938983409114E-3</v>
      </c>
      <c r="S198" s="2"/>
      <c r="T198" s="6">
        <v>78037.25</v>
      </c>
      <c r="U198" s="2"/>
      <c r="V198" s="7">
        <f t="shared" si="36"/>
        <v>7.5439401640368126E-3</v>
      </c>
      <c r="W198" s="2"/>
      <c r="X198" s="6">
        <f t="shared" si="37"/>
        <v>1269.2900000000081</v>
      </c>
      <c r="Y198" s="2"/>
      <c r="Z198" s="7">
        <f t="shared" si="38"/>
        <v>1.6265181051356988E-2</v>
      </c>
    </row>
    <row r="199" spans="1:26" s="24" customFormat="1" hidden="1" outlineLevel="2" x14ac:dyDescent="0.25">
      <c r="A199" s="25"/>
      <c r="B199" s="11" t="str">
        <f>CONCATENATE("          ", "6002", " - ", "STAFF SALARIES")</f>
        <v xml:space="preserve">          6002 - STAFF SALARIES</v>
      </c>
      <c r="C199" s="11"/>
      <c r="D199" s="6">
        <v>71840.429999999993</v>
      </c>
      <c r="E199" s="2"/>
      <c r="F199" s="7">
        <f t="shared" si="31"/>
        <v>3.0076947079530635E-2</v>
      </c>
      <c r="G199" s="2"/>
      <c r="H199" s="6">
        <v>72187.23</v>
      </c>
      <c r="I199" s="2"/>
      <c r="J199" s="7">
        <f t="shared" si="32"/>
        <v>2.4981387131544221E-2</v>
      </c>
      <c r="K199" s="2"/>
      <c r="L199" s="6">
        <f t="shared" si="33"/>
        <v>-346.80000000000291</v>
      </c>
      <c r="M199" s="2"/>
      <c r="N199" s="7">
        <f t="shared" si="34"/>
        <v>-4.8041738130137832E-3</v>
      </c>
      <c r="O199" s="11"/>
      <c r="P199" s="6">
        <v>440101.89</v>
      </c>
      <c r="Q199" s="2"/>
      <c r="R199" s="7">
        <f t="shared" si="35"/>
        <v>4.6389405782048955E-2</v>
      </c>
      <c r="S199" s="2"/>
      <c r="T199" s="6">
        <v>416450.84</v>
      </c>
      <c r="U199" s="2"/>
      <c r="V199" s="7">
        <f t="shared" si="36"/>
        <v>4.025872539361483E-2</v>
      </c>
      <c r="W199" s="2"/>
      <c r="X199" s="6">
        <f t="shared" si="37"/>
        <v>23651.049999999988</v>
      </c>
      <c r="Y199" s="2"/>
      <c r="Z199" s="7">
        <f t="shared" si="38"/>
        <v>5.6791937314858071E-2</v>
      </c>
    </row>
    <row r="200" spans="1:26" s="24" customFormat="1" hidden="1" outlineLevel="2" x14ac:dyDescent="0.25">
      <c r="A200" s="25"/>
      <c r="B200" s="11" t="str">
        <f>CONCATENATE("          ", "6004", " - ", "STAFF HOURLY")</f>
        <v xml:space="preserve">          6004 - STAFF HOURLY</v>
      </c>
      <c r="C200" s="11"/>
      <c r="D200" s="6">
        <v>4901.03</v>
      </c>
      <c r="E200" s="2"/>
      <c r="F200" s="7">
        <f t="shared" si="31"/>
        <v>2.0518810918196346E-3</v>
      </c>
      <c r="G200" s="2"/>
      <c r="H200" s="6">
        <v>6782.19</v>
      </c>
      <c r="I200" s="2"/>
      <c r="J200" s="7">
        <f t="shared" si="32"/>
        <v>2.3470704443111045E-3</v>
      </c>
      <c r="K200" s="2"/>
      <c r="L200" s="6">
        <f t="shared" si="33"/>
        <v>-1881.1599999999999</v>
      </c>
      <c r="M200" s="2"/>
      <c r="N200" s="7">
        <f t="shared" si="34"/>
        <v>-0.27736763493797728</v>
      </c>
      <c r="O200" s="11"/>
      <c r="P200" s="6">
        <v>20845.27</v>
      </c>
      <c r="Q200" s="2"/>
      <c r="R200" s="7">
        <f t="shared" si="35"/>
        <v>2.1972177594292348E-3</v>
      </c>
      <c r="S200" s="2"/>
      <c r="T200" s="6">
        <v>42650.990000000005</v>
      </c>
      <c r="U200" s="2"/>
      <c r="V200" s="7">
        <f t="shared" si="36"/>
        <v>4.1231144933596775E-3</v>
      </c>
      <c r="W200" s="2"/>
      <c r="X200" s="6">
        <f t="shared" si="37"/>
        <v>-21805.720000000005</v>
      </c>
      <c r="Y200" s="2"/>
      <c r="Z200" s="7">
        <f t="shared" si="38"/>
        <v>-0.51125941039117739</v>
      </c>
    </row>
    <row r="201" spans="1:26" s="24" customFormat="1" hidden="1" outlineLevel="2" x14ac:dyDescent="0.25">
      <c r="A201" s="25"/>
      <c r="B201" s="11" t="str">
        <f>CONCATENATE("          ", "6005", " - ", "TEMPORARY WAGES-HOURLY")</f>
        <v xml:space="preserve">          6005 - TEMPORARY WAGES-HOURLY</v>
      </c>
      <c r="C201" s="11"/>
      <c r="D201" s="6">
        <v>23134.2</v>
      </c>
      <c r="E201" s="2"/>
      <c r="F201" s="7">
        <f t="shared" si="31"/>
        <v>9.6854390922670938E-3</v>
      </c>
      <c r="G201" s="2"/>
      <c r="H201" s="6">
        <v>23950.2</v>
      </c>
      <c r="I201" s="2"/>
      <c r="J201" s="7">
        <f t="shared" si="32"/>
        <v>8.2882972248403287E-3</v>
      </c>
      <c r="K201" s="2"/>
      <c r="L201" s="6">
        <f t="shared" si="33"/>
        <v>-816</v>
      </c>
      <c r="M201" s="2"/>
      <c r="N201" s="7">
        <f t="shared" si="34"/>
        <v>-3.4070696695643457E-2</v>
      </c>
      <c r="O201" s="11"/>
      <c r="P201" s="6">
        <v>150998.21</v>
      </c>
      <c r="Q201" s="2"/>
      <c r="R201" s="7">
        <f t="shared" si="35"/>
        <v>1.5916126231707486E-2</v>
      </c>
      <c r="S201" s="2"/>
      <c r="T201" s="6">
        <v>152249.60000000001</v>
      </c>
      <c r="U201" s="2"/>
      <c r="V201" s="7">
        <f t="shared" si="36"/>
        <v>1.4718123362862469E-2</v>
      </c>
      <c r="W201" s="2"/>
      <c r="X201" s="6">
        <f t="shared" si="37"/>
        <v>-1251.390000000014</v>
      </c>
      <c r="Y201" s="2"/>
      <c r="Z201" s="7">
        <f t="shared" si="38"/>
        <v>-8.219331939131623E-3</v>
      </c>
    </row>
    <row r="202" spans="1:26" s="24" customFormat="1" hidden="1" outlineLevel="2" x14ac:dyDescent="0.25">
      <c r="A202" s="25"/>
      <c r="B202" s="11" t="str">
        <f>CONCATENATE("          ", "6006", " - ", "TEMPORARY PART TIME")</f>
        <v xml:space="preserve">          6006 - TEMPORARY PART TIME</v>
      </c>
      <c r="C202" s="11"/>
      <c r="D202" s="6">
        <v>1311.18</v>
      </c>
      <c r="E202" s="2"/>
      <c r="F202" s="7">
        <f t="shared" si="31"/>
        <v>5.489428650655207E-4</v>
      </c>
      <c r="G202" s="2"/>
      <c r="H202" s="6">
        <v>3953.5</v>
      </c>
      <c r="I202" s="2"/>
      <c r="J202" s="7">
        <f t="shared" si="32"/>
        <v>1.3681632336434032E-3</v>
      </c>
      <c r="K202" s="2"/>
      <c r="L202" s="6">
        <f t="shared" si="33"/>
        <v>-2642.3199999999997</v>
      </c>
      <c r="M202" s="2"/>
      <c r="N202" s="7">
        <f t="shared" si="34"/>
        <v>-0.66834956367775378</v>
      </c>
      <c r="O202" s="11"/>
      <c r="P202" s="6">
        <v>30061.09</v>
      </c>
      <c r="Q202" s="2"/>
      <c r="R202" s="7">
        <f t="shared" si="35"/>
        <v>3.1686210260553392E-3</v>
      </c>
      <c r="S202" s="2"/>
      <c r="T202" s="6">
        <v>44294.009999999995</v>
      </c>
      <c r="U202" s="2"/>
      <c r="V202" s="7">
        <f t="shared" si="36"/>
        <v>4.281946904398197E-3</v>
      </c>
      <c r="W202" s="2"/>
      <c r="X202" s="6">
        <f t="shared" si="37"/>
        <v>-14232.919999999995</v>
      </c>
      <c r="Y202" s="2"/>
      <c r="Z202" s="7">
        <f t="shared" si="38"/>
        <v>-0.3213283240781315</v>
      </c>
    </row>
    <row r="203" spans="1:26" s="24" customFormat="1" hidden="1" outlineLevel="2" x14ac:dyDescent="0.25">
      <c r="A203" s="25"/>
      <c r="B203" s="11" t="str">
        <f>CONCATENATE("          ", "6007", " - ", "STUDENT HOURLY")</f>
        <v xml:space="preserve">          6007 - STUDENT HOURLY</v>
      </c>
      <c r="C203" s="11"/>
      <c r="D203" s="6">
        <v>161244.03</v>
      </c>
      <c r="E203" s="2"/>
      <c r="F203" s="7">
        <f t="shared" si="31"/>
        <v>6.7506947789709087E-2</v>
      </c>
      <c r="G203" s="2"/>
      <c r="H203" s="6">
        <v>146500.28999999998</v>
      </c>
      <c r="I203" s="2"/>
      <c r="J203" s="7">
        <f t="shared" si="32"/>
        <v>5.0698447071227087E-2</v>
      </c>
      <c r="K203" s="2"/>
      <c r="L203" s="6">
        <f t="shared" si="33"/>
        <v>14743.74000000002</v>
      </c>
      <c r="M203" s="2"/>
      <c r="N203" s="7">
        <f t="shared" si="34"/>
        <v>0.10063966426278079</v>
      </c>
      <c r="O203" s="11"/>
      <c r="P203" s="6">
        <v>639058.69999999995</v>
      </c>
      <c r="Q203" s="2"/>
      <c r="R203" s="7">
        <f t="shared" si="35"/>
        <v>6.7360659034771897E-2</v>
      </c>
      <c r="S203" s="2"/>
      <c r="T203" s="6">
        <v>561940.6</v>
      </c>
      <c r="U203" s="2"/>
      <c r="V203" s="7">
        <f t="shared" si="36"/>
        <v>5.4323368162549873E-2</v>
      </c>
      <c r="W203" s="2"/>
      <c r="X203" s="6">
        <f t="shared" si="37"/>
        <v>77118.099999999977</v>
      </c>
      <c r="Y203" s="2"/>
      <c r="Z203" s="7">
        <f t="shared" si="38"/>
        <v>0.13723532344877729</v>
      </c>
    </row>
    <row r="204" spans="1:26" s="24" customFormat="1" hidden="1" outlineLevel="2" x14ac:dyDescent="0.25">
      <c r="A204" s="25"/>
      <c r="B204" s="11" t="str">
        <f>CONCATENATE("          ", "6008", " - ", "STUDENT HOURLY-FICA EXEMPT")</f>
        <v xml:space="preserve">          6008 - STUDENT HOURLY-FICA EXEMPT</v>
      </c>
      <c r="C204" s="11"/>
      <c r="D204" s="6">
        <v>4559.3900000000003</v>
      </c>
      <c r="E204" s="2"/>
      <c r="F204" s="7">
        <f t="shared" si="31"/>
        <v>1.9088489830161263E-3</v>
      </c>
      <c r="G204" s="2"/>
      <c r="H204" s="6">
        <v>4374.5</v>
      </c>
      <c r="I204" s="2"/>
      <c r="J204" s="7">
        <f t="shared" si="32"/>
        <v>1.5138560934799716E-3</v>
      </c>
      <c r="K204" s="2"/>
      <c r="L204" s="6">
        <f t="shared" si="33"/>
        <v>184.89000000000033</v>
      </c>
      <c r="M204" s="2"/>
      <c r="N204" s="7">
        <f t="shared" si="34"/>
        <v>4.2265401760201243E-2</v>
      </c>
      <c r="O204" s="11"/>
      <c r="P204" s="6">
        <v>11002.64</v>
      </c>
      <c r="Q204" s="2"/>
      <c r="R204" s="7">
        <f t="shared" si="35"/>
        <v>1.1597449209631958E-3</v>
      </c>
      <c r="S204" s="2"/>
      <c r="T204" s="6">
        <v>17755.75</v>
      </c>
      <c r="U204" s="2"/>
      <c r="V204" s="7">
        <f t="shared" si="36"/>
        <v>1.7164663742968472E-3</v>
      </c>
      <c r="W204" s="2"/>
      <c r="X204" s="6">
        <f t="shared" si="37"/>
        <v>-6753.1100000000006</v>
      </c>
      <c r="Y204" s="2"/>
      <c r="Z204" s="7">
        <f t="shared" si="38"/>
        <v>-0.38033369471861234</v>
      </c>
    </row>
    <row r="205" spans="1:26" s="26" customFormat="1" outlineLevel="1" collapsed="1" x14ac:dyDescent="0.25">
      <c r="A205" s="27"/>
      <c r="B205" s="13" t="str">
        <f>CONCATENATE("     ","Advertising/Promo                                 ")</f>
        <v xml:space="preserve">     Advertising/Promo                                 </v>
      </c>
      <c r="C205" s="13"/>
      <c r="D205" s="1">
        <f>SUM(OSRRefD22_2x_0)</f>
        <v>3193.95</v>
      </c>
      <c r="E205" s="1"/>
      <c r="F205" s="5">
        <f t="shared" ref="F205:F209" si="39">IF(D$12=0,0,D205/D$12)</f>
        <v>1.3371894506292192E-3</v>
      </c>
      <c r="G205" s="1"/>
      <c r="H205" s="1">
        <f>SUM(OSRRefH22_2x_0)</f>
        <v>10137.700000000001</v>
      </c>
      <c r="I205" s="1"/>
      <c r="J205" s="5">
        <f t="shared" ref="J205:J209" si="40">IF(H$12=0,0,H205/H$12)</f>
        <v>3.5082909861405666E-3</v>
      </c>
      <c r="K205" s="1"/>
      <c r="L205" s="1">
        <f t="shared" ref="L205:L209" si="41">+D205-H205</f>
        <v>-6943.7500000000009</v>
      </c>
      <c r="M205" s="1"/>
      <c r="N205" s="5">
        <f t="shared" ref="N205:N209" si="42">IF(H205=0,0,L205/H205)</f>
        <v>-0.68494333034120169</v>
      </c>
      <c r="O205" s="13"/>
      <c r="P205" s="1">
        <f>SUM(OSRRefP22_2x_0)</f>
        <v>42003.859999999993</v>
      </c>
      <c r="Q205" s="1"/>
      <c r="R205" s="5">
        <f t="shared" ref="R205:R209" si="43">IF(P$12=0,0,P205/P$12)</f>
        <v>4.4274613452634217E-3</v>
      </c>
      <c r="S205" s="1"/>
      <c r="T205" s="1">
        <f>SUM(OSRRefT22_2x_0)</f>
        <v>53538.140000000007</v>
      </c>
      <c r="U205" s="1"/>
      <c r="V205" s="5">
        <f t="shared" ref="V205:V209" si="44">IF(T$12=0,0,T205/T$12)</f>
        <v>5.1755863341394768E-3</v>
      </c>
      <c r="W205" s="1"/>
      <c r="X205" s="1">
        <f t="shared" ref="X205:X209" si="45">+P205-T205</f>
        <v>-11534.280000000013</v>
      </c>
      <c r="Y205" s="1"/>
      <c r="Z205" s="5">
        <f t="shared" ref="Z205:Z209" si="46">IF(T205=0,0,X205/T205)</f>
        <v>-0.21544043181178898</v>
      </c>
    </row>
    <row r="206" spans="1:26" s="24" customFormat="1" hidden="1" outlineLevel="2" x14ac:dyDescent="0.25">
      <c r="A206" s="25"/>
      <c r="B206" s="11" t="str">
        <f>CONCATENATE("          ", "6362", " - ", "ADVERTISING EXPENSE")</f>
        <v xml:space="preserve">          6362 - ADVERTISING EXPENSE</v>
      </c>
      <c r="C206" s="11"/>
      <c r="D206" s="6">
        <v>3193.95</v>
      </c>
      <c r="E206" s="2"/>
      <c r="F206" s="7">
        <f t="shared" si="39"/>
        <v>1.3371894506292192E-3</v>
      </c>
      <c r="G206" s="2"/>
      <c r="H206" s="6">
        <v>10137.700000000001</v>
      </c>
      <c r="I206" s="2"/>
      <c r="J206" s="7">
        <f t="shared" si="40"/>
        <v>3.5082909861405666E-3</v>
      </c>
      <c r="K206" s="2"/>
      <c r="L206" s="6">
        <f t="shared" si="41"/>
        <v>-6943.7500000000009</v>
      </c>
      <c r="M206" s="2"/>
      <c r="N206" s="7">
        <f t="shared" si="42"/>
        <v>-0.68494333034120169</v>
      </c>
      <c r="O206" s="11"/>
      <c r="P206" s="6">
        <v>42003.859999999993</v>
      </c>
      <c r="Q206" s="2"/>
      <c r="R206" s="7">
        <f t="shared" si="43"/>
        <v>4.4274613452634217E-3</v>
      </c>
      <c r="S206" s="2"/>
      <c r="T206" s="6">
        <v>53538.140000000007</v>
      </c>
      <c r="U206" s="2"/>
      <c r="V206" s="7">
        <f t="shared" si="44"/>
        <v>5.1755863341394768E-3</v>
      </c>
      <c r="W206" s="2"/>
      <c r="X206" s="6">
        <f t="shared" si="45"/>
        <v>-11534.280000000013</v>
      </c>
      <c r="Y206" s="2"/>
      <c r="Z206" s="7">
        <f t="shared" si="46"/>
        <v>-0.21544043181178898</v>
      </c>
    </row>
    <row r="207" spans="1:26" s="26" customFormat="1" outlineLevel="1" collapsed="1" x14ac:dyDescent="0.25">
      <c r="A207" s="27"/>
      <c r="B207" s="13" t="str">
        <f>CONCATENATE("     ","Bad Debts/Over/Short                              ")</f>
        <v xml:space="preserve">     Bad Debts/Over/Short                              </v>
      </c>
      <c r="C207" s="13"/>
      <c r="D207" s="1">
        <f>SUM(OSRRefD22_3x_0)</f>
        <v>-95</v>
      </c>
      <c r="E207" s="1"/>
      <c r="F207" s="5">
        <f t="shared" si="39"/>
        <v>-3.9773007658158653E-5</v>
      </c>
      <c r="G207" s="1"/>
      <c r="H207" s="1">
        <f>SUM(OSRRefH22_3x_0)</f>
        <v>387.31</v>
      </c>
      <c r="I207" s="1"/>
      <c r="J207" s="5">
        <f t="shared" si="40"/>
        <v>1.3403397041164198E-4</v>
      </c>
      <c r="K207" s="1"/>
      <c r="L207" s="1">
        <f t="shared" si="41"/>
        <v>-482.31</v>
      </c>
      <c r="M207" s="1"/>
      <c r="N207" s="5">
        <f t="shared" si="42"/>
        <v>-1.2452815574087941</v>
      </c>
      <c r="O207" s="13"/>
      <c r="P207" s="1">
        <f>SUM(OSRRefP22_3x_0)</f>
        <v>55.019999999999996</v>
      </c>
      <c r="Q207" s="1"/>
      <c r="R207" s="5">
        <f t="shared" si="43"/>
        <v>5.7994413660171586E-6</v>
      </c>
      <c r="S207" s="1"/>
      <c r="T207" s="1">
        <f>SUM(OSRRefT22_3x_0)</f>
        <v>1438.15</v>
      </c>
      <c r="U207" s="1"/>
      <c r="V207" s="5">
        <f t="shared" si="44"/>
        <v>1.3902742019880946E-4</v>
      </c>
      <c r="W207" s="1"/>
      <c r="X207" s="1">
        <f t="shared" si="45"/>
        <v>-1383.13</v>
      </c>
      <c r="Y207" s="1"/>
      <c r="Z207" s="5">
        <f t="shared" si="46"/>
        <v>-0.96174251642735464</v>
      </c>
    </row>
    <row r="208" spans="1:26" s="24" customFormat="1" hidden="1" outlineLevel="2" x14ac:dyDescent="0.25">
      <c r="A208" s="25"/>
      <c r="B208" s="11" t="str">
        <f>CONCATENATE("          ", "6272", " - ", "CASH (OVER/SHORT)")</f>
        <v xml:space="preserve">          6272 - CASH (OVER/SHORT)</v>
      </c>
      <c r="C208" s="11"/>
      <c r="D208" s="6">
        <v>-95</v>
      </c>
      <c r="E208" s="2"/>
      <c r="F208" s="7">
        <f t="shared" si="39"/>
        <v>-3.9773007658158653E-5</v>
      </c>
      <c r="G208" s="2"/>
      <c r="H208" s="6">
        <v>387.31</v>
      </c>
      <c r="I208" s="2"/>
      <c r="J208" s="7">
        <f t="shared" si="40"/>
        <v>1.3403397041164198E-4</v>
      </c>
      <c r="K208" s="2"/>
      <c r="L208" s="6">
        <f t="shared" si="41"/>
        <v>-482.31</v>
      </c>
      <c r="M208" s="2"/>
      <c r="N208" s="7">
        <f t="shared" si="42"/>
        <v>-1.2452815574087941</v>
      </c>
      <c r="O208" s="11"/>
      <c r="P208" s="6">
        <v>10.220000000000001</v>
      </c>
      <c r="Q208" s="2"/>
      <c r="R208" s="7">
        <f t="shared" si="43"/>
        <v>1.0772499229497523E-6</v>
      </c>
      <c r="S208" s="2"/>
      <c r="T208" s="6">
        <v>1438.15</v>
      </c>
      <c r="U208" s="2"/>
      <c r="V208" s="7">
        <f t="shared" si="44"/>
        <v>1.3902742019880946E-4</v>
      </c>
      <c r="W208" s="2"/>
      <c r="X208" s="6">
        <f t="shared" si="45"/>
        <v>-1427.93</v>
      </c>
      <c r="Y208" s="2"/>
      <c r="Z208" s="7">
        <f t="shared" si="46"/>
        <v>-0.99289364808955949</v>
      </c>
    </row>
    <row r="209" spans="1:26" s="24" customFormat="1" hidden="1" outlineLevel="2" x14ac:dyDescent="0.25">
      <c r="A209" s="25"/>
      <c r="B209" s="11" t="str">
        <f>CONCATENATE("          ", "6342", " - ", "BAD DEBT")</f>
        <v xml:space="preserve">          6342 - BAD DEBT</v>
      </c>
      <c r="C209" s="11"/>
      <c r="D209" s="6"/>
      <c r="E209" s="2"/>
      <c r="F209" s="7">
        <f t="shared" si="39"/>
        <v>0</v>
      </c>
      <c r="G209" s="2"/>
      <c r="H209" s="6"/>
      <c r="I209" s="2"/>
      <c r="J209" s="7">
        <f t="shared" si="40"/>
        <v>0</v>
      </c>
      <c r="K209" s="2"/>
      <c r="L209" s="6">
        <f t="shared" si="41"/>
        <v>0</v>
      </c>
      <c r="M209" s="2"/>
      <c r="N209" s="7">
        <f t="shared" si="42"/>
        <v>0</v>
      </c>
      <c r="O209" s="11"/>
      <c r="P209" s="6">
        <v>44.8</v>
      </c>
      <c r="Q209" s="2"/>
      <c r="R209" s="7">
        <f t="shared" si="43"/>
        <v>4.7221914430674067E-6</v>
      </c>
      <c r="S209" s="2"/>
      <c r="T209" s="6"/>
      <c r="U209" s="2"/>
      <c r="V209" s="7">
        <f t="shared" si="44"/>
        <v>0</v>
      </c>
      <c r="W209" s="2"/>
      <c r="X209" s="6">
        <f t="shared" si="45"/>
        <v>44.8</v>
      </c>
      <c r="Y209" s="2"/>
      <c r="Z209" s="7">
        <f t="shared" si="46"/>
        <v>0</v>
      </c>
    </row>
    <row r="210" spans="1:26" s="26" customFormat="1" outlineLevel="1" collapsed="1" x14ac:dyDescent="0.25">
      <c r="A210" s="27"/>
      <c r="B210" s="13" t="str">
        <f>CONCATENATE("     ","Bank/card Fees                                    ")</f>
        <v xml:space="preserve">     Bank/card Fees                                    </v>
      </c>
      <c r="C210" s="13"/>
      <c r="D210" s="1">
        <f>SUM(OSRRefD22_4x_0)</f>
        <v>25656.59</v>
      </c>
      <c r="E210" s="1"/>
      <c r="F210" s="5">
        <f t="shared" ref="F210:F214" si="47">IF(D$12=0,0,D210/D$12)</f>
        <v>1.0741471058444597E-2</v>
      </c>
      <c r="G210" s="1"/>
      <c r="H210" s="1">
        <f>SUM(OSRRefH22_4x_0)</f>
        <v>28344.1</v>
      </c>
      <c r="I210" s="1"/>
      <c r="J210" s="5">
        <f t="shared" ref="J210:J214" si="48">IF(H$12=0,0,H210/H$12)</f>
        <v>9.8088669560419846E-3</v>
      </c>
      <c r="K210" s="1"/>
      <c r="L210" s="1">
        <f t="shared" ref="L210:L214" si="49">+D210-H210</f>
        <v>-2687.5099999999984</v>
      </c>
      <c r="M210" s="1"/>
      <c r="N210" s="5">
        <f t="shared" ref="N210:N214" si="50">IF(H210=0,0,L210/H210)</f>
        <v>-9.481726355749516E-2</v>
      </c>
      <c r="O210" s="13"/>
      <c r="P210" s="1">
        <f>SUM(OSRRefP22_4x_0)</f>
        <v>117324.77</v>
      </c>
      <c r="Q210" s="1"/>
      <c r="R210" s="5">
        <f t="shared" ref="R210:R214" si="51">IF(P$12=0,0,P210/P$12)</f>
        <v>1.2366741628434187E-2</v>
      </c>
      <c r="S210" s="1"/>
      <c r="T210" s="1">
        <f>SUM(OSRRefT22_4x_0)</f>
        <v>118068.23999999999</v>
      </c>
      <c r="U210" s="1"/>
      <c r="V210" s="5">
        <f t="shared" ref="V210:V214" si="52">IF(T$12=0,0,T210/T$12)</f>
        <v>1.1413776598139193E-2</v>
      </c>
      <c r="W210" s="1"/>
      <c r="X210" s="1">
        <f t="shared" ref="X210:X214" si="53">+P210-T210</f>
        <v>-743.46999999998661</v>
      </c>
      <c r="Y210" s="1"/>
      <c r="Z210" s="5">
        <f t="shared" ref="Z210:Z214" si="54">IF(T210=0,0,X210/T210)</f>
        <v>-6.2969516611748148E-3</v>
      </c>
    </row>
    <row r="211" spans="1:26" s="24" customFormat="1" hidden="1" outlineLevel="2" x14ac:dyDescent="0.25">
      <c r="A211" s="25"/>
      <c r="B211" s="11" t="str">
        <f>CONCATENATE("          ", "6381", " - ", "BANK/CREDIT CARD FEES")</f>
        <v xml:space="preserve">          6381 - BANK/CREDIT CARD FEES</v>
      </c>
      <c r="C211" s="11"/>
      <c r="D211" s="6">
        <v>25656.59</v>
      </c>
      <c r="E211" s="2"/>
      <c r="F211" s="7">
        <f t="shared" si="47"/>
        <v>1.0741471058444597E-2</v>
      </c>
      <c r="G211" s="2"/>
      <c r="H211" s="6">
        <v>28344.1</v>
      </c>
      <c r="I211" s="2"/>
      <c r="J211" s="7">
        <f t="shared" si="48"/>
        <v>9.8088669560419846E-3</v>
      </c>
      <c r="K211" s="2"/>
      <c r="L211" s="6">
        <f t="shared" si="49"/>
        <v>-2687.5099999999984</v>
      </c>
      <c r="M211" s="2"/>
      <c r="N211" s="7">
        <f t="shared" si="50"/>
        <v>-9.481726355749516E-2</v>
      </c>
      <c r="O211" s="11"/>
      <c r="P211" s="6">
        <v>117324.77</v>
      </c>
      <c r="Q211" s="2"/>
      <c r="R211" s="7">
        <f t="shared" si="51"/>
        <v>1.2366741628434187E-2</v>
      </c>
      <c r="S211" s="2"/>
      <c r="T211" s="6">
        <v>118068.23999999999</v>
      </c>
      <c r="U211" s="2"/>
      <c r="V211" s="7">
        <f t="shared" si="52"/>
        <v>1.1413776598139193E-2</v>
      </c>
      <c r="W211" s="2"/>
      <c r="X211" s="6">
        <f t="shared" si="53"/>
        <v>-743.46999999998661</v>
      </c>
      <c r="Y211" s="2"/>
      <c r="Z211" s="7">
        <f t="shared" si="54"/>
        <v>-6.2969516611748148E-3</v>
      </c>
    </row>
    <row r="212" spans="1:26" s="26" customFormat="1" outlineLevel="1" collapsed="1" x14ac:dyDescent="0.25">
      <c r="A212" s="27"/>
      <c r="B212" s="13" t="str">
        <f>CONCATENATE("     ","Depreciation                                      ")</f>
        <v xml:space="preserve">     Depreciation                                      </v>
      </c>
      <c r="C212" s="13"/>
      <c r="D212" s="1">
        <f>SUM(OSRRefD22_5x_0)</f>
        <v>30057.75</v>
      </c>
      <c r="E212" s="1"/>
      <c r="F212" s="5">
        <f t="shared" si="47"/>
        <v>1.2584074957231772E-2</v>
      </c>
      <c r="G212" s="1"/>
      <c r="H212" s="1">
        <f>SUM(OSRRefH22_5x_0)</f>
        <v>29610.510000000002</v>
      </c>
      <c r="I212" s="1"/>
      <c r="J212" s="5">
        <f t="shared" si="48"/>
        <v>1.0247125613109986E-2</v>
      </c>
      <c r="K212" s="1"/>
      <c r="L212" s="1">
        <f t="shared" si="49"/>
        <v>447.23999999999796</v>
      </c>
      <c r="M212" s="1"/>
      <c r="N212" s="5">
        <f t="shared" si="50"/>
        <v>1.5104096484660275E-2</v>
      </c>
      <c r="O212" s="13"/>
      <c r="P212" s="1">
        <f>SUM(OSRRefP22_5x_0)</f>
        <v>209554.84999999998</v>
      </c>
      <c r="Q212" s="1"/>
      <c r="R212" s="5">
        <f t="shared" si="51"/>
        <v>2.2088350882215935E-2</v>
      </c>
      <c r="S212" s="1"/>
      <c r="T212" s="1">
        <f>SUM(OSRRefT22_5x_0)</f>
        <v>207273.57</v>
      </c>
      <c r="U212" s="1"/>
      <c r="V212" s="5">
        <f t="shared" si="52"/>
        <v>2.0037346391195178E-2</v>
      </c>
      <c r="W212" s="1"/>
      <c r="X212" s="1">
        <f t="shared" si="53"/>
        <v>2281.2799999999697</v>
      </c>
      <c r="Y212" s="1"/>
      <c r="Z212" s="5">
        <f t="shared" si="54"/>
        <v>1.100613068998604E-2</v>
      </c>
    </row>
    <row r="213" spans="1:26" s="24" customFormat="1" hidden="1" outlineLevel="2" x14ac:dyDescent="0.25">
      <c r="A213" s="25"/>
      <c r="B213" s="11" t="str">
        <f>CONCATENATE("          ", "6321", " - ", "BUILDING DEPRECIATION")</f>
        <v xml:space="preserve">          6321 - BUILDING DEPRECIATION</v>
      </c>
      <c r="C213" s="11"/>
      <c r="D213" s="6">
        <v>16396.52</v>
      </c>
      <c r="E213" s="2"/>
      <c r="F213" s="7">
        <f t="shared" si="47"/>
        <v>6.8646201634437005E-3</v>
      </c>
      <c r="G213" s="2"/>
      <c r="H213" s="6">
        <v>16453.38</v>
      </c>
      <c r="I213" s="2"/>
      <c r="J213" s="7">
        <f t="shared" si="48"/>
        <v>5.6939192070731498E-3</v>
      </c>
      <c r="K213" s="2"/>
      <c r="L213" s="6">
        <f t="shared" si="49"/>
        <v>-56.860000000000582</v>
      </c>
      <c r="M213" s="2"/>
      <c r="N213" s="7">
        <f t="shared" si="50"/>
        <v>-3.4558248821822978E-3</v>
      </c>
      <c r="O213" s="11"/>
      <c r="P213" s="6">
        <v>114775.64</v>
      </c>
      <c r="Q213" s="2"/>
      <c r="R213" s="7">
        <f t="shared" si="51"/>
        <v>1.2098047881263061E-2</v>
      </c>
      <c r="S213" s="2"/>
      <c r="T213" s="6">
        <v>115173.66</v>
      </c>
      <c r="U213" s="2"/>
      <c r="V213" s="7">
        <f t="shared" si="52"/>
        <v>1.1133954611587673E-2</v>
      </c>
      <c r="W213" s="2"/>
      <c r="X213" s="6">
        <f t="shared" si="53"/>
        <v>-398.02000000000407</v>
      </c>
      <c r="Y213" s="2"/>
      <c r="Z213" s="7">
        <f t="shared" si="54"/>
        <v>-3.4558248821822983E-3</v>
      </c>
    </row>
    <row r="214" spans="1:26" s="24" customFormat="1" hidden="1" outlineLevel="2" x14ac:dyDescent="0.25">
      <c r="A214" s="25"/>
      <c r="B214" s="11" t="str">
        <f>CONCATENATE("          ", "6322", " - ", "EQUIPMENT DEPRECIATION EXPENSE")</f>
        <v xml:space="preserve">          6322 - EQUIPMENT DEPRECIATION EXPENSE</v>
      </c>
      <c r="C214" s="11"/>
      <c r="D214" s="6">
        <v>13661.23</v>
      </c>
      <c r="E214" s="2"/>
      <c r="F214" s="7">
        <f t="shared" si="47"/>
        <v>5.7194547937880705E-3</v>
      </c>
      <c r="G214" s="2"/>
      <c r="H214" s="6">
        <v>13157.13</v>
      </c>
      <c r="I214" s="2"/>
      <c r="J214" s="7">
        <f t="shared" si="48"/>
        <v>4.5532064060368358E-3</v>
      </c>
      <c r="K214" s="2"/>
      <c r="L214" s="6">
        <f t="shared" si="49"/>
        <v>504.10000000000036</v>
      </c>
      <c r="M214" s="2"/>
      <c r="N214" s="7">
        <f t="shared" si="50"/>
        <v>3.8313826799613621E-2</v>
      </c>
      <c r="O214" s="11"/>
      <c r="P214" s="6">
        <v>94779.209999999992</v>
      </c>
      <c r="Q214" s="2"/>
      <c r="R214" s="7">
        <f t="shared" si="51"/>
        <v>9.9903030009528739E-3</v>
      </c>
      <c r="S214" s="2"/>
      <c r="T214" s="6">
        <v>92099.91</v>
      </c>
      <c r="U214" s="2"/>
      <c r="V214" s="7">
        <f t="shared" si="52"/>
        <v>8.9033917796075036E-3</v>
      </c>
      <c r="W214" s="2"/>
      <c r="X214" s="6">
        <f t="shared" si="53"/>
        <v>2679.2999999999884</v>
      </c>
      <c r="Y214" s="2"/>
      <c r="Z214" s="7">
        <f t="shared" si="54"/>
        <v>2.9091233639641865E-2</v>
      </c>
    </row>
    <row r="215" spans="1:26" s="26" customFormat="1" outlineLevel="1" collapsed="1" x14ac:dyDescent="0.25">
      <c r="A215" s="27"/>
      <c r="B215" s="13" t="str">
        <f>CONCATENATE("     ","Discounts and Markdowns                           ")</f>
        <v xml:space="preserve">     Discounts and Markdowns                           </v>
      </c>
      <c r="C215" s="13"/>
      <c r="D215" s="1">
        <f>SUM(OSRRefD22_6x_0)</f>
        <v>38396.86</v>
      </c>
      <c r="E215" s="1"/>
      <c r="F215" s="5">
        <f t="shared" ref="F215:F217" si="55">IF(D$12=0,0,D215/D$12)</f>
        <v>1.6075353756097324E-2</v>
      </c>
      <c r="G215" s="1"/>
      <c r="H215" s="1">
        <f>SUM(OSRRefH22_6x_0)</f>
        <v>42499.26</v>
      </c>
      <c r="I215" s="1"/>
      <c r="J215" s="5">
        <f t="shared" ref="J215:J217" si="56">IF(H$12=0,0,H215/H$12)</f>
        <v>1.470745541647951E-2</v>
      </c>
      <c r="K215" s="1"/>
      <c r="L215" s="1">
        <f t="shared" ref="L215:L217" si="57">+D215-H215</f>
        <v>-4102.4000000000015</v>
      </c>
      <c r="M215" s="1"/>
      <c r="N215" s="5">
        <f t="shared" ref="N215:N217" si="58">IF(H215=0,0,L215/H215)</f>
        <v>-9.6528739559229998E-2</v>
      </c>
      <c r="O215" s="13"/>
      <c r="P215" s="1">
        <f>SUM(OSRRefP22_6x_0)</f>
        <v>275371.86</v>
      </c>
      <c r="Q215" s="1"/>
      <c r="R215" s="5">
        <f t="shared" ref="R215:R217" si="59">IF(P$12=0,0,P215/P$12)</f>
        <v>2.9025862521284727E-2</v>
      </c>
      <c r="S215" s="1"/>
      <c r="T215" s="1">
        <f>SUM(OSRRefT22_6x_0)</f>
        <v>299005.19999999995</v>
      </c>
      <c r="U215" s="1"/>
      <c r="V215" s="5">
        <f t="shared" ref="V215:V217" si="60">IF(T$12=0,0,T215/T$12)</f>
        <v>2.8905136169404478E-2</v>
      </c>
      <c r="W215" s="1"/>
      <c r="X215" s="1">
        <f t="shared" ref="X215:X217" si="61">+P215-T215</f>
        <v>-23633.339999999967</v>
      </c>
      <c r="Y215" s="1"/>
      <c r="Z215" s="5">
        <f t="shared" ref="Z215:Z217" si="62">IF(T215=0,0,X215/T215)</f>
        <v>-7.9039896296117837E-2</v>
      </c>
    </row>
    <row r="216" spans="1:26" s="24" customFormat="1" hidden="1" outlineLevel="2" x14ac:dyDescent="0.25">
      <c r="A216" s="25"/>
      <c r="B216" s="11" t="str">
        <f>CONCATENATE("          ", "6382", " - ", "DISCOUNTS/MARK DOWNS")</f>
        <v xml:space="preserve">          6382 - DISCOUNTS/MARK DOWNS</v>
      </c>
      <c r="C216" s="11"/>
      <c r="D216" s="6">
        <v>38817.360000000001</v>
      </c>
      <c r="E216" s="2"/>
      <c r="F216" s="7">
        <f t="shared" si="55"/>
        <v>1.6251401647889491E-2</v>
      </c>
      <c r="G216" s="2"/>
      <c r="H216" s="6">
        <v>43153.46</v>
      </c>
      <c r="I216" s="2"/>
      <c r="J216" s="7">
        <f t="shared" si="56"/>
        <v>1.4933850354496334E-2</v>
      </c>
      <c r="K216" s="2"/>
      <c r="L216" s="6">
        <f t="shared" si="57"/>
        <v>-4336.0999999999985</v>
      </c>
      <c r="M216" s="2"/>
      <c r="N216" s="7">
        <f t="shared" si="58"/>
        <v>-0.1004809347848353</v>
      </c>
      <c r="O216" s="11"/>
      <c r="P216" s="6">
        <v>278278.86</v>
      </c>
      <c r="Q216" s="2"/>
      <c r="R216" s="7">
        <f t="shared" si="59"/>
        <v>2.9332277934789125E-2</v>
      </c>
      <c r="S216" s="2"/>
      <c r="T216" s="6">
        <v>302486.08999999997</v>
      </c>
      <c r="U216" s="2"/>
      <c r="V216" s="7">
        <f t="shared" si="60"/>
        <v>2.9241637338751094E-2</v>
      </c>
      <c r="W216" s="2"/>
      <c r="X216" s="6">
        <f t="shared" si="61"/>
        <v>-24207.229999999981</v>
      </c>
      <c r="Y216" s="2"/>
      <c r="Z216" s="7">
        <f t="shared" si="62"/>
        <v>-8.0027580772391832E-2</v>
      </c>
    </row>
    <row r="217" spans="1:26" s="24" customFormat="1" hidden="1" outlineLevel="2" x14ac:dyDescent="0.25">
      <c r="A217" s="25"/>
      <c r="B217" s="11" t="str">
        <f>CONCATENATE("          ", "9175", " - ", "EARNED DISCOUNTS")</f>
        <v xml:space="preserve">          9175 - EARNED DISCOUNTS</v>
      </c>
      <c r="C217" s="11"/>
      <c r="D217" s="6">
        <v>-420.5</v>
      </c>
      <c r="E217" s="2"/>
      <c r="F217" s="7">
        <f t="shared" si="55"/>
        <v>-1.7604789179216543E-4</v>
      </c>
      <c r="G217" s="2"/>
      <c r="H217" s="6">
        <v>-654.20000000000005</v>
      </c>
      <c r="I217" s="2"/>
      <c r="J217" s="7">
        <f t="shared" si="56"/>
        <v>-2.263949380168242E-4</v>
      </c>
      <c r="K217" s="2"/>
      <c r="L217" s="6">
        <f t="shared" si="57"/>
        <v>233.70000000000005</v>
      </c>
      <c r="M217" s="2"/>
      <c r="N217" s="7">
        <f t="shared" si="58"/>
        <v>-0.35723020483032714</v>
      </c>
      <c r="O217" s="11"/>
      <c r="P217" s="6">
        <v>-2907</v>
      </c>
      <c r="Q217" s="2"/>
      <c r="R217" s="7">
        <f t="shared" si="59"/>
        <v>-3.0641541350439624E-4</v>
      </c>
      <c r="S217" s="2"/>
      <c r="T217" s="6">
        <v>-3480.89</v>
      </c>
      <c r="U217" s="2"/>
      <c r="V217" s="7">
        <f t="shared" si="60"/>
        <v>-3.3650116934661459E-4</v>
      </c>
      <c r="W217" s="2"/>
      <c r="X217" s="6">
        <f t="shared" si="61"/>
        <v>573.88999999999987</v>
      </c>
      <c r="Y217" s="2"/>
      <c r="Z217" s="7">
        <f t="shared" si="62"/>
        <v>-0.1648687548299429</v>
      </c>
    </row>
    <row r="218" spans="1:26" s="26" customFormat="1" outlineLevel="1" collapsed="1" x14ac:dyDescent="0.25">
      <c r="A218" s="27"/>
      <c r="B218" s="13" t="str">
        <f>CONCATENATE("     ","Donations                                         ")</f>
        <v xml:space="preserve">     Donations                                         </v>
      </c>
      <c r="C218" s="13"/>
      <c r="D218" s="1">
        <f>SUM(OSRRefD22_7x_0)</f>
        <v>0</v>
      </c>
      <c r="E218" s="1"/>
      <c r="F218" s="5">
        <f t="shared" ref="F218:F226" si="63">IF(D$12=0,0,D218/D$12)</f>
        <v>0</v>
      </c>
      <c r="G218" s="1"/>
      <c r="H218" s="1">
        <f>SUM(OSRRefH22_7x_0)</f>
        <v>19897.54</v>
      </c>
      <c r="I218" s="1"/>
      <c r="J218" s="5">
        <f t="shared" ref="J218:J226" si="64">IF(H$12=0,0,H218/H$12)</f>
        <v>6.8858183047803122E-3</v>
      </c>
      <c r="K218" s="1"/>
      <c r="L218" s="1">
        <f t="shared" ref="L218:L226" si="65">+D218-H218</f>
        <v>-19897.54</v>
      </c>
      <c r="M218" s="1"/>
      <c r="N218" s="5">
        <f t="shared" ref="N218:N226" si="66">IF(H218=0,0,L218/H218)</f>
        <v>-1</v>
      </c>
      <c r="O218" s="13"/>
      <c r="P218" s="1">
        <f>SUM(OSRRefP22_7x_0)</f>
        <v>9798.2199999999993</v>
      </c>
      <c r="Q218" s="1"/>
      <c r="R218" s="5">
        <f t="shared" ref="R218:R226" si="67">IF(P$12=0,0,P218/P$12)</f>
        <v>1.0327917553859805E-3</v>
      </c>
      <c r="S218" s="1"/>
      <c r="T218" s="1">
        <f>SUM(OSRRefT22_7x_0)</f>
        <v>25298.240000000002</v>
      </c>
      <c r="U218" s="1"/>
      <c r="V218" s="5">
        <f t="shared" ref="V218:V226" si="68">IF(T$12=0,0,T218/T$12)</f>
        <v>2.4456065381012614E-3</v>
      </c>
      <c r="W218" s="1"/>
      <c r="X218" s="1">
        <f t="shared" ref="X218:X226" si="69">+P218-T218</f>
        <v>-15500.020000000002</v>
      </c>
      <c r="Y218" s="1"/>
      <c r="Z218" s="5">
        <f t="shared" ref="Z218:Z226" si="70">IF(T218=0,0,X218/T218)</f>
        <v>-0.61269163388441261</v>
      </c>
    </row>
    <row r="219" spans="1:26" s="24" customFormat="1" hidden="1" outlineLevel="2" x14ac:dyDescent="0.25">
      <c r="A219" s="25"/>
      <c r="B219" s="11" t="str">
        <f>CONCATENATE("          ", "6399", " - ", "DONATION-ON CAMPUS")</f>
        <v xml:space="preserve">          6399 - DONATION-ON CAMPUS</v>
      </c>
      <c r="C219" s="11"/>
      <c r="D219" s="6"/>
      <c r="E219" s="2"/>
      <c r="F219" s="7">
        <f t="shared" si="63"/>
        <v>0</v>
      </c>
      <c r="G219" s="2"/>
      <c r="H219" s="6">
        <v>19897.54</v>
      </c>
      <c r="I219" s="2"/>
      <c r="J219" s="7">
        <f t="shared" si="64"/>
        <v>6.8858183047803122E-3</v>
      </c>
      <c r="K219" s="2"/>
      <c r="L219" s="6">
        <f t="shared" si="65"/>
        <v>-19897.54</v>
      </c>
      <c r="M219" s="2"/>
      <c r="N219" s="7">
        <f t="shared" si="66"/>
        <v>-1</v>
      </c>
      <c r="O219" s="11"/>
      <c r="P219" s="6">
        <v>9798.2199999999993</v>
      </c>
      <c r="Q219" s="2"/>
      <c r="R219" s="7">
        <f t="shared" si="67"/>
        <v>1.0327917553859805E-3</v>
      </c>
      <c r="S219" s="2"/>
      <c r="T219" s="6">
        <v>25298.240000000002</v>
      </c>
      <c r="U219" s="2"/>
      <c r="V219" s="7">
        <f t="shared" si="68"/>
        <v>2.4456065381012614E-3</v>
      </c>
      <c r="W219" s="2"/>
      <c r="X219" s="6">
        <f t="shared" si="69"/>
        <v>-15500.020000000002</v>
      </c>
      <c r="Y219" s="2"/>
      <c r="Z219" s="7">
        <f t="shared" si="70"/>
        <v>-0.61269163388441261</v>
      </c>
    </row>
    <row r="220" spans="1:26" s="26" customFormat="1" outlineLevel="1" collapsed="1" x14ac:dyDescent="0.25">
      <c r="A220" s="27"/>
      <c r="B220" s="13" t="str">
        <f>CONCATENATE("     ","Employees' Appreciation                           ")</f>
        <v xml:space="preserve">     Employees' Appreciation                           </v>
      </c>
      <c r="C220" s="13"/>
      <c r="D220" s="1">
        <f>SUM(OSRRefD22_8x_0)</f>
        <v>0</v>
      </c>
      <c r="E220" s="1"/>
      <c r="F220" s="5">
        <f t="shared" si="63"/>
        <v>0</v>
      </c>
      <c r="G220" s="1"/>
      <c r="H220" s="1">
        <f>SUM(OSRRefH22_8x_0)</f>
        <v>711.05</v>
      </c>
      <c r="I220" s="1"/>
      <c r="J220" s="5">
        <f t="shared" si="64"/>
        <v>2.460686650517622E-4</v>
      </c>
      <c r="K220" s="1"/>
      <c r="L220" s="1">
        <f t="shared" si="65"/>
        <v>-711.05</v>
      </c>
      <c r="M220" s="1"/>
      <c r="N220" s="5">
        <f t="shared" si="66"/>
        <v>-1</v>
      </c>
      <c r="O220" s="13"/>
      <c r="P220" s="1">
        <f>SUM(OSRRefP22_8x_0)</f>
        <v>1194.04</v>
      </c>
      <c r="Q220" s="1"/>
      <c r="R220" s="5">
        <f t="shared" si="67"/>
        <v>1.2585905068482602E-4</v>
      </c>
      <c r="S220" s="1"/>
      <c r="T220" s="1">
        <f>SUM(OSRRefT22_8x_0)</f>
        <v>3516.5</v>
      </c>
      <c r="U220" s="1"/>
      <c r="V220" s="5">
        <f t="shared" si="68"/>
        <v>3.3994362419018418E-4</v>
      </c>
      <c r="W220" s="1"/>
      <c r="X220" s="1">
        <f t="shared" si="69"/>
        <v>-2322.46</v>
      </c>
      <c r="Y220" s="1"/>
      <c r="Z220" s="5">
        <f t="shared" si="70"/>
        <v>-0.66044646665718754</v>
      </c>
    </row>
    <row r="221" spans="1:26" s="24" customFormat="1" hidden="1" outlineLevel="2" x14ac:dyDescent="0.25">
      <c r="A221" s="25"/>
      <c r="B221" s="11" t="str">
        <f>CONCATENATE("          ", "6277", " - ", "EMPLOYEE APPRECIATION")</f>
        <v xml:space="preserve">          6277 - EMPLOYEE APPRECIATION</v>
      </c>
      <c r="C221" s="11"/>
      <c r="D221" s="6"/>
      <c r="E221" s="2"/>
      <c r="F221" s="7">
        <f t="shared" si="63"/>
        <v>0</v>
      </c>
      <c r="G221" s="2"/>
      <c r="H221" s="6">
        <v>711.05</v>
      </c>
      <c r="I221" s="2"/>
      <c r="J221" s="7">
        <f t="shared" si="64"/>
        <v>2.460686650517622E-4</v>
      </c>
      <c r="K221" s="2"/>
      <c r="L221" s="6">
        <f t="shared" si="65"/>
        <v>-711.05</v>
      </c>
      <c r="M221" s="2"/>
      <c r="N221" s="7">
        <f t="shared" si="66"/>
        <v>-1</v>
      </c>
      <c r="O221" s="11"/>
      <c r="P221" s="6">
        <v>1194.04</v>
      </c>
      <c r="Q221" s="2"/>
      <c r="R221" s="7">
        <f t="shared" si="67"/>
        <v>1.2585905068482602E-4</v>
      </c>
      <c r="S221" s="2"/>
      <c r="T221" s="6">
        <v>3516.5</v>
      </c>
      <c r="U221" s="2"/>
      <c r="V221" s="7">
        <f t="shared" si="68"/>
        <v>3.3994362419018418E-4</v>
      </c>
      <c r="W221" s="2"/>
      <c r="X221" s="6">
        <f t="shared" si="69"/>
        <v>-2322.46</v>
      </c>
      <c r="Y221" s="2"/>
      <c r="Z221" s="7">
        <f t="shared" si="70"/>
        <v>-0.66044646665718754</v>
      </c>
    </row>
    <row r="222" spans="1:26" s="26" customFormat="1" outlineLevel="1" collapsed="1" x14ac:dyDescent="0.25">
      <c r="A222" s="27"/>
      <c r="B222" s="13" t="str">
        <f>CONCATENATE("     ","Equipment Rental                                  ")</f>
        <v xml:space="preserve">     Equipment Rental                                  </v>
      </c>
      <c r="C222" s="13"/>
      <c r="D222" s="1">
        <f>SUM(OSRRefD22_9x_0)</f>
        <v>1388.16</v>
      </c>
      <c r="E222" s="1"/>
      <c r="F222" s="5">
        <f t="shared" si="63"/>
        <v>5.8117156116578442E-4</v>
      </c>
      <c r="G222" s="1"/>
      <c r="H222" s="1">
        <f>SUM(OSRRefH22_9x_0)</f>
        <v>3425.25</v>
      </c>
      <c r="I222" s="1"/>
      <c r="J222" s="5">
        <f t="shared" si="64"/>
        <v>1.1853550312475192E-3</v>
      </c>
      <c r="K222" s="1"/>
      <c r="L222" s="1">
        <f t="shared" si="65"/>
        <v>-2037.09</v>
      </c>
      <c r="M222" s="1"/>
      <c r="N222" s="5">
        <f t="shared" si="66"/>
        <v>-0.59472739216115611</v>
      </c>
      <c r="O222" s="13"/>
      <c r="P222" s="1">
        <f>SUM(OSRRefP22_9x_0)</f>
        <v>12478.3</v>
      </c>
      <c r="Q222" s="1"/>
      <c r="R222" s="5">
        <f t="shared" si="67"/>
        <v>1.3152884259827683E-3</v>
      </c>
      <c r="S222" s="1"/>
      <c r="T222" s="1">
        <f>SUM(OSRRefT22_9x_0)</f>
        <v>23828.99</v>
      </c>
      <c r="U222" s="1"/>
      <c r="V222" s="5">
        <f t="shared" si="68"/>
        <v>2.303572649336459E-3</v>
      </c>
      <c r="W222" s="1"/>
      <c r="X222" s="1">
        <f t="shared" si="69"/>
        <v>-11350.690000000002</v>
      </c>
      <c r="Y222" s="1"/>
      <c r="Z222" s="5">
        <f t="shared" si="70"/>
        <v>-0.47633953432352782</v>
      </c>
    </row>
    <row r="223" spans="1:26" s="24" customFormat="1" hidden="1" outlineLevel="2" x14ac:dyDescent="0.25">
      <c r="A223" s="25"/>
      <c r="B223" s="11" t="str">
        <f>CONCATENATE("          ", "6351", " - ", "EQUIPMENT RENTAL")</f>
        <v xml:space="preserve">          6351 - EQUIPMENT RENTAL</v>
      </c>
      <c r="C223" s="11"/>
      <c r="D223" s="6">
        <v>1388.16</v>
      </c>
      <c r="E223" s="2"/>
      <c r="F223" s="7">
        <f t="shared" si="63"/>
        <v>5.8117156116578442E-4</v>
      </c>
      <c r="G223" s="2"/>
      <c r="H223" s="6">
        <v>3425.25</v>
      </c>
      <c r="I223" s="2"/>
      <c r="J223" s="7">
        <f t="shared" si="64"/>
        <v>1.1853550312475192E-3</v>
      </c>
      <c r="K223" s="2"/>
      <c r="L223" s="6">
        <f t="shared" si="65"/>
        <v>-2037.09</v>
      </c>
      <c r="M223" s="2"/>
      <c r="N223" s="7">
        <f t="shared" si="66"/>
        <v>-0.59472739216115611</v>
      </c>
      <c r="O223" s="11"/>
      <c r="P223" s="6">
        <v>12478.3</v>
      </c>
      <c r="Q223" s="2"/>
      <c r="R223" s="7">
        <f t="shared" si="67"/>
        <v>1.3152884259827683E-3</v>
      </c>
      <c r="S223" s="2"/>
      <c r="T223" s="6">
        <v>23828.99</v>
      </c>
      <c r="U223" s="2"/>
      <c r="V223" s="7">
        <f t="shared" si="68"/>
        <v>2.303572649336459E-3</v>
      </c>
      <c r="W223" s="2"/>
      <c r="X223" s="6">
        <f t="shared" si="69"/>
        <v>-11350.690000000002</v>
      </c>
      <c r="Y223" s="2"/>
      <c r="Z223" s="7">
        <f t="shared" si="70"/>
        <v>-0.47633953432352782</v>
      </c>
    </row>
    <row r="224" spans="1:26" s="26" customFormat="1" outlineLevel="1" collapsed="1" x14ac:dyDescent="0.25">
      <c r="A224" s="27"/>
      <c r="B224" s="13" t="str">
        <f>CONCATENATE("     ","Freight out/Postage                               ")</f>
        <v xml:space="preserve">     Freight out/Postage                               </v>
      </c>
      <c r="C224" s="13"/>
      <c r="D224" s="1">
        <f>SUM(OSRRefD22_10x_0)</f>
        <v>-13215.979999999998</v>
      </c>
      <c r="E224" s="1"/>
      <c r="F224" s="5">
        <f t="shared" si="63"/>
        <v>-5.5330449868428583E-3</v>
      </c>
      <c r="G224" s="1"/>
      <c r="H224" s="1">
        <f>SUM(OSRRefH22_10x_0)</f>
        <v>-8414.7099999999991</v>
      </c>
      <c r="I224" s="1"/>
      <c r="J224" s="5">
        <f t="shared" si="64"/>
        <v>-2.9120265192289062E-3</v>
      </c>
      <c r="K224" s="1"/>
      <c r="L224" s="1">
        <f t="shared" si="65"/>
        <v>-4801.2699999999986</v>
      </c>
      <c r="M224" s="1"/>
      <c r="N224" s="5">
        <f t="shared" si="66"/>
        <v>0.57058056665054402</v>
      </c>
      <c r="O224" s="13"/>
      <c r="P224" s="1">
        <f>SUM(OSRRefP22_10x_0)</f>
        <v>-6616.0899999999965</v>
      </c>
      <c r="Q224" s="1"/>
      <c r="R224" s="5">
        <f t="shared" si="67"/>
        <v>-6.9737597286972822E-4</v>
      </c>
      <c r="S224" s="1"/>
      <c r="T224" s="1">
        <f>SUM(OSRRefT22_10x_0)</f>
        <v>2654.7999999999956</v>
      </c>
      <c r="U224" s="1"/>
      <c r="V224" s="5">
        <f t="shared" si="68"/>
        <v>2.5664221057872873E-4</v>
      </c>
      <c r="W224" s="1"/>
      <c r="X224" s="1">
        <f t="shared" si="69"/>
        <v>-9270.8899999999921</v>
      </c>
      <c r="Y224" s="1"/>
      <c r="Z224" s="5">
        <f t="shared" si="70"/>
        <v>-3.4921237004670811</v>
      </c>
    </row>
    <row r="225" spans="1:26" s="24" customFormat="1" hidden="1" outlineLevel="2" x14ac:dyDescent="0.25">
      <c r="A225" s="25"/>
      <c r="B225" s="11" t="str">
        <f>CONCATENATE("          ", "6305", " - ", "FREIGHT OUT")</f>
        <v xml:space="preserve">          6305 - FREIGHT OUT</v>
      </c>
      <c r="C225" s="11"/>
      <c r="D225" s="6">
        <v>2307.9899999999998</v>
      </c>
      <c r="E225" s="2"/>
      <c r="F225" s="7">
        <f t="shared" si="63"/>
        <v>9.6627056784161669E-4</v>
      </c>
      <c r="G225" s="2"/>
      <c r="H225" s="6">
        <v>7426.14</v>
      </c>
      <c r="I225" s="2"/>
      <c r="J225" s="7">
        <f t="shared" si="64"/>
        <v>2.5699182283770387E-3</v>
      </c>
      <c r="K225" s="2"/>
      <c r="L225" s="6">
        <f t="shared" si="65"/>
        <v>-5118.1500000000005</v>
      </c>
      <c r="M225" s="2"/>
      <c r="N225" s="7">
        <f t="shared" si="66"/>
        <v>-0.68920731362457488</v>
      </c>
      <c r="O225" s="11"/>
      <c r="P225" s="6">
        <v>37061.72</v>
      </c>
      <c r="Q225" s="2"/>
      <c r="R225" s="7">
        <f t="shared" si="67"/>
        <v>3.9065298448517898E-3</v>
      </c>
      <c r="S225" s="2"/>
      <c r="T225" s="6">
        <v>43446.28</v>
      </c>
      <c r="U225" s="2"/>
      <c r="V225" s="7">
        <f t="shared" si="68"/>
        <v>4.1999959848660643E-3</v>
      </c>
      <c r="W225" s="2"/>
      <c r="X225" s="6">
        <f t="shared" si="69"/>
        <v>-6384.5599999999977</v>
      </c>
      <c r="Y225" s="2"/>
      <c r="Z225" s="7">
        <f t="shared" si="70"/>
        <v>-0.14695297272862021</v>
      </c>
    </row>
    <row r="226" spans="1:26" s="24" customFormat="1" hidden="1" outlineLevel="2" x14ac:dyDescent="0.25">
      <c r="A226" s="25"/>
      <c r="B226" s="11" t="str">
        <f>CONCATENATE("          ", "6307", " - ", "POSTAGE")</f>
        <v xml:space="preserve">          6307 - POSTAGE</v>
      </c>
      <c r="C226" s="11"/>
      <c r="D226" s="6">
        <v>-15523.969999999998</v>
      </c>
      <c r="E226" s="2"/>
      <c r="F226" s="7">
        <f t="shared" si="63"/>
        <v>-6.4993155546844749E-3</v>
      </c>
      <c r="G226" s="2"/>
      <c r="H226" s="6">
        <v>-15840.849999999999</v>
      </c>
      <c r="I226" s="2"/>
      <c r="J226" s="7">
        <f t="shared" si="64"/>
        <v>-5.4819447476059449E-3</v>
      </c>
      <c r="K226" s="2"/>
      <c r="L226" s="6">
        <f t="shared" si="65"/>
        <v>316.88000000000102</v>
      </c>
      <c r="M226" s="2"/>
      <c r="N226" s="7">
        <f t="shared" si="66"/>
        <v>-2.0003977059311909E-2</v>
      </c>
      <c r="O226" s="11"/>
      <c r="P226" s="6">
        <v>-43677.81</v>
      </c>
      <c r="Q226" s="2"/>
      <c r="R226" s="7">
        <f t="shared" si="67"/>
        <v>-4.6039058177215174E-3</v>
      </c>
      <c r="S226" s="2"/>
      <c r="T226" s="6">
        <v>-40791.480000000003</v>
      </c>
      <c r="U226" s="2"/>
      <c r="V226" s="7">
        <f t="shared" si="68"/>
        <v>-3.9433537742873358E-3</v>
      </c>
      <c r="W226" s="2"/>
      <c r="X226" s="6">
        <f t="shared" si="69"/>
        <v>-2886.3299999999945</v>
      </c>
      <c r="Y226" s="2"/>
      <c r="Z226" s="7">
        <f t="shared" si="70"/>
        <v>7.0758158321296366E-2</v>
      </c>
    </row>
    <row r="227" spans="1:26" s="26" customFormat="1" outlineLevel="1" collapsed="1" x14ac:dyDescent="0.25">
      <c r="A227" s="27"/>
      <c r="B227" s="13" t="str">
        <f>CONCATENATE("     ","General                                           ")</f>
        <v xml:space="preserve">     General                                           </v>
      </c>
      <c r="C227" s="13"/>
      <c r="D227" s="1">
        <f>SUM(OSRRefD22_11x_0)</f>
        <v>316.16000000000003</v>
      </c>
      <c r="E227" s="1"/>
      <c r="F227" s="5">
        <f t="shared" ref="F227:F241" si="71">IF(D$12=0,0,D227/D$12)</f>
        <v>1.3236456948635201E-4</v>
      </c>
      <c r="G227" s="1"/>
      <c r="H227" s="1">
        <f>SUM(OSRRefH22_11x_0)</f>
        <v>423.56</v>
      </c>
      <c r="I227" s="1"/>
      <c r="J227" s="5">
        <f t="shared" ref="J227:J241" si="72">IF(H$12=0,0,H227/H$12)</f>
        <v>1.4657878316479066E-4</v>
      </c>
      <c r="K227" s="1"/>
      <c r="L227" s="1">
        <f t="shared" ref="L227:L241" si="73">+D227-H227</f>
        <v>-107.39999999999998</v>
      </c>
      <c r="M227" s="1"/>
      <c r="N227" s="5">
        <f t="shared" ref="N227:N241" si="74">IF(H227=0,0,L227/H227)</f>
        <v>-0.25356502030408912</v>
      </c>
      <c r="O227" s="13"/>
      <c r="P227" s="1">
        <f>SUM(OSRRefP22_11x_0)</f>
        <v>-1031.5899999999999</v>
      </c>
      <c r="Q227" s="1"/>
      <c r="R227" s="5">
        <f t="shared" ref="R227:R241" si="75">IF(P$12=0,0,P227/P$12)</f>
        <v>-1.0873583640075682E-4</v>
      </c>
      <c r="S227" s="1"/>
      <c r="T227" s="1">
        <f>SUM(OSRRefT22_11x_0)</f>
        <v>14444.07</v>
      </c>
      <c r="U227" s="1"/>
      <c r="V227" s="5">
        <f t="shared" ref="V227:V241" si="76">IF(T$12=0,0,T227/T$12)</f>
        <v>1.3963229073956245E-3</v>
      </c>
      <c r="W227" s="1"/>
      <c r="X227" s="1">
        <f t="shared" ref="X227:X241" si="77">+P227-T227</f>
        <v>-15475.66</v>
      </c>
      <c r="Y227" s="1"/>
      <c r="Z227" s="5">
        <f t="shared" ref="Z227:Z241" si="78">IF(T227=0,0,X227/T227)</f>
        <v>-1.0714196206470892</v>
      </c>
    </row>
    <row r="228" spans="1:26" s="24" customFormat="1" hidden="1" outlineLevel="2" x14ac:dyDescent="0.25">
      <c r="A228" s="25"/>
      <c r="B228" s="11" t="str">
        <f>CONCATENATE("          ", "6279", " - ", "GENERAL EXPENSE")</f>
        <v xml:space="preserve">          6279 - GENERAL EXPENSE</v>
      </c>
      <c r="C228" s="11"/>
      <c r="D228" s="6">
        <v>316.16000000000003</v>
      </c>
      <c r="E228" s="2"/>
      <c r="F228" s="7">
        <f t="shared" si="71"/>
        <v>1.3236456948635201E-4</v>
      </c>
      <c r="G228" s="2"/>
      <c r="H228" s="6">
        <v>423.56</v>
      </c>
      <c r="I228" s="2"/>
      <c r="J228" s="7">
        <f t="shared" si="72"/>
        <v>1.4657878316479066E-4</v>
      </c>
      <c r="K228" s="2"/>
      <c r="L228" s="6">
        <f t="shared" si="73"/>
        <v>-107.39999999999998</v>
      </c>
      <c r="M228" s="2"/>
      <c r="N228" s="7">
        <f t="shared" si="74"/>
        <v>-0.25356502030408912</v>
      </c>
      <c r="O228" s="11"/>
      <c r="P228" s="6">
        <v>-1031.5899999999999</v>
      </c>
      <c r="Q228" s="2"/>
      <c r="R228" s="7">
        <f t="shared" si="75"/>
        <v>-1.0873583640075682E-4</v>
      </c>
      <c r="S228" s="2"/>
      <c r="T228" s="6">
        <v>14444.07</v>
      </c>
      <c r="U228" s="2"/>
      <c r="V228" s="7">
        <f t="shared" si="76"/>
        <v>1.3963229073956245E-3</v>
      </c>
      <c r="W228" s="2"/>
      <c r="X228" s="6">
        <f t="shared" si="77"/>
        <v>-15475.66</v>
      </c>
      <c r="Y228" s="2"/>
      <c r="Z228" s="7">
        <f t="shared" si="78"/>
        <v>-1.0714196206470892</v>
      </c>
    </row>
    <row r="229" spans="1:26" s="26" customFormat="1" outlineLevel="1" collapsed="1" x14ac:dyDescent="0.25">
      <c r="A229" s="27"/>
      <c r="B229" s="13" t="str">
        <f>CONCATENATE("     ","Insurance                                         ")</f>
        <v xml:space="preserve">     Insurance                                         </v>
      </c>
      <c r="C229" s="13"/>
      <c r="D229" s="1">
        <f>SUM(OSRRefD22_12x_0)</f>
        <v>4044.74</v>
      </c>
      <c r="E229" s="1"/>
      <c r="F229" s="5">
        <f t="shared" si="71"/>
        <v>1.693383947318533E-3</v>
      </c>
      <c r="G229" s="1"/>
      <c r="H229" s="1">
        <f>SUM(OSRRefH22_12x_0)</f>
        <v>3809.97</v>
      </c>
      <c r="I229" s="1"/>
      <c r="J229" s="5">
        <f t="shared" si="72"/>
        <v>1.3184926964169362E-3</v>
      </c>
      <c r="K229" s="1"/>
      <c r="L229" s="1">
        <f t="shared" si="73"/>
        <v>234.76999999999998</v>
      </c>
      <c r="M229" s="1"/>
      <c r="N229" s="5">
        <f t="shared" si="74"/>
        <v>6.1619907768302638E-2</v>
      </c>
      <c r="O229" s="13"/>
      <c r="P229" s="1">
        <f>SUM(OSRRefP22_12x_0)</f>
        <v>28313.18</v>
      </c>
      <c r="Q229" s="1"/>
      <c r="R229" s="5">
        <f t="shared" si="75"/>
        <v>2.9843807214738221E-3</v>
      </c>
      <c r="S229" s="1"/>
      <c r="T229" s="1">
        <f>SUM(OSRRefT22_12x_0)</f>
        <v>26669.79</v>
      </c>
      <c r="U229" s="1"/>
      <c r="V229" s="5">
        <f t="shared" si="76"/>
        <v>2.5781956687021563E-3</v>
      </c>
      <c r="W229" s="1"/>
      <c r="X229" s="1">
        <f t="shared" si="77"/>
        <v>1643.3899999999994</v>
      </c>
      <c r="Y229" s="1"/>
      <c r="Z229" s="5">
        <f t="shared" si="78"/>
        <v>6.1619907768302611E-2</v>
      </c>
    </row>
    <row r="230" spans="1:26" s="24" customFormat="1" hidden="1" outlineLevel="2" x14ac:dyDescent="0.25">
      <c r="A230" s="25"/>
      <c r="B230" s="11" t="str">
        <f>CONCATENATE("          ", "6314", " - ", "LIABILITY INSURANCE")</f>
        <v xml:space="preserve">          6314 - LIABILITY INSURANCE</v>
      </c>
      <c r="C230" s="11"/>
      <c r="D230" s="6">
        <v>4044.74</v>
      </c>
      <c r="E230" s="2"/>
      <c r="F230" s="7">
        <f t="shared" si="71"/>
        <v>1.693383947318533E-3</v>
      </c>
      <c r="G230" s="2"/>
      <c r="H230" s="6">
        <v>3809.97</v>
      </c>
      <c r="I230" s="2"/>
      <c r="J230" s="7">
        <f t="shared" si="72"/>
        <v>1.3184926964169362E-3</v>
      </c>
      <c r="K230" s="2"/>
      <c r="L230" s="6">
        <f t="shared" si="73"/>
        <v>234.76999999999998</v>
      </c>
      <c r="M230" s="2"/>
      <c r="N230" s="7">
        <f t="shared" si="74"/>
        <v>6.1619907768302638E-2</v>
      </c>
      <c r="O230" s="11"/>
      <c r="P230" s="6">
        <v>28313.18</v>
      </c>
      <c r="Q230" s="2"/>
      <c r="R230" s="7">
        <f t="shared" si="75"/>
        <v>2.9843807214738221E-3</v>
      </c>
      <c r="S230" s="2"/>
      <c r="T230" s="6">
        <v>26669.79</v>
      </c>
      <c r="U230" s="2"/>
      <c r="V230" s="7">
        <f t="shared" si="76"/>
        <v>2.5781956687021563E-3</v>
      </c>
      <c r="W230" s="2"/>
      <c r="X230" s="6">
        <f t="shared" si="77"/>
        <v>1643.3899999999994</v>
      </c>
      <c r="Y230" s="2"/>
      <c r="Z230" s="7">
        <f t="shared" si="78"/>
        <v>6.1619907768302611E-2</v>
      </c>
    </row>
    <row r="231" spans="1:26" s="26" customFormat="1" outlineLevel="1" collapsed="1" x14ac:dyDescent="0.25">
      <c r="A231" s="27"/>
      <c r="B231" s="13" t="str">
        <f>CONCATENATE("     ","Inventory Adjustment                              ")</f>
        <v xml:space="preserve">     Inventory Adjustment                              </v>
      </c>
      <c r="C231" s="13"/>
      <c r="D231" s="1">
        <f>SUM(OSRRefD22_13x_0)</f>
        <v>4250</v>
      </c>
      <c r="E231" s="1"/>
      <c r="F231" s="5">
        <f t="shared" si="71"/>
        <v>1.7793187636544661E-3</v>
      </c>
      <c r="G231" s="1"/>
      <c r="H231" s="1">
        <f>SUM(OSRRefH22_13x_0)</f>
        <v>10000</v>
      </c>
      <c r="I231" s="1"/>
      <c r="J231" s="5">
        <f t="shared" si="72"/>
        <v>3.4606380008686058E-3</v>
      </c>
      <c r="K231" s="1"/>
      <c r="L231" s="1">
        <f t="shared" si="73"/>
        <v>-5750</v>
      </c>
      <c r="M231" s="1"/>
      <c r="N231" s="5">
        <f t="shared" si="74"/>
        <v>-0.57499999999999996</v>
      </c>
      <c r="O231" s="13"/>
      <c r="P231" s="1">
        <f>SUM(OSRRefP22_13x_0)</f>
        <v>35450</v>
      </c>
      <c r="Q231" s="1"/>
      <c r="R231" s="5">
        <f t="shared" si="75"/>
        <v>3.7366447914450795E-3</v>
      </c>
      <c r="S231" s="1"/>
      <c r="T231" s="1">
        <f>SUM(OSRRefT22_13x_0)</f>
        <v>70000</v>
      </c>
      <c r="U231" s="1"/>
      <c r="V231" s="5">
        <f t="shared" si="76"/>
        <v>6.7669710488590627E-3</v>
      </c>
      <c r="W231" s="1"/>
      <c r="X231" s="1">
        <f t="shared" si="77"/>
        <v>-34550</v>
      </c>
      <c r="Y231" s="1"/>
      <c r="Z231" s="5">
        <f t="shared" si="78"/>
        <v>-0.49357142857142855</v>
      </c>
    </row>
    <row r="232" spans="1:26" s="24" customFormat="1" hidden="1" outlineLevel="2" x14ac:dyDescent="0.25">
      <c r="A232" s="25"/>
      <c r="B232" s="11" t="str">
        <f>CONCATENATE("          ", "6408", " - ", "INVENTORY ADJUSTMENT")</f>
        <v xml:space="preserve">          6408 - INVENTORY ADJUSTMENT</v>
      </c>
      <c r="C232" s="11"/>
      <c r="D232" s="6">
        <v>4250</v>
      </c>
      <c r="E232" s="2"/>
      <c r="F232" s="7">
        <f t="shared" si="71"/>
        <v>1.7793187636544661E-3</v>
      </c>
      <c r="G232" s="2"/>
      <c r="H232" s="6">
        <v>10000</v>
      </c>
      <c r="I232" s="2"/>
      <c r="J232" s="7">
        <f t="shared" si="72"/>
        <v>3.4606380008686058E-3</v>
      </c>
      <c r="K232" s="2"/>
      <c r="L232" s="6">
        <f t="shared" si="73"/>
        <v>-5750</v>
      </c>
      <c r="M232" s="2"/>
      <c r="N232" s="7">
        <f t="shared" si="74"/>
        <v>-0.57499999999999996</v>
      </c>
      <c r="O232" s="11"/>
      <c r="P232" s="6">
        <v>35450</v>
      </c>
      <c r="Q232" s="2"/>
      <c r="R232" s="7">
        <f t="shared" si="75"/>
        <v>3.7366447914450795E-3</v>
      </c>
      <c r="S232" s="2"/>
      <c r="T232" s="6">
        <v>70000</v>
      </c>
      <c r="U232" s="2"/>
      <c r="V232" s="7">
        <f t="shared" si="76"/>
        <v>6.7669710488590627E-3</v>
      </c>
      <c r="W232" s="2"/>
      <c r="X232" s="6">
        <f t="shared" si="77"/>
        <v>-34550</v>
      </c>
      <c r="Y232" s="2"/>
      <c r="Z232" s="7">
        <f t="shared" si="78"/>
        <v>-0.49357142857142855</v>
      </c>
    </row>
    <row r="233" spans="1:26" s="26" customFormat="1" outlineLevel="1" collapsed="1" x14ac:dyDescent="0.25">
      <c r="A233" s="27"/>
      <c r="B233" s="13" t="str">
        <f>CONCATENATE("     ","Professional Services                             ")</f>
        <v xml:space="preserve">     Professional Services                             </v>
      </c>
      <c r="C233" s="13"/>
      <c r="D233" s="1">
        <f>SUM(OSRRefD22_14x_0)</f>
        <v>0</v>
      </c>
      <c r="E233" s="1"/>
      <c r="F233" s="5">
        <f t="shared" si="71"/>
        <v>0</v>
      </c>
      <c r="G233" s="1"/>
      <c r="H233" s="1">
        <f>SUM(OSRRefH22_14x_0)</f>
        <v>0</v>
      </c>
      <c r="I233" s="1"/>
      <c r="J233" s="5">
        <f t="shared" si="72"/>
        <v>0</v>
      </c>
      <c r="K233" s="1"/>
      <c r="L233" s="1">
        <f t="shared" si="73"/>
        <v>0</v>
      </c>
      <c r="M233" s="1"/>
      <c r="N233" s="5">
        <f t="shared" si="74"/>
        <v>0</v>
      </c>
      <c r="O233" s="13"/>
      <c r="P233" s="1">
        <f>SUM(OSRRefP22_14x_0)</f>
        <v>6199.56</v>
      </c>
      <c r="Q233" s="1"/>
      <c r="R233" s="5">
        <f t="shared" si="75"/>
        <v>6.5347118711569141E-4</v>
      </c>
      <c r="S233" s="1"/>
      <c r="T233" s="1">
        <f>SUM(OSRRefT22_14x_0)</f>
        <v>8276.43</v>
      </c>
      <c r="U233" s="1"/>
      <c r="V233" s="5">
        <f t="shared" si="76"/>
        <v>8.0009088854155169E-4</v>
      </c>
      <c r="W233" s="1"/>
      <c r="X233" s="1">
        <f t="shared" si="77"/>
        <v>-2076.87</v>
      </c>
      <c r="Y233" s="1"/>
      <c r="Z233" s="5">
        <f t="shared" si="78"/>
        <v>-0.25093790438631147</v>
      </c>
    </row>
    <row r="234" spans="1:26" s="24" customFormat="1" hidden="1" outlineLevel="2" x14ac:dyDescent="0.25">
      <c r="A234" s="25"/>
      <c r="B234" s="11" t="str">
        <f>CONCATENATE("          ", "6336", " - ", "PROFESSIONAL SERVICES")</f>
        <v xml:space="preserve">          6336 - PROFESSIONAL SERVICES</v>
      </c>
      <c r="C234" s="11"/>
      <c r="D234" s="6"/>
      <c r="E234" s="2"/>
      <c r="F234" s="7">
        <f t="shared" si="71"/>
        <v>0</v>
      </c>
      <c r="G234" s="2"/>
      <c r="H234" s="6"/>
      <c r="I234" s="2"/>
      <c r="J234" s="7">
        <f t="shared" si="72"/>
        <v>0</v>
      </c>
      <c r="K234" s="2"/>
      <c r="L234" s="6">
        <f t="shared" si="73"/>
        <v>0</v>
      </c>
      <c r="M234" s="2"/>
      <c r="N234" s="7">
        <f t="shared" si="74"/>
        <v>0</v>
      </c>
      <c r="O234" s="11"/>
      <c r="P234" s="6">
        <v>6199.56</v>
      </c>
      <c r="Q234" s="2"/>
      <c r="R234" s="7">
        <f t="shared" si="75"/>
        <v>6.5347118711569141E-4</v>
      </c>
      <c r="S234" s="2"/>
      <c r="T234" s="6">
        <v>8276.43</v>
      </c>
      <c r="U234" s="2"/>
      <c r="V234" s="7">
        <f t="shared" si="76"/>
        <v>8.0009088854155169E-4</v>
      </c>
      <c r="W234" s="2"/>
      <c r="X234" s="6">
        <f t="shared" si="77"/>
        <v>-2076.87</v>
      </c>
      <c r="Y234" s="2"/>
      <c r="Z234" s="7">
        <f t="shared" si="78"/>
        <v>-0.25093790438631147</v>
      </c>
    </row>
    <row r="235" spans="1:26" s="26" customFormat="1" outlineLevel="1" collapsed="1" x14ac:dyDescent="0.25">
      <c r="A235" s="27"/>
      <c r="B235" s="13" t="str">
        <f>CONCATENATE("     ","Rent                                              ")</f>
        <v xml:space="preserve">     Rent                                              </v>
      </c>
      <c r="C235" s="13"/>
      <c r="D235" s="1">
        <f>SUM(OSRRefD22_15x_0)</f>
        <v>7700</v>
      </c>
      <c r="E235" s="1"/>
      <c r="F235" s="5">
        <f t="shared" si="71"/>
        <v>3.2237069365033859E-3</v>
      </c>
      <c r="G235" s="1"/>
      <c r="H235" s="1">
        <f>SUM(OSRRefH22_15x_0)</f>
        <v>6100</v>
      </c>
      <c r="I235" s="1"/>
      <c r="J235" s="5">
        <f t="shared" si="72"/>
        <v>2.1109891805298495E-3</v>
      </c>
      <c r="K235" s="1"/>
      <c r="L235" s="1">
        <f t="shared" si="73"/>
        <v>1600</v>
      </c>
      <c r="M235" s="1"/>
      <c r="N235" s="5">
        <f t="shared" si="74"/>
        <v>0.26229508196721313</v>
      </c>
      <c r="O235" s="13"/>
      <c r="P235" s="1">
        <f>SUM(OSRRefP22_15x_0)</f>
        <v>44300</v>
      </c>
      <c r="Q235" s="1"/>
      <c r="R235" s="5">
        <f t="shared" si="75"/>
        <v>4.6694884135688869E-3</v>
      </c>
      <c r="S235" s="1"/>
      <c r="T235" s="1">
        <f>SUM(OSRRefT22_15x_0)</f>
        <v>43600.85</v>
      </c>
      <c r="U235" s="1"/>
      <c r="V235" s="5">
        <f t="shared" si="76"/>
        <v>4.2149384236520948E-3</v>
      </c>
      <c r="W235" s="1"/>
      <c r="X235" s="1">
        <f t="shared" si="77"/>
        <v>699.15000000000146</v>
      </c>
      <c r="Y235" s="1"/>
      <c r="Z235" s="5">
        <f t="shared" si="78"/>
        <v>1.6035237845133787E-2</v>
      </c>
    </row>
    <row r="236" spans="1:26" s="24" customFormat="1" hidden="1" outlineLevel="2" x14ac:dyDescent="0.25">
      <c r="A236" s="25"/>
      <c r="B236" s="11" t="str">
        <f>CONCATENATE("          ", "6273", " - ", "RENT")</f>
        <v xml:space="preserve">          6273 - RENT</v>
      </c>
      <c r="C236" s="11"/>
      <c r="D236" s="6">
        <v>7700</v>
      </c>
      <c r="E236" s="2"/>
      <c r="F236" s="7">
        <f t="shared" si="71"/>
        <v>3.2237069365033859E-3</v>
      </c>
      <c r="G236" s="2"/>
      <c r="H236" s="6">
        <v>6100</v>
      </c>
      <c r="I236" s="2"/>
      <c r="J236" s="7">
        <f t="shared" si="72"/>
        <v>2.1109891805298495E-3</v>
      </c>
      <c r="K236" s="2"/>
      <c r="L236" s="6">
        <f t="shared" si="73"/>
        <v>1600</v>
      </c>
      <c r="M236" s="2"/>
      <c r="N236" s="7">
        <f t="shared" si="74"/>
        <v>0.26229508196721313</v>
      </c>
      <c r="O236" s="11"/>
      <c r="P236" s="6">
        <v>44300</v>
      </c>
      <c r="Q236" s="2"/>
      <c r="R236" s="7">
        <f t="shared" si="75"/>
        <v>4.6694884135688869E-3</v>
      </c>
      <c r="S236" s="2"/>
      <c r="T236" s="6">
        <v>43600.85</v>
      </c>
      <c r="U236" s="2"/>
      <c r="V236" s="7">
        <f t="shared" si="76"/>
        <v>4.2149384236520948E-3</v>
      </c>
      <c r="W236" s="2"/>
      <c r="X236" s="6">
        <f t="shared" si="77"/>
        <v>699.15000000000146</v>
      </c>
      <c r="Y236" s="2"/>
      <c r="Z236" s="7">
        <f t="shared" si="78"/>
        <v>1.6035237845133787E-2</v>
      </c>
    </row>
    <row r="237" spans="1:26" s="26" customFormat="1" outlineLevel="1" collapsed="1" x14ac:dyDescent="0.25">
      <c r="A237" s="27"/>
      <c r="B237" s="13" t="str">
        <f>CONCATENATE("     ","Repair and Maintenance                            ")</f>
        <v xml:space="preserve">     Repair and Maintenance                            </v>
      </c>
      <c r="C237" s="13"/>
      <c r="D237" s="1">
        <f>SUM(OSRRefD22_16x_0)</f>
        <v>19358.940000000002</v>
      </c>
      <c r="E237" s="1"/>
      <c r="F237" s="5">
        <f t="shared" si="71"/>
        <v>8.1048765144614097E-3</v>
      </c>
      <c r="G237" s="1"/>
      <c r="H237" s="1">
        <f>SUM(OSRRefH22_16x_0)</f>
        <v>10359.519999999999</v>
      </c>
      <c r="I237" s="1"/>
      <c r="J237" s="5">
        <f t="shared" si="72"/>
        <v>3.5850548582758335E-3</v>
      </c>
      <c r="K237" s="1"/>
      <c r="L237" s="1">
        <f t="shared" si="73"/>
        <v>8999.4200000000037</v>
      </c>
      <c r="M237" s="1"/>
      <c r="N237" s="5">
        <f t="shared" si="74"/>
        <v>0.86871013328802926</v>
      </c>
      <c r="O237" s="13"/>
      <c r="P237" s="1">
        <f>SUM(OSRRefP22_16x_0)</f>
        <v>101710.95999999999</v>
      </c>
      <c r="Q237" s="1"/>
      <c r="R237" s="5">
        <f t="shared" si="75"/>
        <v>1.0720951450405608E-2</v>
      </c>
      <c r="S237" s="1"/>
      <c r="T237" s="1">
        <f>SUM(OSRRefT22_16x_0)</f>
        <v>132767.51999999999</v>
      </c>
      <c r="U237" s="1"/>
      <c r="V237" s="5">
        <f t="shared" si="76"/>
        <v>1.2834770915268807E-2</v>
      </c>
      <c r="W237" s="1"/>
      <c r="X237" s="1">
        <f t="shared" si="77"/>
        <v>-31056.559999999998</v>
      </c>
      <c r="Y237" s="1"/>
      <c r="Z237" s="5">
        <f t="shared" si="78"/>
        <v>-0.23391684954271949</v>
      </c>
    </row>
    <row r="238" spans="1:26" s="24" customFormat="1" hidden="1" outlineLevel="2" x14ac:dyDescent="0.25">
      <c r="A238" s="25"/>
      <c r="B238" s="11" t="str">
        <f>CONCATENATE("          ", "6371", " - ", "COMPUTER SOFTWARE MAINTENANCE")</f>
        <v xml:space="preserve">          6371 - COMPUTER SOFTWARE MAINTENANCE</v>
      </c>
      <c r="C238" s="11"/>
      <c r="D238" s="6">
        <v>601</v>
      </c>
      <c r="E238" s="2"/>
      <c r="F238" s="7">
        <f t="shared" si="71"/>
        <v>2.5161660634266686E-4</v>
      </c>
      <c r="G238" s="2"/>
      <c r="H238" s="6">
        <v>601</v>
      </c>
      <c r="I238" s="2"/>
      <c r="J238" s="7">
        <f t="shared" si="72"/>
        <v>2.079843438522032E-4</v>
      </c>
      <c r="K238" s="2"/>
      <c r="L238" s="6">
        <f t="shared" si="73"/>
        <v>0</v>
      </c>
      <c r="M238" s="2"/>
      <c r="N238" s="7">
        <f t="shared" si="74"/>
        <v>0</v>
      </c>
      <c r="O238" s="11"/>
      <c r="P238" s="6">
        <v>14554.4</v>
      </c>
      <c r="Q238" s="2"/>
      <c r="R238" s="7">
        <f t="shared" si="75"/>
        <v>1.5341219450665238E-3</v>
      </c>
      <c r="S238" s="2"/>
      <c r="T238" s="6">
        <v>50638.83</v>
      </c>
      <c r="U238" s="2"/>
      <c r="V238" s="7">
        <f t="shared" si="76"/>
        <v>4.895307093687083E-3</v>
      </c>
      <c r="W238" s="2"/>
      <c r="X238" s="6">
        <f t="shared" si="77"/>
        <v>-36084.43</v>
      </c>
      <c r="Y238" s="2"/>
      <c r="Z238" s="7">
        <f t="shared" si="78"/>
        <v>-0.7125841967517812</v>
      </c>
    </row>
    <row r="239" spans="1:26" s="24" customFormat="1" hidden="1" outlineLevel="2" x14ac:dyDescent="0.25">
      <c r="A239" s="25"/>
      <c r="B239" s="11" t="str">
        <f>CONCATENATE("          ", "6372", " - ", "COMPUTER HARDWARE MAINTENANCE")</f>
        <v xml:space="preserve">          6372 - COMPUTER HARDWARE MAINTENANCE</v>
      </c>
      <c r="C239" s="11"/>
      <c r="D239" s="6">
        <v>52.32</v>
      </c>
      <c r="E239" s="2"/>
      <c r="F239" s="7">
        <f t="shared" si="71"/>
        <v>2.1904460638682745E-5</v>
      </c>
      <c r="G239" s="2"/>
      <c r="H239" s="6">
        <v>49.56</v>
      </c>
      <c r="I239" s="2"/>
      <c r="J239" s="7">
        <f t="shared" si="72"/>
        <v>1.7150921932304811E-5</v>
      </c>
      <c r="K239" s="2"/>
      <c r="L239" s="6">
        <f t="shared" si="73"/>
        <v>2.759999999999998</v>
      </c>
      <c r="M239" s="2"/>
      <c r="N239" s="7">
        <f t="shared" si="74"/>
        <v>5.5690072639225138E-2</v>
      </c>
      <c r="O239" s="11"/>
      <c r="P239" s="6">
        <v>52.32</v>
      </c>
      <c r="Q239" s="2"/>
      <c r="R239" s="7">
        <f t="shared" si="75"/>
        <v>5.5148450067251501E-6</v>
      </c>
      <c r="S239" s="2"/>
      <c r="T239" s="6">
        <v>49.56</v>
      </c>
      <c r="U239" s="2"/>
      <c r="V239" s="7">
        <f t="shared" si="76"/>
        <v>4.7910155025922167E-6</v>
      </c>
      <c r="W239" s="2"/>
      <c r="X239" s="6">
        <f t="shared" si="77"/>
        <v>2.759999999999998</v>
      </c>
      <c r="Y239" s="2"/>
      <c r="Z239" s="7">
        <f t="shared" si="78"/>
        <v>5.5690072639225138E-2</v>
      </c>
    </row>
    <row r="240" spans="1:26" s="24" customFormat="1" hidden="1" outlineLevel="2" x14ac:dyDescent="0.25">
      <c r="A240" s="25"/>
      <c r="B240" s="11" t="str">
        <f>CONCATENATE("          ", "6373", " - ", "MAINTENANCE CONTRACTS")</f>
        <v xml:space="preserve">          6373 - MAINTENANCE CONTRACTS</v>
      </c>
      <c r="C240" s="11"/>
      <c r="D240" s="6">
        <v>12841.11</v>
      </c>
      <c r="E240" s="2"/>
      <c r="F240" s="7">
        <f t="shared" si="71"/>
        <v>5.3761006986237656E-3</v>
      </c>
      <c r="G240" s="2"/>
      <c r="H240" s="6">
        <v>8279.82</v>
      </c>
      <c r="I240" s="2"/>
      <c r="J240" s="7">
        <f t="shared" si="72"/>
        <v>2.8653459732351895E-3</v>
      </c>
      <c r="K240" s="2"/>
      <c r="L240" s="6">
        <f t="shared" si="73"/>
        <v>4561.2900000000009</v>
      </c>
      <c r="M240" s="2"/>
      <c r="N240" s="7">
        <f t="shared" si="74"/>
        <v>0.55089241070458062</v>
      </c>
      <c r="O240" s="11"/>
      <c r="P240" s="6">
        <v>52539.5</v>
      </c>
      <c r="Q240" s="2"/>
      <c r="R240" s="7">
        <f t="shared" si="75"/>
        <v>5.537981636675E-3</v>
      </c>
      <c r="S240" s="2"/>
      <c r="T240" s="6">
        <v>59687.44</v>
      </c>
      <c r="U240" s="2"/>
      <c r="V240" s="7">
        <f t="shared" si="76"/>
        <v>5.7700454065787487E-3</v>
      </c>
      <c r="W240" s="2"/>
      <c r="X240" s="6">
        <f t="shared" si="77"/>
        <v>-7147.9400000000023</v>
      </c>
      <c r="Y240" s="2"/>
      <c r="Z240" s="7">
        <f t="shared" si="78"/>
        <v>-0.1197561832104041</v>
      </c>
    </row>
    <row r="241" spans="1:26" s="24" customFormat="1" hidden="1" outlineLevel="2" x14ac:dyDescent="0.25">
      <c r="A241" s="25"/>
      <c r="B241" s="11" t="str">
        <f>CONCATENATE("          ", "6375", " - ", "OUTSIDE REPAIRS &amp; MAINTENANCE")</f>
        <v xml:space="preserve">          6375 - OUTSIDE REPAIRS &amp; MAINTENANCE</v>
      </c>
      <c r="C241" s="11"/>
      <c r="D241" s="6">
        <v>5864.51</v>
      </c>
      <c r="E241" s="2"/>
      <c r="F241" s="7">
        <f t="shared" si="71"/>
        <v>2.4552547488562951E-3</v>
      </c>
      <c r="G241" s="2"/>
      <c r="H241" s="6">
        <v>1429.14</v>
      </c>
      <c r="I241" s="2"/>
      <c r="J241" s="7">
        <f t="shared" si="72"/>
        <v>4.9457361925613595E-4</v>
      </c>
      <c r="K241" s="2"/>
      <c r="L241" s="6">
        <f t="shared" si="73"/>
        <v>4435.37</v>
      </c>
      <c r="M241" s="2"/>
      <c r="N241" s="7">
        <f t="shared" si="74"/>
        <v>3.1035237975285832</v>
      </c>
      <c r="O241" s="11"/>
      <c r="P241" s="6">
        <v>34564.74</v>
      </c>
      <c r="Q241" s="2"/>
      <c r="R241" s="7">
        <f t="shared" si="75"/>
        <v>3.6433330236573594E-3</v>
      </c>
      <c r="S241" s="2"/>
      <c r="T241" s="6">
        <v>22391.69</v>
      </c>
      <c r="U241" s="2"/>
      <c r="V241" s="7">
        <f t="shared" si="76"/>
        <v>2.1646273995003856E-3</v>
      </c>
      <c r="W241" s="2"/>
      <c r="X241" s="6">
        <f t="shared" si="77"/>
        <v>12173.05</v>
      </c>
      <c r="Y241" s="2"/>
      <c r="Z241" s="7">
        <f t="shared" si="78"/>
        <v>0.54364141339934591</v>
      </c>
    </row>
    <row r="242" spans="1:26" s="26" customFormat="1" outlineLevel="1" collapsed="1" x14ac:dyDescent="0.25">
      <c r="A242" s="27"/>
      <c r="B242" s="13" t="str">
        <f>CONCATENATE("     ","Royalty &amp; Commissions                             ")</f>
        <v xml:space="preserve">     Royalty &amp; Commissions                             </v>
      </c>
      <c r="C242" s="13"/>
      <c r="D242" s="1">
        <f>SUM(OSRRefD22_17x_0)</f>
        <v>8601.39</v>
      </c>
      <c r="E242" s="1"/>
      <c r="F242" s="5">
        <f t="shared" ref="F242:F245" si="79">IF(D$12=0,0,D242/D$12)</f>
        <v>3.6010857930611501E-3</v>
      </c>
      <c r="G242" s="1"/>
      <c r="H242" s="1">
        <f>SUM(OSRRefH22_17x_0)</f>
        <v>15405.41</v>
      </c>
      <c r="I242" s="1"/>
      <c r="J242" s="5">
        <f t="shared" ref="J242:J245" si="80">IF(H$12=0,0,H242/H$12)</f>
        <v>5.3312547264961225E-3</v>
      </c>
      <c r="K242" s="1"/>
      <c r="L242" s="1">
        <f t="shared" ref="L242:L245" si="81">+D242-H242</f>
        <v>-6804.02</v>
      </c>
      <c r="M242" s="1"/>
      <c r="N242" s="5">
        <f t="shared" ref="N242:N245" si="82">IF(H242=0,0,L242/H242)</f>
        <v>-0.44166432441590325</v>
      </c>
      <c r="O242" s="13"/>
      <c r="P242" s="1">
        <f>SUM(OSRRefP22_17x_0)</f>
        <v>72092.160000000003</v>
      </c>
      <c r="Q242" s="1"/>
      <c r="R242" s="5">
        <f t="shared" ref="R242:R245" si="83">IF(P$12=0,0,P242/P$12)</f>
        <v>7.5989504701840715E-3</v>
      </c>
      <c r="S242" s="1"/>
      <c r="T242" s="1">
        <f>SUM(OSRRefT22_17x_0)</f>
        <v>99805.37</v>
      </c>
      <c r="U242" s="1"/>
      <c r="V242" s="5">
        <f t="shared" ref="V242:V245" si="84">IF(T$12=0,0,T242/T$12)</f>
        <v>9.6482864187238115E-3</v>
      </c>
      <c r="W242" s="1"/>
      <c r="X242" s="1">
        <f t="shared" ref="X242:X245" si="85">+P242-T242</f>
        <v>-27713.209999999992</v>
      </c>
      <c r="Y242" s="1"/>
      <c r="Z242" s="5">
        <f t="shared" ref="Z242:Z245" si="86">IF(T242=0,0,X242/T242)</f>
        <v>-0.27767253405302733</v>
      </c>
    </row>
    <row r="243" spans="1:26" s="24" customFormat="1" hidden="1" outlineLevel="2" x14ac:dyDescent="0.25">
      <c r="A243" s="25"/>
      <c r="B243" s="11" t="str">
        <f>CONCATENATE("          ", "6253", " - ", "ROYALTY DUE ATHLETICS-LRG")</f>
        <v xml:space="preserve">          6253 - ROYALTY DUE ATHLETICS-LRG</v>
      </c>
      <c r="C243" s="11"/>
      <c r="D243" s="6"/>
      <c r="E243" s="2"/>
      <c r="F243" s="7">
        <f t="shared" si="79"/>
        <v>0</v>
      </c>
      <c r="G243" s="2"/>
      <c r="H243" s="6">
        <v>9007.2199999999993</v>
      </c>
      <c r="I243" s="2"/>
      <c r="J243" s="7">
        <f t="shared" si="80"/>
        <v>3.1170727814183721E-3</v>
      </c>
      <c r="K243" s="2"/>
      <c r="L243" s="6">
        <f t="shared" si="81"/>
        <v>-9007.2199999999993</v>
      </c>
      <c r="M243" s="2"/>
      <c r="N243" s="7">
        <f t="shared" si="82"/>
        <v>-1</v>
      </c>
      <c r="O243" s="11"/>
      <c r="P243" s="6">
        <v>4366.95</v>
      </c>
      <c r="Q243" s="2"/>
      <c r="R243" s="7">
        <f t="shared" si="83"/>
        <v>4.6030298933712524E-4</v>
      </c>
      <c r="S243" s="2"/>
      <c r="T243" s="6">
        <v>35179.64</v>
      </c>
      <c r="U243" s="2"/>
      <c r="V243" s="7">
        <f t="shared" si="84"/>
        <v>3.4008515055612035E-3</v>
      </c>
      <c r="W243" s="2"/>
      <c r="X243" s="6">
        <f t="shared" si="85"/>
        <v>-30812.69</v>
      </c>
      <c r="Y243" s="2"/>
      <c r="Z243" s="7">
        <f t="shared" si="86"/>
        <v>-0.87586712086877516</v>
      </c>
    </row>
    <row r="244" spans="1:26" s="24" customFormat="1" hidden="1" outlineLevel="2" x14ac:dyDescent="0.25">
      <c r="A244" s="25"/>
      <c r="B244" s="11" t="str">
        <f>CONCATENATE("          ", "6254", " - ", "ROYALTY &amp; COMMISSIONS")</f>
        <v xml:space="preserve">          6254 - ROYALTY &amp; COMMISSIONS</v>
      </c>
      <c r="C244" s="11"/>
      <c r="D244" s="6">
        <v>760.81</v>
      </c>
      <c r="E244" s="2"/>
      <c r="F244" s="7">
        <f t="shared" si="79"/>
        <v>3.1852317848845982E-4</v>
      </c>
      <c r="G244" s="2"/>
      <c r="H244" s="6">
        <v>838.03</v>
      </c>
      <c r="I244" s="2"/>
      <c r="J244" s="7">
        <f t="shared" si="80"/>
        <v>2.9001184638679177E-4</v>
      </c>
      <c r="K244" s="2"/>
      <c r="L244" s="6">
        <f t="shared" si="81"/>
        <v>-77.220000000000027</v>
      </c>
      <c r="M244" s="2"/>
      <c r="N244" s="7">
        <f t="shared" si="82"/>
        <v>-9.214467262508505E-2</v>
      </c>
      <c r="O244" s="11"/>
      <c r="P244" s="6">
        <v>3324.65</v>
      </c>
      <c r="Q244" s="2"/>
      <c r="R244" s="7">
        <f t="shared" si="83"/>
        <v>3.5043825404451015E-4</v>
      </c>
      <c r="S244" s="2"/>
      <c r="T244" s="6">
        <v>3815.34</v>
      </c>
      <c r="U244" s="2"/>
      <c r="V244" s="7">
        <f t="shared" si="84"/>
        <v>3.6883279030791339E-4</v>
      </c>
      <c r="W244" s="2"/>
      <c r="X244" s="6">
        <f t="shared" si="85"/>
        <v>-490.69000000000005</v>
      </c>
      <c r="Y244" s="2"/>
      <c r="Z244" s="7">
        <f t="shared" si="86"/>
        <v>-0.12860977003360122</v>
      </c>
    </row>
    <row r="245" spans="1:26" s="24" customFormat="1" hidden="1" outlineLevel="2" x14ac:dyDescent="0.25">
      <c r="A245" s="25"/>
      <c r="B245" s="11" t="str">
        <f>CONCATENATE("          ", "6259", " - ", "ROYALTY &amp; COMMISSIONS")</f>
        <v xml:space="preserve">          6259 - ROYALTY &amp; COMMISSIONS</v>
      </c>
      <c r="C245" s="11"/>
      <c r="D245" s="6">
        <v>7840.58</v>
      </c>
      <c r="E245" s="2"/>
      <c r="F245" s="7">
        <f t="shared" si="79"/>
        <v>3.2825626145726902E-3</v>
      </c>
      <c r="G245" s="2"/>
      <c r="H245" s="6">
        <v>5560.16</v>
      </c>
      <c r="I245" s="2"/>
      <c r="J245" s="7">
        <f t="shared" si="80"/>
        <v>1.9241700986909586E-3</v>
      </c>
      <c r="K245" s="2"/>
      <c r="L245" s="6">
        <f t="shared" si="81"/>
        <v>2280.42</v>
      </c>
      <c r="M245" s="2"/>
      <c r="N245" s="7">
        <f t="shared" si="82"/>
        <v>0.41013567954878999</v>
      </c>
      <c r="O245" s="11"/>
      <c r="P245" s="6">
        <v>64400.56</v>
      </c>
      <c r="Q245" s="2"/>
      <c r="R245" s="7">
        <f t="shared" si="83"/>
        <v>6.7882092268024352E-3</v>
      </c>
      <c r="S245" s="2"/>
      <c r="T245" s="6">
        <v>60810.39</v>
      </c>
      <c r="U245" s="2"/>
      <c r="V245" s="7">
        <f t="shared" si="84"/>
        <v>5.8786021228546953E-3</v>
      </c>
      <c r="W245" s="2"/>
      <c r="X245" s="6">
        <f t="shared" si="85"/>
        <v>3590.1699999999983</v>
      </c>
      <c r="Y245" s="2"/>
      <c r="Z245" s="7">
        <f t="shared" si="86"/>
        <v>5.9038759659327929E-2</v>
      </c>
    </row>
    <row r="246" spans="1:26" s="26" customFormat="1" outlineLevel="1" collapsed="1" x14ac:dyDescent="0.25">
      <c r="A246" s="27"/>
      <c r="B246" s="13" t="str">
        <f>CONCATENATE("     ","Services                                          ")</f>
        <v xml:space="preserve">     Services                                          </v>
      </c>
      <c r="C246" s="13"/>
      <c r="D246" s="1">
        <f>SUM(OSRRefD22_18x_0)</f>
        <v>4858.3</v>
      </c>
      <c r="E246" s="1"/>
      <c r="F246" s="5">
        <f t="shared" ref="F246:F250" si="87">IF(D$12=0,0,D246/D$12)</f>
        <v>2.0339916116382337E-3</v>
      </c>
      <c r="G246" s="1"/>
      <c r="H246" s="1">
        <f>SUM(OSRRefH22_18x_0)</f>
        <v>4663.16</v>
      </c>
      <c r="I246" s="1"/>
      <c r="J246" s="5">
        <f t="shared" ref="J246:J250" si="88">IF(H$12=0,0,H246/H$12)</f>
        <v>1.6137508700130446E-3</v>
      </c>
      <c r="K246" s="1"/>
      <c r="L246" s="1">
        <f t="shared" ref="L246:L250" si="89">+D246-H246</f>
        <v>195.14000000000033</v>
      </c>
      <c r="M246" s="1"/>
      <c r="N246" s="5">
        <f t="shared" ref="N246:N250" si="90">IF(H246=0,0,L246/H246)</f>
        <v>4.184715943694841E-2</v>
      </c>
      <c r="O246" s="13"/>
      <c r="P246" s="1">
        <f>SUM(OSRRefP22_18x_0)</f>
        <v>32250.18</v>
      </c>
      <c r="Q246" s="1"/>
      <c r="R246" s="5">
        <f t="shared" ref="R246:R250" si="91">IF(P$12=0,0,P246/P$12)</f>
        <v>3.39936437574517E-3</v>
      </c>
      <c r="S246" s="1"/>
      <c r="T246" s="1">
        <f>SUM(OSRRefT22_18x_0)</f>
        <v>30837.090000000004</v>
      </c>
      <c r="U246" s="1"/>
      <c r="V246" s="5">
        <f t="shared" ref="V246:V250" si="92">IF(T$12=0,0,T246/T$12)</f>
        <v>2.9810527894437336E-3</v>
      </c>
      <c r="W246" s="1"/>
      <c r="X246" s="1">
        <f t="shared" ref="X246:X250" si="93">+P246-T246</f>
        <v>1413.0899999999965</v>
      </c>
      <c r="Y246" s="1"/>
      <c r="Z246" s="5">
        <f t="shared" ref="Z246:Z250" si="94">IF(T246=0,0,X246/T246)</f>
        <v>4.5824362804661407E-2</v>
      </c>
    </row>
    <row r="247" spans="1:26" s="24" customFormat="1" hidden="1" outlineLevel="2" x14ac:dyDescent="0.25">
      <c r="A247" s="25"/>
      <c r="B247" s="11" t="str">
        <f>CONCATENATE("          ", "6282", " - ", "JANITORIAL/EXTERMINATOR EXPENS")</f>
        <v xml:space="preserve">          6282 - JANITORIAL/EXTERMINATOR EXPENS</v>
      </c>
      <c r="C247" s="11"/>
      <c r="D247" s="6">
        <v>287.52</v>
      </c>
      <c r="E247" s="2"/>
      <c r="F247" s="7">
        <f t="shared" si="87"/>
        <v>1.2037405433551343E-4</v>
      </c>
      <c r="G247" s="2"/>
      <c r="H247" s="6">
        <v>252</v>
      </c>
      <c r="I247" s="2"/>
      <c r="J247" s="7">
        <f t="shared" si="88"/>
        <v>8.7208077621888866E-5</v>
      </c>
      <c r="K247" s="2"/>
      <c r="L247" s="6">
        <f t="shared" si="89"/>
        <v>35.519999999999982</v>
      </c>
      <c r="M247" s="2"/>
      <c r="N247" s="7">
        <f t="shared" si="90"/>
        <v>0.14095238095238088</v>
      </c>
      <c r="O247" s="11"/>
      <c r="P247" s="6">
        <v>1886.52</v>
      </c>
      <c r="Q247" s="2"/>
      <c r="R247" s="7">
        <f t="shared" si="91"/>
        <v>1.9885063841909651E-4</v>
      </c>
      <c r="S247" s="2"/>
      <c r="T247" s="6">
        <v>1609.29</v>
      </c>
      <c r="U247" s="2"/>
      <c r="V247" s="7">
        <f t="shared" si="92"/>
        <v>1.5557169770312002E-4</v>
      </c>
      <c r="W247" s="2"/>
      <c r="X247" s="6">
        <f t="shared" si="93"/>
        <v>277.23</v>
      </c>
      <c r="Y247" s="2"/>
      <c r="Z247" s="7">
        <f t="shared" si="94"/>
        <v>0.17226851592938502</v>
      </c>
    </row>
    <row r="248" spans="1:26" s="24" customFormat="1" hidden="1" outlineLevel="2" x14ac:dyDescent="0.25">
      <c r="A248" s="25"/>
      <c r="B248" s="11" t="str">
        <f>CONCATENATE("          ", "6283", " - ", "PLANT SERVICE")</f>
        <v xml:space="preserve">          6283 - PLANT SERVICE</v>
      </c>
      <c r="C248" s="11"/>
      <c r="D248" s="6"/>
      <c r="E248" s="2"/>
      <c r="F248" s="7">
        <f t="shared" si="87"/>
        <v>0</v>
      </c>
      <c r="G248" s="2"/>
      <c r="H248" s="6">
        <v>173</v>
      </c>
      <c r="I248" s="2"/>
      <c r="J248" s="7">
        <f t="shared" si="88"/>
        <v>5.9869037415026879E-5</v>
      </c>
      <c r="K248" s="2"/>
      <c r="L248" s="6">
        <f t="shared" si="89"/>
        <v>-173</v>
      </c>
      <c r="M248" s="2"/>
      <c r="N248" s="7">
        <f t="shared" si="90"/>
        <v>-1</v>
      </c>
      <c r="O248" s="11"/>
      <c r="P248" s="6">
        <v>541.98</v>
      </c>
      <c r="Q248" s="2"/>
      <c r="R248" s="7">
        <f t="shared" si="91"/>
        <v>5.712797585521592E-5</v>
      </c>
      <c r="S248" s="2"/>
      <c r="T248" s="6">
        <v>1333.5</v>
      </c>
      <c r="U248" s="2"/>
      <c r="V248" s="7">
        <f t="shared" si="92"/>
        <v>1.2891079848076513E-4</v>
      </c>
      <c r="W248" s="2"/>
      <c r="X248" s="6">
        <f t="shared" si="93"/>
        <v>-791.52</v>
      </c>
      <c r="Y248" s="2"/>
      <c r="Z248" s="7">
        <f t="shared" si="94"/>
        <v>-0.5935658042744657</v>
      </c>
    </row>
    <row r="249" spans="1:26" s="24" customFormat="1" hidden="1" outlineLevel="2" x14ac:dyDescent="0.25">
      <c r="A249" s="25"/>
      <c r="B249" s="11" t="str">
        <f>CONCATENATE("          ", "6284", " - ", "TRASH REMOVAL EXPENSE")</f>
        <v xml:space="preserve">          6284 - TRASH REMOVAL EXPENSE</v>
      </c>
      <c r="C249" s="11"/>
      <c r="D249" s="6">
        <v>134.82</v>
      </c>
      <c r="E249" s="2"/>
      <c r="F249" s="7">
        <f t="shared" si="87"/>
        <v>5.6444177815504736E-5</v>
      </c>
      <c r="G249" s="2"/>
      <c r="H249" s="6">
        <v>121.46</v>
      </c>
      <c r="I249" s="2"/>
      <c r="J249" s="7">
        <f t="shared" si="88"/>
        <v>4.203290915855008E-5</v>
      </c>
      <c r="K249" s="2"/>
      <c r="L249" s="6">
        <f t="shared" si="89"/>
        <v>13.36</v>
      </c>
      <c r="M249" s="2"/>
      <c r="N249" s="7">
        <f t="shared" si="90"/>
        <v>0.10999506010209123</v>
      </c>
      <c r="O249" s="11"/>
      <c r="P249" s="6">
        <v>943.74</v>
      </c>
      <c r="Q249" s="2"/>
      <c r="R249" s="7">
        <f t="shared" si="91"/>
        <v>9.9475914117866843E-5</v>
      </c>
      <c r="S249" s="2"/>
      <c r="T249" s="6">
        <v>850.22</v>
      </c>
      <c r="U249" s="2"/>
      <c r="V249" s="7">
        <f t="shared" si="92"/>
        <v>8.2191630359442175E-5</v>
      </c>
      <c r="W249" s="2"/>
      <c r="X249" s="6">
        <f t="shared" si="93"/>
        <v>93.519999999999982</v>
      </c>
      <c r="Y249" s="2"/>
      <c r="Z249" s="7">
        <f t="shared" si="94"/>
        <v>0.1099950601020912</v>
      </c>
    </row>
    <row r="250" spans="1:26" s="24" customFormat="1" hidden="1" outlineLevel="2" x14ac:dyDescent="0.25">
      <c r="A250" s="25"/>
      <c r="B250" s="11" t="str">
        <f>CONCATENATE("          ", "6285", " - ", "JANITORIAL SERVICES")</f>
        <v xml:space="preserve">          6285 - JANITORIAL SERVICES</v>
      </c>
      <c r="C250" s="11"/>
      <c r="D250" s="6">
        <v>4435.96</v>
      </c>
      <c r="E250" s="2"/>
      <c r="F250" s="7">
        <f t="shared" si="87"/>
        <v>1.8571733794872155E-3</v>
      </c>
      <c r="G250" s="2"/>
      <c r="H250" s="6">
        <v>4116.7</v>
      </c>
      <c r="I250" s="2"/>
      <c r="J250" s="7">
        <f t="shared" si="88"/>
        <v>1.4246408458175788E-3</v>
      </c>
      <c r="K250" s="2"/>
      <c r="L250" s="6">
        <f t="shared" si="89"/>
        <v>319.26000000000022</v>
      </c>
      <c r="M250" s="2"/>
      <c r="N250" s="7">
        <f t="shared" si="90"/>
        <v>7.755240848252247E-2</v>
      </c>
      <c r="O250" s="11"/>
      <c r="P250" s="6">
        <v>28877.94</v>
      </c>
      <c r="Q250" s="2"/>
      <c r="R250" s="7">
        <f t="shared" si="91"/>
        <v>3.0439098473529907E-3</v>
      </c>
      <c r="S250" s="2"/>
      <c r="T250" s="6">
        <v>27044.080000000002</v>
      </c>
      <c r="U250" s="2"/>
      <c r="V250" s="7">
        <f t="shared" si="92"/>
        <v>2.6143786629004061E-3</v>
      </c>
      <c r="W250" s="2"/>
      <c r="X250" s="6">
        <f t="shared" si="93"/>
        <v>1833.8599999999969</v>
      </c>
      <c r="Y250" s="2"/>
      <c r="Z250" s="7">
        <f t="shared" si="94"/>
        <v>6.7810034580580922E-2</v>
      </c>
    </row>
    <row r="251" spans="1:26" s="26" customFormat="1" outlineLevel="1" collapsed="1" x14ac:dyDescent="0.25">
      <c r="A251" s="27"/>
      <c r="B251" s="13" t="str">
        <f>CONCATENATE("     ","Subscriptions &amp; Dues                              ")</f>
        <v xml:space="preserve">     Subscriptions &amp; Dues                              </v>
      </c>
      <c r="C251" s="13"/>
      <c r="D251" s="1">
        <f>SUM(OSRRefD22_19x_0)</f>
        <v>333.1</v>
      </c>
      <c r="E251" s="1"/>
      <c r="F251" s="5">
        <f t="shared" ref="F251:F253" si="95">IF(D$12=0,0,D251/D$12)</f>
        <v>1.3945672474665946E-4</v>
      </c>
      <c r="G251" s="1"/>
      <c r="H251" s="1">
        <f>SUM(OSRRefH22_19x_0)</f>
        <v>2323.1</v>
      </c>
      <c r="I251" s="1"/>
      <c r="J251" s="5">
        <f t="shared" ref="J251:J253" si="96">IF(H$12=0,0,H251/H$12)</f>
        <v>8.0394081398178579E-4</v>
      </c>
      <c r="K251" s="1"/>
      <c r="L251" s="1">
        <f t="shared" ref="L251:L253" si="97">+D251-H251</f>
        <v>-1990</v>
      </c>
      <c r="M251" s="1"/>
      <c r="N251" s="5">
        <f t="shared" ref="N251:N253" si="98">IF(H251=0,0,L251/H251)</f>
        <v>-0.85661400714562441</v>
      </c>
      <c r="O251" s="13"/>
      <c r="P251" s="1">
        <f>SUM(OSRRefP22_19x_0)</f>
        <v>-2199.14</v>
      </c>
      <c r="Q251" s="1"/>
      <c r="R251" s="5">
        <f t="shared" ref="R251:R253" si="99">IF(P$12=0,0,P251/P$12)</f>
        <v>-2.3180268058275126E-4</v>
      </c>
      <c r="S251" s="1"/>
      <c r="T251" s="1">
        <f>SUM(OSRRefT22_19x_0)</f>
        <v>13446.45</v>
      </c>
      <c r="U251" s="1"/>
      <c r="V251" s="5">
        <f t="shared" ref="V251:V253" si="100">IF(T$12=0,0,T251/T$12)</f>
        <v>1.299881969427585E-3</v>
      </c>
      <c r="W251" s="1"/>
      <c r="X251" s="1">
        <f t="shared" ref="X251:X253" si="101">+P251-T251</f>
        <v>-15645.59</v>
      </c>
      <c r="Y251" s="1"/>
      <c r="Z251" s="5">
        <f t="shared" ref="Z251:Z253" si="102">IF(T251=0,0,X251/T251)</f>
        <v>-1.1635479996579021</v>
      </c>
    </row>
    <row r="252" spans="1:26" s="24" customFormat="1" hidden="1" outlineLevel="2" x14ac:dyDescent="0.25">
      <c r="A252" s="25"/>
      <c r="B252" s="11" t="str">
        <f>CONCATENATE("          ", "6258", " - ", "MEMBERSHIP DUES")</f>
        <v xml:space="preserve">          6258 - MEMBERSHIP DUES</v>
      </c>
      <c r="C252" s="11"/>
      <c r="D252" s="6">
        <v>258.10000000000002</v>
      </c>
      <c r="E252" s="2"/>
      <c r="F252" s="7">
        <f t="shared" si="95"/>
        <v>1.0805698185863947E-4</v>
      </c>
      <c r="G252" s="2"/>
      <c r="H252" s="6">
        <v>250</v>
      </c>
      <c r="I252" s="2"/>
      <c r="J252" s="7">
        <f t="shared" si="96"/>
        <v>8.6515950021715139E-5</v>
      </c>
      <c r="K252" s="2"/>
      <c r="L252" s="6">
        <f t="shared" si="97"/>
        <v>8.1000000000000227</v>
      </c>
      <c r="M252" s="2"/>
      <c r="N252" s="7">
        <f t="shared" si="98"/>
        <v>3.2400000000000088E-2</v>
      </c>
      <c r="O252" s="11"/>
      <c r="P252" s="6">
        <v>-3064.5</v>
      </c>
      <c r="Q252" s="2"/>
      <c r="R252" s="7">
        <f t="shared" si="99"/>
        <v>-3.2301686779643006E-4</v>
      </c>
      <c r="S252" s="2"/>
      <c r="T252" s="6">
        <v>5710.84</v>
      </c>
      <c r="U252" s="2"/>
      <c r="V252" s="7">
        <f t="shared" si="100"/>
        <v>5.5207269920951843E-4</v>
      </c>
      <c r="W252" s="2"/>
      <c r="X252" s="6">
        <f t="shared" si="101"/>
        <v>-8775.34</v>
      </c>
      <c r="Y252" s="2"/>
      <c r="Z252" s="7">
        <f t="shared" si="102"/>
        <v>-1.536611076479117</v>
      </c>
    </row>
    <row r="253" spans="1:26" s="24" customFormat="1" hidden="1" outlineLevel="2" x14ac:dyDescent="0.25">
      <c r="A253" s="25"/>
      <c r="B253" s="11" t="str">
        <f>CONCATENATE("          ", "6275", " - ", "SUBSCRIPTIONS")</f>
        <v xml:space="preserve">          6275 - SUBSCRIPTIONS</v>
      </c>
      <c r="C253" s="11"/>
      <c r="D253" s="6">
        <v>75</v>
      </c>
      <c r="E253" s="2"/>
      <c r="F253" s="7">
        <f t="shared" si="95"/>
        <v>3.1399742888019989E-5</v>
      </c>
      <c r="G253" s="2"/>
      <c r="H253" s="6">
        <v>2073.1</v>
      </c>
      <c r="I253" s="2"/>
      <c r="J253" s="7">
        <f t="shared" si="96"/>
        <v>7.1742486396007062E-4</v>
      </c>
      <c r="K253" s="2"/>
      <c r="L253" s="6">
        <f t="shared" si="97"/>
        <v>-1998.1</v>
      </c>
      <c r="M253" s="2"/>
      <c r="N253" s="7">
        <f t="shared" si="98"/>
        <v>-0.96382229511359796</v>
      </c>
      <c r="O253" s="11"/>
      <c r="P253" s="6">
        <v>865.36</v>
      </c>
      <c r="Q253" s="2"/>
      <c r="R253" s="7">
        <f t="shared" si="99"/>
        <v>9.1214187213678816E-5</v>
      </c>
      <c r="S253" s="2"/>
      <c r="T253" s="6">
        <v>7735.61</v>
      </c>
      <c r="U253" s="2"/>
      <c r="V253" s="7">
        <f t="shared" si="100"/>
        <v>7.4780927021806645E-4</v>
      </c>
      <c r="W253" s="2"/>
      <c r="X253" s="6">
        <f t="shared" si="101"/>
        <v>-6870.25</v>
      </c>
      <c r="Y253" s="2"/>
      <c r="Z253" s="7">
        <f t="shared" si="102"/>
        <v>-0.88813293327869425</v>
      </c>
    </row>
    <row r="254" spans="1:26" s="26" customFormat="1" outlineLevel="1" collapsed="1" x14ac:dyDescent="0.25">
      <c r="A254" s="27"/>
      <c r="B254" s="13" t="str">
        <f>CONCATENATE("     ","Supplies                                          ")</f>
        <v xml:space="preserve">     Supplies                                          </v>
      </c>
      <c r="C254" s="13"/>
      <c r="D254" s="1">
        <f>SUM(OSRRefD22_20x_0)</f>
        <v>11416.63</v>
      </c>
      <c r="E254" s="1"/>
      <c r="F254" s="5">
        <f t="shared" ref="F254:F261" si="103">IF(D$12=0,0,D254/D$12)</f>
        <v>4.7797232886354086E-3</v>
      </c>
      <c r="G254" s="1"/>
      <c r="H254" s="1">
        <f>SUM(OSRRefH22_20x_0)</f>
        <v>22496.18</v>
      </c>
      <c r="I254" s="1"/>
      <c r="J254" s="5">
        <f t="shared" ref="J254:J261" si="104">IF(H$12=0,0,H254/H$12)</f>
        <v>7.7851135382380312E-3</v>
      </c>
      <c r="K254" s="1"/>
      <c r="L254" s="1">
        <f t="shared" ref="L254:L261" si="105">+D254-H254</f>
        <v>-11079.550000000001</v>
      </c>
      <c r="M254" s="1"/>
      <c r="N254" s="5">
        <f t="shared" ref="N254:N261" si="106">IF(H254=0,0,L254/H254)</f>
        <v>-0.49250806136864128</v>
      </c>
      <c r="O254" s="13"/>
      <c r="P254" s="1">
        <f>SUM(OSRRefP22_20x_0)</f>
        <v>64886.97</v>
      </c>
      <c r="Q254" s="1"/>
      <c r="R254" s="5">
        <f t="shared" ref="R254:R261" si="107">IF(P$12=0,0,P254/P$12)</f>
        <v>6.8394797879591856E-3</v>
      </c>
      <c r="S254" s="1"/>
      <c r="T254" s="1">
        <f>SUM(OSRRefT22_20x_0)</f>
        <v>113925.64000000001</v>
      </c>
      <c r="U254" s="1"/>
      <c r="V254" s="5">
        <f t="shared" ref="V254:V261" si="108">IF(T$12=0,0,T254/T$12)</f>
        <v>1.1013307251467716E-2</v>
      </c>
      <c r="W254" s="1"/>
      <c r="X254" s="1">
        <f t="shared" ref="X254:X261" si="109">+P254-T254</f>
        <v>-49038.670000000013</v>
      </c>
      <c r="Y254" s="1"/>
      <c r="Z254" s="5">
        <f t="shared" ref="Z254:Z261" si="110">IF(T254=0,0,X254/T254)</f>
        <v>-0.43044454259813686</v>
      </c>
    </row>
    <row r="255" spans="1:26" s="24" customFormat="1" hidden="1" outlineLevel="2" x14ac:dyDescent="0.25">
      <c r="A255" s="25"/>
      <c r="B255" s="11" t="str">
        <f>CONCATENATE("          ", "6234", " - ", "EXPENDABLE SUPPLIES &amp; EQUIPMEN")</f>
        <v xml:space="preserve">          6234 - EXPENDABLE SUPPLIES &amp; EQUIPMEN</v>
      </c>
      <c r="C255" s="11"/>
      <c r="D255" s="6">
        <v>1338.2</v>
      </c>
      <c r="E255" s="2"/>
      <c r="F255" s="7">
        <f t="shared" si="103"/>
        <v>5.6025514576997807E-4</v>
      </c>
      <c r="G255" s="2"/>
      <c r="H255" s="6"/>
      <c r="I255" s="2"/>
      <c r="J255" s="7">
        <f t="shared" si="104"/>
        <v>0</v>
      </c>
      <c r="K255" s="2"/>
      <c r="L255" s="6">
        <f t="shared" si="105"/>
        <v>1338.2</v>
      </c>
      <c r="M255" s="2"/>
      <c r="N255" s="7">
        <f t="shared" si="106"/>
        <v>0</v>
      </c>
      <c r="O255" s="11"/>
      <c r="P255" s="6">
        <v>3160.95</v>
      </c>
      <c r="Q255" s="2"/>
      <c r="R255" s="7">
        <f t="shared" si="107"/>
        <v>3.3318328218669461E-4</v>
      </c>
      <c r="S255" s="2"/>
      <c r="T255" s="6">
        <v>3475.8</v>
      </c>
      <c r="U255" s="2"/>
      <c r="V255" s="7">
        <f t="shared" si="108"/>
        <v>3.360091138803476E-4</v>
      </c>
      <c r="W255" s="2"/>
      <c r="X255" s="6">
        <f t="shared" si="109"/>
        <v>-314.85000000000036</v>
      </c>
      <c r="Y255" s="2"/>
      <c r="Z255" s="7">
        <f t="shared" si="110"/>
        <v>-9.0583462799931055E-2</v>
      </c>
    </row>
    <row r="256" spans="1:26" s="24" customFormat="1" hidden="1" outlineLevel="2" x14ac:dyDescent="0.25">
      <c r="A256" s="25"/>
      <c r="B256" s="11" t="str">
        <f>CONCATENATE("          ", "6237", " - ", "JANITORIAL SUPPLIES")</f>
        <v xml:space="preserve">          6237 - JANITORIAL SUPPLIES</v>
      </c>
      <c r="C256" s="11"/>
      <c r="D256" s="6">
        <v>792.65</v>
      </c>
      <c r="E256" s="2"/>
      <c r="F256" s="7">
        <f t="shared" si="103"/>
        <v>3.3185341600252058E-4</v>
      </c>
      <c r="G256" s="2"/>
      <c r="H256" s="6">
        <v>155.94999999999999</v>
      </c>
      <c r="I256" s="2"/>
      <c r="J256" s="7">
        <f t="shared" si="104"/>
        <v>5.3968649623545904E-5</v>
      </c>
      <c r="K256" s="2"/>
      <c r="L256" s="6">
        <f t="shared" si="105"/>
        <v>636.70000000000005</v>
      </c>
      <c r="M256" s="2"/>
      <c r="N256" s="7">
        <f t="shared" si="106"/>
        <v>4.0827188201346587</v>
      </c>
      <c r="O256" s="11"/>
      <c r="P256" s="6">
        <v>3782.13</v>
      </c>
      <c r="Q256" s="2"/>
      <c r="R256" s="7">
        <f t="shared" si="107"/>
        <v>3.9865941791447613E-4</v>
      </c>
      <c r="S256" s="2"/>
      <c r="T256" s="6">
        <v>3866.39</v>
      </c>
      <c r="U256" s="2"/>
      <c r="V256" s="7">
        <f t="shared" si="108"/>
        <v>3.7376784562283131E-4</v>
      </c>
      <c r="W256" s="2"/>
      <c r="X256" s="6">
        <f t="shared" si="109"/>
        <v>-84.259999999999764</v>
      </c>
      <c r="Y256" s="2"/>
      <c r="Z256" s="7">
        <f t="shared" si="110"/>
        <v>-2.1792938632677967E-2</v>
      </c>
    </row>
    <row r="257" spans="1:26" s="24" customFormat="1" hidden="1" outlineLevel="2" x14ac:dyDescent="0.25">
      <c r="A257" s="25"/>
      <c r="B257" s="11" t="str">
        <f>CONCATENATE("          ", "6241", " - ", "OFFICE EXPENSE")</f>
        <v xml:space="preserve">          6241 - OFFICE EXPENSE</v>
      </c>
      <c r="C257" s="11"/>
      <c r="D257" s="6">
        <v>4330.29</v>
      </c>
      <c r="E257" s="2"/>
      <c r="F257" s="7">
        <f t="shared" si="103"/>
        <v>1.8129332350741878E-3</v>
      </c>
      <c r="G257" s="2"/>
      <c r="H257" s="6">
        <v>10204.719999999999</v>
      </c>
      <c r="I257" s="2"/>
      <c r="J257" s="7">
        <f t="shared" si="104"/>
        <v>3.5314841820223877E-3</v>
      </c>
      <c r="K257" s="2"/>
      <c r="L257" s="6">
        <f t="shared" si="105"/>
        <v>-5874.4299999999994</v>
      </c>
      <c r="M257" s="2"/>
      <c r="N257" s="7">
        <f t="shared" si="106"/>
        <v>-0.57565812682758566</v>
      </c>
      <c r="O257" s="11"/>
      <c r="P257" s="6">
        <v>22517.769999999997</v>
      </c>
      <c r="Q257" s="2"/>
      <c r="R257" s="7">
        <f t="shared" si="107"/>
        <v>2.3735093931017844E-3</v>
      </c>
      <c r="S257" s="2"/>
      <c r="T257" s="6">
        <v>27076.639999999999</v>
      </c>
      <c r="U257" s="2"/>
      <c r="V257" s="7">
        <f t="shared" si="108"/>
        <v>2.6175262711482751E-3</v>
      </c>
      <c r="W257" s="2"/>
      <c r="X257" s="6">
        <f t="shared" si="109"/>
        <v>-4558.8700000000026</v>
      </c>
      <c r="Y257" s="2"/>
      <c r="Z257" s="7">
        <f t="shared" si="110"/>
        <v>-0.16836911817714467</v>
      </c>
    </row>
    <row r="258" spans="1:26" s="24" customFormat="1" hidden="1" outlineLevel="2" x14ac:dyDescent="0.25">
      <c r="A258" s="25"/>
      <c r="B258" s="11" t="str">
        <f>CONCATENATE("          ", "6243", " - ", "PAPER SUPPLIES")</f>
        <v xml:space="preserve">          6243 - PAPER SUPPLIES</v>
      </c>
      <c r="C258" s="11"/>
      <c r="D258" s="6">
        <v>2294.33</v>
      </c>
      <c r="E258" s="2"/>
      <c r="F258" s="7">
        <f t="shared" si="103"/>
        <v>9.6055162800361203E-4</v>
      </c>
      <c r="G258" s="2"/>
      <c r="H258" s="6">
        <v>2957.88</v>
      </c>
      <c r="I258" s="2"/>
      <c r="J258" s="7">
        <f t="shared" si="104"/>
        <v>1.0236151930009233E-3</v>
      </c>
      <c r="K258" s="2"/>
      <c r="L258" s="6">
        <f t="shared" si="105"/>
        <v>-663.55000000000018</v>
      </c>
      <c r="M258" s="2"/>
      <c r="N258" s="7">
        <f t="shared" si="106"/>
        <v>-0.22433296820695908</v>
      </c>
      <c r="O258" s="11"/>
      <c r="P258" s="6">
        <v>11852.83</v>
      </c>
      <c r="Q258" s="2"/>
      <c r="R258" s="7">
        <f t="shared" si="107"/>
        <v>1.2493600982618894E-3</v>
      </c>
      <c r="S258" s="2"/>
      <c r="T258" s="6">
        <v>22116.63</v>
      </c>
      <c r="U258" s="2"/>
      <c r="V258" s="7">
        <f t="shared" si="108"/>
        <v>2.138037070118969E-3</v>
      </c>
      <c r="W258" s="2"/>
      <c r="X258" s="6">
        <f t="shared" si="109"/>
        <v>-10263.800000000001</v>
      </c>
      <c r="Y258" s="2"/>
      <c r="Z258" s="7">
        <f t="shared" si="110"/>
        <v>-0.46407612733042969</v>
      </c>
    </row>
    <row r="259" spans="1:26" s="24" customFormat="1" hidden="1" outlineLevel="2" x14ac:dyDescent="0.25">
      <c r="A259" s="25"/>
      <c r="B259" s="11" t="str">
        <f>CONCATENATE("          ", "6245", " - ", "PRINTING")</f>
        <v xml:space="preserve">          6245 - PRINTING</v>
      </c>
      <c r="C259" s="11"/>
      <c r="D259" s="6">
        <v>926.39</v>
      </c>
      <c r="E259" s="2"/>
      <c r="F259" s="7">
        <f t="shared" si="103"/>
        <v>3.8784543752043785E-4</v>
      </c>
      <c r="G259" s="2"/>
      <c r="H259" s="6">
        <v>5072.04</v>
      </c>
      <c r="I259" s="2"/>
      <c r="J259" s="7">
        <f t="shared" si="104"/>
        <v>1.7552494365925602E-3</v>
      </c>
      <c r="K259" s="2"/>
      <c r="L259" s="6">
        <f t="shared" si="105"/>
        <v>-4145.6499999999996</v>
      </c>
      <c r="M259" s="2"/>
      <c r="N259" s="7">
        <f t="shared" si="106"/>
        <v>-0.81735356976679985</v>
      </c>
      <c r="O259" s="11"/>
      <c r="P259" s="6">
        <v>6520.2</v>
      </c>
      <c r="Q259" s="2"/>
      <c r="R259" s="7">
        <f t="shared" si="107"/>
        <v>6.8726858587250231E-4</v>
      </c>
      <c r="S259" s="2"/>
      <c r="T259" s="6">
        <v>14384.99</v>
      </c>
      <c r="U259" s="2"/>
      <c r="V259" s="7">
        <f t="shared" si="108"/>
        <v>1.3906115838303876E-3</v>
      </c>
      <c r="W259" s="2"/>
      <c r="X259" s="6">
        <f t="shared" si="109"/>
        <v>-7864.79</v>
      </c>
      <c r="Y259" s="2"/>
      <c r="Z259" s="7">
        <f t="shared" si="110"/>
        <v>-0.54673586842952271</v>
      </c>
    </row>
    <row r="260" spans="1:26" s="24" customFormat="1" hidden="1" outlineLevel="2" x14ac:dyDescent="0.25">
      <c r="A260" s="25"/>
      <c r="B260" s="11" t="str">
        <f>CONCATENATE("          ", "6247", " - ", "STORE SUPPLIES")</f>
        <v xml:space="preserve">          6247 - STORE SUPPLIES</v>
      </c>
      <c r="C260" s="11"/>
      <c r="D260" s="6">
        <v>1734.77</v>
      </c>
      <c r="E260" s="2"/>
      <c r="F260" s="7">
        <f t="shared" si="103"/>
        <v>7.2628442626467254E-4</v>
      </c>
      <c r="G260" s="2"/>
      <c r="H260" s="6">
        <v>3629.31</v>
      </c>
      <c r="I260" s="2"/>
      <c r="J260" s="7">
        <f t="shared" si="104"/>
        <v>1.2559728102932439E-3</v>
      </c>
      <c r="K260" s="2"/>
      <c r="L260" s="6">
        <f t="shared" si="105"/>
        <v>-1894.54</v>
      </c>
      <c r="M260" s="2"/>
      <c r="N260" s="7">
        <f t="shared" si="106"/>
        <v>-0.52201107097492361</v>
      </c>
      <c r="O260" s="11"/>
      <c r="P260" s="6">
        <v>17053.09</v>
      </c>
      <c r="Q260" s="2"/>
      <c r="R260" s="7">
        <f t="shared" si="107"/>
        <v>1.7974990106218384E-3</v>
      </c>
      <c r="S260" s="2"/>
      <c r="T260" s="6">
        <v>42429.91</v>
      </c>
      <c r="U260" s="2"/>
      <c r="V260" s="7">
        <f t="shared" si="108"/>
        <v>4.101742465367081E-3</v>
      </c>
      <c r="W260" s="2"/>
      <c r="X260" s="6">
        <f t="shared" si="109"/>
        <v>-25376.820000000003</v>
      </c>
      <c r="Y260" s="2"/>
      <c r="Z260" s="7">
        <f t="shared" si="110"/>
        <v>-0.59808799971529525</v>
      </c>
    </row>
    <row r="261" spans="1:26" s="24" customFormat="1" hidden="1" outlineLevel="2" x14ac:dyDescent="0.25">
      <c r="A261" s="25"/>
      <c r="B261" s="11" t="str">
        <f>CONCATENATE("          ", "6248", " - ", "UNIFORMS")</f>
        <v xml:space="preserve">          6248 - UNIFORMS</v>
      </c>
      <c r="C261" s="11"/>
      <c r="D261" s="6"/>
      <c r="E261" s="2"/>
      <c r="F261" s="7">
        <f t="shared" si="103"/>
        <v>0</v>
      </c>
      <c r="G261" s="2"/>
      <c r="H261" s="6">
        <v>476.28</v>
      </c>
      <c r="I261" s="2"/>
      <c r="J261" s="7">
        <f t="shared" si="104"/>
        <v>1.6482326670536995E-4</v>
      </c>
      <c r="K261" s="2"/>
      <c r="L261" s="6">
        <f t="shared" si="105"/>
        <v>-476.28</v>
      </c>
      <c r="M261" s="2"/>
      <c r="N261" s="7">
        <f t="shared" si="106"/>
        <v>-1</v>
      </c>
      <c r="O261" s="11"/>
      <c r="P261" s="6"/>
      <c r="Q261" s="2"/>
      <c r="R261" s="7">
        <f t="shared" si="107"/>
        <v>0</v>
      </c>
      <c r="S261" s="2"/>
      <c r="T261" s="6">
        <v>575.28</v>
      </c>
      <c r="U261" s="2"/>
      <c r="V261" s="7">
        <f t="shared" si="108"/>
        <v>5.5612901499823449E-5</v>
      </c>
      <c r="W261" s="2"/>
      <c r="X261" s="6">
        <f t="shared" si="109"/>
        <v>-575.28</v>
      </c>
      <c r="Y261" s="2"/>
      <c r="Z261" s="7">
        <f t="shared" si="110"/>
        <v>-1</v>
      </c>
    </row>
    <row r="262" spans="1:26" s="26" customFormat="1" outlineLevel="1" collapsed="1" x14ac:dyDescent="0.25">
      <c r="A262" s="27"/>
      <c r="B262" s="13" t="str">
        <f>CONCATENATE("     ","Telephone/Data Lines                              ")</f>
        <v xml:space="preserve">     Telephone/Data Lines                              </v>
      </c>
      <c r="C262" s="13"/>
      <c r="D262" s="1">
        <f>SUM(OSRRefD22_21x_0)</f>
        <v>2846.58</v>
      </c>
      <c r="E262" s="1"/>
      <c r="F262" s="5">
        <f t="shared" ref="F262:F264" si="111">IF(D$12=0,0,D262/D$12)</f>
        <v>1.1917584014690659E-3</v>
      </c>
      <c r="G262" s="1"/>
      <c r="H262" s="1">
        <f>SUM(OSRRefH22_21x_0)</f>
        <v>1035.92</v>
      </c>
      <c r="I262" s="1"/>
      <c r="J262" s="5">
        <f t="shared" ref="J262:J264" si="112">IF(H$12=0,0,H262/H$12)</f>
        <v>3.5849441178598064E-4</v>
      </c>
      <c r="K262" s="1"/>
      <c r="L262" s="1">
        <f t="shared" ref="L262:L264" si="113">+D262-H262</f>
        <v>1810.6599999999999</v>
      </c>
      <c r="M262" s="1"/>
      <c r="N262" s="5">
        <f t="shared" ref="N262:N264" si="114">IF(H262=0,0,L262/H262)</f>
        <v>1.7478762838829252</v>
      </c>
      <c r="O262" s="13"/>
      <c r="P262" s="1">
        <f>SUM(OSRRefP22_21x_0)</f>
        <v>20437.990000000002</v>
      </c>
      <c r="Q262" s="1"/>
      <c r="R262" s="5">
        <f t="shared" ref="R262:R264" si="115">IF(P$12=0,0,P262/P$12)</f>
        <v>2.1542879797209202E-3</v>
      </c>
      <c r="S262" s="1"/>
      <c r="T262" s="1">
        <f>SUM(OSRRefT22_21x_0)</f>
        <v>18928.990000000002</v>
      </c>
      <c r="U262" s="1"/>
      <c r="V262" s="5">
        <f t="shared" ref="V262:V264" si="116">IF(T$12=0,0,T262/T$12)</f>
        <v>1.8298846759163246E-3</v>
      </c>
      <c r="W262" s="1"/>
      <c r="X262" s="1">
        <f t="shared" ref="X262:X264" si="117">+P262-T262</f>
        <v>1509</v>
      </c>
      <c r="Y262" s="1"/>
      <c r="Z262" s="5">
        <f t="shared" ref="Z262:Z264" si="118">IF(T262=0,0,X262/T262)</f>
        <v>7.9718991874368358E-2</v>
      </c>
    </row>
    <row r="263" spans="1:26" s="24" customFormat="1" hidden="1" outlineLevel="2" x14ac:dyDescent="0.25">
      <c r="A263" s="25"/>
      <c r="B263" s="11" t="str">
        <f>CONCATENATE("          ", "6303", " - ", "DATA PHONE LINES")</f>
        <v xml:space="preserve">          6303 - DATA PHONE LINES</v>
      </c>
      <c r="C263" s="11"/>
      <c r="D263" s="6">
        <v>295</v>
      </c>
      <c r="E263" s="2"/>
      <c r="F263" s="7">
        <f t="shared" si="111"/>
        <v>1.235056553595453E-4</v>
      </c>
      <c r="G263" s="2"/>
      <c r="H263" s="6">
        <v>885</v>
      </c>
      <c r="I263" s="2"/>
      <c r="J263" s="7">
        <f t="shared" si="112"/>
        <v>3.0626646307687158E-4</v>
      </c>
      <c r="K263" s="2"/>
      <c r="L263" s="6">
        <f t="shared" si="113"/>
        <v>-590</v>
      </c>
      <c r="M263" s="2"/>
      <c r="N263" s="7">
        <f t="shared" si="114"/>
        <v>-0.66666666666666663</v>
      </c>
      <c r="O263" s="11"/>
      <c r="P263" s="6">
        <v>2065</v>
      </c>
      <c r="Q263" s="2"/>
      <c r="R263" s="7">
        <f t="shared" si="115"/>
        <v>2.1766351182888827E-4</v>
      </c>
      <c r="S263" s="2"/>
      <c r="T263" s="6">
        <v>1770</v>
      </c>
      <c r="U263" s="2"/>
      <c r="V263" s="7">
        <f t="shared" si="116"/>
        <v>1.7110769652115058E-4</v>
      </c>
      <c r="W263" s="2"/>
      <c r="X263" s="6">
        <f t="shared" si="117"/>
        <v>295</v>
      </c>
      <c r="Y263" s="2"/>
      <c r="Z263" s="7">
        <f t="shared" si="118"/>
        <v>0.16666666666666666</v>
      </c>
    </row>
    <row r="264" spans="1:26" s="24" customFormat="1" hidden="1" outlineLevel="2" x14ac:dyDescent="0.25">
      <c r="A264" s="25"/>
      <c r="B264" s="11" t="str">
        <f>CONCATENATE("          ", "6309", " - ", "TELEPHONE")</f>
        <v xml:space="preserve">          6309 - TELEPHONE</v>
      </c>
      <c r="C264" s="11"/>
      <c r="D264" s="6">
        <v>2551.58</v>
      </c>
      <c r="E264" s="2"/>
      <c r="F264" s="7">
        <f t="shared" si="111"/>
        <v>1.0682527461095205E-3</v>
      </c>
      <c r="G264" s="2"/>
      <c r="H264" s="6">
        <v>150.91999999999999</v>
      </c>
      <c r="I264" s="2"/>
      <c r="J264" s="7">
        <f t="shared" si="112"/>
        <v>5.2227948709108993E-5</v>
      </c>
      <c r="K264" s="2"/>
      <c r="L264" s="6">
        <f t="shared" si="113"/>
        <v>2400.66</v>
      </c>
      <c r="M264" s="2"/>
      <c r="N264" s="7">
        <f t="shared" si="114"/>
        <v>15.906838059899284</v>
      </c>
      <c r="O264" s="11"/>
      <c r="P264" s="6">
        <v>18372.990000000002</v>
      </c>
      <c r="Q264" s="2"/>
      <c r="R264" s="7">
        <f t="shared" si="115"/>
        <v>1.9366244678920323E-3</v>
      </c>
      <c r="S264" s="2"/>
      <c r="T264" s="6">
        <v>17158.990000000002</v>
      </c>
      <c r="U264" s="2"/>
      <c r="V264" s="7">
        <f t="shared" si="116"/>
        <v>1.6587769793951739E-3</v>
      </c>
      <c r="W264" s="2"/>
      <c r="X264" s="6">
        <f t="shared" si="117"/>
        <v>1214</v>
      </c>
      <c r="Y264" s="2"/>
      <c r="Z264" s="7">
        <f t="shared" si="118"/>
        <v>7.0750084940896865E-2</v>
      </c>
    </row>
    <row r="265" spans="1:26" s="26" customFormat="1" outlineLevel="1" collapsed="1" x14ac:dyDescent="0.25">
      <c r="A265" s="27"/>
      <c r="B265" s="13" t="str">
        <f>CONCATENATE("     ","Training                                          ")</f>
        <v xml:space="preserve">     Training                                          </v>
      </c>
      <c r="C265" s="13"/>
      <c r="D265" s="1">
        <f>SUM(OSRRefD22_22x_0)</f>
        <v>2056.09</v>
      </c>
      <c r="E265" s="1"/>
      <c r="F265" s="5">
        <f t="shared" ref="F265:F270" si="119">IF(D$12=0,0,D265/D$12)</f>
        <v>8.6080929806172041E-4</v>
      </c>
      <c r="G265" s="1"/>
      <c r="H265" s="1">
        <f>SUM(OSRRefH22_22x_0)</f>
        <v>505.7</v>
      </c>
      <c r="I265" s="1"/>
      <c r="J265" s="5">
        <f t="shared" ref="J265:J270" si="120">IF(H$12=0,0,H265/H$12)</f>
        <v>1.7500446370392539E-4</v>
      </c>
      <c r="K265" s="1"/>
      <c r="L265" s="1">
        <f t="shared" ref="L265:L270" si="121">+D265-H265</f>
        <v>1550.39</v>
      </c>
      <c r="M265" s="1"/>
      <c r="N265" s="5">
        <f t="shared" ref="N265:N270" si="122">IF(H265=0,0,L265/H265)</f>
        <v>3.0658295432074354</v>
      </c>
      <c r="O265" s="13"/>
      <c r="P265" s="1">
        <f>SUM(OSRRefP22_22x_0)</f>
        <v>10783.53</v>
      </c>
      <c r="Q265" s="1"/>
      <c r="R265" s="5">
        <f t="shared" ref="R265:R270" si="123">IF(P$12=0,0,P265/P$12)</f>
        <v>1.1366493993763545E-3</v>
      </c>
      <c r="S265" s="1"/>
      <c r="T265" s="1">
        <f>SUM(OSRRefT22_22x_0)</f>
        <v>5527.58</v>
      </c>
      <c r="U265" s="1"/>
      <c r="V265" s="5">
        <f t="shared" ref="V265:V270" si="124">IF(T$12=0,0,T265/T$12)</f>
        <v>5.3435676900360541E-4</v>
      </c>
      <c r="W265" s="1"/>
      <c r="X265" s="1">
        <f t="shared" ref="X265:X270" si="125">+P265-T265</f>
        <v>5255.9500000000007</v>
      </c>
      <c r="Y265" s="1"/>
      <c r="Z265" s="5">
        <f t="shared" ref="Z265:Z270" si="126">IF(T265=0,0,X265/T265)</f>
        <v>0.95085914631719504</v>
      </c>
    </row>
    <row r="266" spans="1:26" s="24" customFormat="1" hidden="1" outlineLevel="2" x14ac:dyDescent="0.25">
      <c r="A266" s="25"/>
      <c r="B266" s="11" t="str">
        <f>CONCATENATE("          ", "6376", " - ", "TRAINING")</f>
        <v xml:space="preserve">          6376 - TRAINING</v>
      </c>
      <c r="C266" s="11"/>
      <c r="D266" s="6">
        <v>2056.09</v>
      </c>
      <c r="E266" s="2"/>
      <c r="F266" s="7">
        <f t="shared" si="119"/>
        <v>8.6080929806172041E-4</v>
      </c>
      <c r="G266" s="2"/>
      <c r="H266" s="6">
        <v>505.7</v>
      </c>
      <c r="I266" s="2"/>
      <c r="J266" s="7">
        <f t="shared" si="120"/>
        <v>1.7500446370392539E-4</v>
      </c>
      <c r="K266" s="2"/>
      <c r="L266" s="6">
        <f t="shared" si="121"/>
        <v>1550.39</v>
      </c>
      <c r="M266" s="2"/>
      <c r="N266" s="7">
        <f t="shared" si="122"/>
        <v>3.0658295432074354</v>
      </c>
      <c r="O266" s="11"/>
      <c r="P266" s="6">
        <v>10783.53</v>
      </c>
      <c r="Q266" s="2"/>
      <c r="R266" s="7">
        <f t="shared" si="123"/>
        <v>1.1366493993763545E-3</v>
      </c>
      <c r="S266" s="2"/>
      <c r="T266" s="6">
        <v>5527.58</v>
      </c>
      <c r="U266" s="2"/>
      <c r="V266" s="7">
        <f t="shared" si="124"/>
        <v>5.3435676900360541E-4</v>
      </c>
      <c r="W266" s="2"/>
      <c r="X266" s="6">
        <f t="shared" si="125"/>
        <v>5255.9500000000007</v>
      </c>
      <c r="Y266" s="2"/>
      <c r="Z266" s="7">
        <f t="shared" si="126"/>
        <v>0.95085914631719504</v>
      </c>
    </row>
    <row r="267" spans="1:26" s="26" customFormat="1" outlineLevel="1" collapsed="1" x14ac:dyDescent="0.25">
      <c r="A267" s="27"/>
      <c r="B267" s="13" t="str">
        <f>CONCATENATE("     ","Travel                                            ")</f>
        <v xml:space="preserve">     Travel                                            </v>
      </c>
      <c r="C267" s="13"/>
      <c r="D267" s="1">
        <f>SUM(OSRRefD22_23x_0)</f>
        <v>-472.06</v>
      </c>
      <c r="E267" s="1"/>
      <c r="F267" s="5">
        <f t="shared" si="119"/>
        <v>-1.976341683695829E-4</v>
      </c>
      <c r="G267" s="1"/>
      <c r="H267" s="1">
        <f>SUM(OSRRefH22_23x_0)</f>
        <v>41.13</v>
      </c>
      <c r="I267" s="1"/>
      <c r="J267" s="5">
        <f t="shared" si="120"/>
        <v>1.4233604097572576E-5</v>
      </c>
      <c r="K267" s="1"/>
      <c r="L267" s="1">
        <f t="shared" si="121"/>
        <v>-513.19000000000005</v>
      </c>
      <c r="M267" s="1"/>
      <c r="N267" s="5">
        <f t="shared" si="122"/>
        <v>-12.477267201556042</v>
      </c>
      <c r="O267" s="13"/>
      <c r="P267" s="1">
        <f>SUM(OSRRefP22_23x_0)</f>
        <v>791.98</v>
      </c>
      <c r="Q267" s="1"/>
      <c r="R267" s="5">
        <f t="shared" si="123"/>
        <v>8.3479490604475995E-5</v>
      </c>
      <c r="S267" s="1"/>
      <c r="T267" s="1">
        <f>SUM(OSRRefT22_23x_0)</f>
        <v>1500.73</v>
      </c>
      <c r="U267" s="1"/>
      <c r="V267" s="5">
        <f t="shared" si="124"/>
        <v>1.4507709231648946E-4</v>
      </c>
      <c r="W267" s="1"/>
      <c r="X267" s="1">
        <f t="shared" si="125"/>
        <v>-708.75</v>
      </c>
      <c r="Y267" s="1"/>
      <c r="Z267" s="5">
        <f t="shared" si="126"/>
        <v>-0.47227016185456411</v>
      </c>
    </row>
    <row r="268" spans="1:26" s="24" customFormat="1" hidden="1" outlineLevel="2" x14ac:dyDescent="0.25">
      <c r="A268" s="25"/>
      <c r="B268" s="11" t="str">
        <f>CONCATENATE("          ", "6292", " - ", "TRAVEL/CONFERENCE")</f>
        <v xml:space="preserve">          6292 - TRAVEL/CONFERENCE</v>
      </c>
      <c r="C268" s="11"/>
      <c r="D268" s="6"/>
      <c r="E268" s="2"/>
      <c r="F268" s="7">
        <f t="shared" si="119"/>
        <v>0</v>
      </c>
      <c r="G268" s="2"/>
      <c r="H268" s="6"/>
      <c r="I268" s="2"/>
      <c r="J268" s="7">
        <f t="shared" si="120"/>
        <v>0</v>
      </c>
      <c r="K268" s="2"/>
      <c r="L268" s="6">
        <f t="shared" si="121"/>
        <v>0</v>
      </c>
      <c r="M268" s="2"/>
      <c r="N268" s="7">
        <f t="shared" si="122"/>
        <v>0</v>
      </c>
      <c r="O268" s="11"/>
      <c r="P268" s="6">
        <v>187.54</v>
      </c>
      <c r="Q268" s="2"/>
      <c r="R268" s="7">
        <f t="shared" si="123"/>
        <v>1.9767852304304941E-5</v>
      </c>
      <c r="S268" s="2"/>
      <c r="T268" s="6">
        <v>804.54</v>
      </c>
      <c r="U268" s="2"/>
      <c r="V268" s="7">
        <f t="shared" si="124"/>
        <v>7.7775698394986719E-5</v>
      </c>
      <c r="W268" s="2"/>
      <c r="X268" s="6">
        <f t="shared" si="125"/>
        <v>-617</v>
      </c>
      <c r="Y268" s="2"/>
      <c r="Z268" s="7">
        <f t="shared" si="126"/>
        <v>-0.76689785467472105</v>
      </c>
    </row>
    <row r="269" spans="1:26" s="24" customFormat="1" hidden="1" outlineLevel="2" x14ac:dyDescent="0.25">
      <c r="A269" s="25"/>
      <c r="B269" s="11" t="str">
        <f>CONCATENATE("          ", "6294", " - ", "TRAVEL OPERATIONAL")</f>
        <v xml:space="preserve">          6294 - TRAVEL OPERATIONAL</v>
      </c>
      <c r="C269" s="11"/>
      <c r="D269" s="6">
        <v>-506.75</v>
      </c>
      <c r="E269" s="2"/>
      <c r="F269" s="7">
        <f t="shared" si="119"/>
        <v>-2.121575961133884E-4</v>
      </c>
      <c r="G269" s="2"/>
      <c r="H269" s="6">
        <v>41.13</v>
      </c>
      <c r="I269" s="2"/>
      <c r="J269" s="7">
        <f t="shared" si="120"/>
        <v>1.4233604097572576E-5</v>
      </c>
      <c r="K269" s="2"/>
      <c r="L269" s="6">
        <f t="shared" si="121"/>
        <v>-547.88</v>
      </c>
      <c r="M269" s="2"/>
      <c r="N269" s="7">
        <f t="shared" si="122"/>
        <v>-13.320690493557013</v>
      </c>
      <c r="O269" s="11"/>
      <c r="P269" s="6">
        <v>312.19</v>
      </c>
      <c r="Q269" s="2"/>
      <c r="R269" s="7">
        <f t="shared" si="123"/>
        <v>3.2906717558286017E-5</v>
      </c>
      <c r="S269" s="2"/>
      <c r="T269" s="6">
        <v>472.61</v>
      </c>
      <c r="U269" s="2"/>
      <c r="V269" s="7">
        <f t="shared" si="124"/>
        <v>4.5687688391446885E-5</v>
      </c>
      <c r="W269" s="2"/>
      <c r="X269" s="6">
        <f t="shared" si="125"/>
        <v>-160.42000000000002</v>
      </c>
      <c r="Y269" s="2"/>
      <c r="Z269" s="7">
        <f t="shared" si="126"/>
        <v>-0.33943420579336031</v>
      </c>
    </row>
    <row r="270" spans="1:26" s="24" customFormat="1" hidden="1" outlineLevel="2" x14ac:dyDescent="0.25">
      <c r="A270" s="25"/>
      <c r="B270" s="11" t="str">
        <f>CONCATENATE("          ", "6298", " - ", "VEHICLE MILEAGE")</f>
        <v xml:space="preserve">          6298 - VEHICLE MILEAGE</v>
      </c>
      <c r="C270" s="11"/>
      <c r="D270" s="6">
        <v>34.69</v>
      </c>
      <c r="E270" s="2"/>
      <c r="F270" s="7">
        <f t="shared" si="119"/>
        <v>1.4523427743805512E-5</v>
      </c>
      <c r="G270" s="2"/>
      <c r="H270" s="6"/>
      <c r="I270" s="2"/>
      <c r="J270" s="7">
        <f t="shared" si="120"/>
        <v>0</v>
      </c>
      <c r="K270" s="2"/>
      <c r="L270" s="6">
        <f t="shared" si="121"/>
        <v>34.69</v>
      </c>
      <c r="M270" s="2"/>
      <c r="N270" s="7">
        <f t="shared" si="122"/>
        <v>0</v>
      </c>
      <c r="O270" s="11"/>
      <c r="P270" s="6">
        <v>292.25</v>
      </c>
      <c r="Q270" s="2"/>
      <c r="R270" s="7">
        <f t="shared" si="123"/>
        <v>3.0804920741885037E-5</v>
      </c>
      <c r="S270" s="2"/>
      <c r="T270" s="6">
        <v>223.58</v>
      </c>
      <c r="U270" s="2"/>
      <c r="V270" s="7">
        <f t="shared" si="124"/>
        <v>2.1613705530055847E-5</v>
      </c>
      <c r="W270" s="2"/>
      <c r="X270" s="6">
        <f t="shared" si="125"/>
        <v>68.669999999999987</v>
      </c>
      <c r="Y270" s="2"/>
      <c r="Z270" s="7">
        <f t="shared" si="126"/>
        <v>0.30713838447088282</v>
      </c>
    </row>
    <row r="271" spans="1:26" s="26" customFormat="1" outlineLevel="1" collapsed="1" x14ac:dyDescent="0.25">
      <c r="A271" s="27"/>
      <c r="B271" s="13" t="str">
        <f>CONCATENATE("     ","Utilities                                         ")</f>
        <v xml:space="preserve">     Utilities                                         </v>
      </c>
      <c r="C271" s="13"/>
      <c r="D271" s="1">
        <f>SUM(OSRRefD22_24x_0)</f>
        <v>6298.14</v>
      </c>
      <c r="E271" s="1"/>
      <c r="F271" s="5">
        <f t="shared" ref="F271:F272" si="127">IF(D$12=0,0,D271/D$12)</f>
        <v>2.6367996889700564E-3</v>
      </c>
      <c r="G271" s="1"/>
      <c r="H271" s="1">
        <f>SUM(OSRRefH22_24x_0)</f>
        <v>141.04</v>
      </c>
      <c r="I271" s="1"/>
      <c r="J271" s="5">
        <f t="shared" ref="J271:J272" si="128">IF(H$12=0,0,H271/H$12)</f>
        <v>4.8808838364250808E-5</v>
      </c>
      <c r="K271" s="1"/>
      <c r="L271" s="1">
        <f t="shared" ref="L271:L272" si="129">+D271-H271</f>
        <v>6157.1</v>
      </c>
      <c r="M271" s="1"/>
      <c r="N271" s="5">
        <f t="shared" ref="N271:N272" si="130">IF(H271=0,0,L271/H271)</f>
        <v>43.654991491775391</v>
      </c>
      <c r="O271" s="13"/>
      <c r="P271" s="1">
        <f>SUM(OSRRefP22_24x_0)</f>
        <v>38332.82</v>
      </c>
      <c r="Q271" s="1"/>
      <c r="R271" s="5">
        <f t="shared" ref="R271:R272" si="131">IF(P$12=0,0,P271/P$12)</f>
        <v>4.0405114864429277E-3</v>
      </c>
      <c r="S271" s="1"/>
      <c r="T271" s="1">
        <f>SUM(OSRRefT22_24x_0)</f>
        <v>26709.769999999997</v>
      </c>
      <c r="U271" s="1"/>
      <c r="V271" s="5">
        <f t="shared" ref="V271:V272" si="132">IF(T$12=0,0,T271/T$12)</f>
        <v>2.5820605758812044E-3</v>
      </c>
      <c r="W271" s="1"/>
      <c r="X271" s="1">
        <f t="shared" ref="X271:X272" si="133">+P271-T271</f>
        <v>11623.050000000003</v>
      </c>
      <c r="Y271" s="1"/>
      <c r="Z271" s="5">
        <f t="shared" ref="Z271:Z272" si="134">IF(T271=0,0,X271/T271)</f>
        <v>0.43516099165211847</v>
      </c>
    </row>
    <row r="272" spans="1:26" s="24" customFormat="1" hidden="1" outlineLevel="2" x14ac:dyDescent="0.25">
      <c r="A272" s="25"/>
      <c r="B272" s="11" t="str">
        <f>CONCATENATE("          ", "6274", " - ", "UTILITIES")</f>
        <v xml:space="preserve">          6274 - UTILITIES</v>
      </c>
      <c r="C272" s="11"/>
      <c r="D272" s="6">
        <v>6298.14</v>
      </c>
      <c r="E272" s="2"/>
      <c r="F272" s="7">
        <f t="shared" si="127"/>
        <v>2.6367996889700564E-3</v>
      </c>
      <c r="G272" s="2"/>
      <c r="H272" s="6">
        <v>141.04</v>
      </c>
      <c r="I272" s="2"/>
      <c r="J272" s="7">
        <f t="shared" si="128"/>
        <v>4.8808838364250808E-5</v>
      </c>
      <c r="K272" s="2"/>
      <c r="L272" s="6">
        <f t="shared" si="129"/>
        <v>6157.1</v>
      </c>
      <c r="M272" s="2"/>
      <c r="N272" s="7">
        <f t="shared" si="130"/>
        <v>43.654991491775391</v>
      </c>
      <c r="O272" s="11"/>
      <c r="P272" s="6">
        <v>38332.82</v>
      </c>
      <c r="Q272" s="2"/>
      <c r="R272" s="7">
        <f t="shared" si="131"/>
        <v>4.0405114864429277E-3</v>
      </c>
      <c r="S272" s="2"/>
      <c r="T272" s="6">
        <v>26709.769999999997</v>
      </c>
      <c r="U272" s="2"/>
      <c r="V272" s="7">
        <f t="shared" si="132"/>
        <v>2.5820605758812044E-3</v>
      </c>
      <c r="W272" s="2"/>
      <c r="X272" s="6">
        <f t="shared" si="133"/>
        <v>11623.050000000003</v>
      </c>
      <c r="Y272" s="2"/>
      <c r="Z272" s="7">
        <f t="shared" si="134"/>
        <v>0.43516099165211847</v>
      </c>
    </row>
    <row r="273" spans="1:26" s="59" customFormat="1" x14ac:dyDescent="0.25">
      <c r="A273" s="37"/>
      <c r="B273" s="37"/>
      <c r="C273" s="37"/>
      <c r="D273" s="1"/>
      <c r="E273" s="1"/>
      <c r="F273" s="5"/>
      <c r="G273" s="1"/>
      <c r="H273" s="1"/>
      <c r="I273" s="1"/>
      <c r="J273" s="5"/>
      <c r="K273" s="1"/>
      <c r="L273" s="1"/>
      <c r="M273" s="1"/>
      <c r="N273" s="5"/>
      <c r="O273" s="37"/>
      <c r="P273" s="1"/>
      <c r="Q273" s="1"/>
      <c r="R273" s="5"/>
      <c r="S273" s="1"/>
      <c r="T273" s="1"/>
      <c r="U273" s="1"/>
      <c r="V273" s="5"/>
      <c r="W273" s="1"/>
      <c r="X273" s="1"/>
      <c r="Y273" s="1"/>
      <c r="Z273" s="5"/>
    </row>
    <row r="274" spans="1:26" s="23" customFormat="1" collapsed="1" x14ac:dyDescent="0.25">
      <c r="A274" s="10"/>
      <c r="B274" s="29" t="s">
        <v>0</v>
      </c>
      <c r="C274" s="10"/>
      <c r="D274" s="4">
        <f>SUM(OSRRefD25x_0)</f>
        <v>49263.54</v>
      </c>
      <c r="E274" s="4"/>
      <c r="F274" s="12">
        <f t="shared" ref="F274:F286" si="135">IF(D$12=0,0,D274/D$12)</f>
        <v>2.0624833196715844E-2</v>
      </c>
      <c r="G274" s="4"/>
      <c r="H274" s="4">
        <f>SUM(OSRRefH25x_0)</f>
        <v>57435.979999999996</v>
      </c>
      <c r="I274" s="4"/>
      <c r="J274" s="12">
        <f t="shared" ref="J274:J286" si="136">IF(H$12=0,0,H274/H$12)</f>
        <v>1.9876513500512921E-2</v>
      </c>
      <c r="K274" s="4"/>
      <c r="L274" s="4">
        <f t="shared" ref="L274:L286" si="137">+D274-H274</f>
        <v>-8172.4399999999951</v>
      </c>
      <c r="M274" s="4"/>
      <c r="N274" s="12">
        <f t="shared" ref="N274:N286" si="138">IF(H274=0,0,L274/H274)</f>
        <v>-0.14228781331841114</v>
      </c>
      <c r="O274" s="10"/>
      <c r="P274" s="4">
        <f>SUM(OSRRefP25x_0)</f>
        <v>479966.52999999997</v>
      </c>
      <c r="Q274" s="4"/>
      <c r="R274" s="12">
        <f t="shared" ref="R274:R286" si="139">IF(P$12=0,0,P274/P$12)</f>
        <v>5.0591380377784725E-2</v>
      </c>
      <c r="S274" s="4"/>
      <c r="T274" s="4">
        <f>SUM(OSRRefT25x_0)</f>
        <v>455356.63</v>
      </c>
      <c r="U274" s="4"/>
      <c r="V274" s="12">
        <f t="shared" ref="V274:V286" si="140">IF(T$12=0,0,T274/T$12)</f>
        <v>4.4019787601657548E-2</v>
      </c>
      <c r="W274" s="4"/>
      <c r="X274" s="4">
        <f t="shared" ref="X274:X286" si="141">+P274-T274</f>
        <v>24609.899999999965</v>
      </c>
      <c r="Y274" s="4"/>
      <c r="Z274" s="12">
        <f t="shared" ref="Z274:Z286" si="142">IF(T274=0,0,X274/T274)</f>
        <v>5.404533145811441E-2</v>
      </c>
    </row>
    <row r="275" spans="1:26" s="24" customFormat="1" hidden="1" outlineLevel="1" x14ac:dyDescent="0.25">
      <c r="A275" s="44"/>
      <c r="B275" s="11" t="str">
        <f>CONCATENATE("          ", "4098", " - ", "TAXABLE SALES-GRAD RENTALS")</f>
        <v xml:space="preserve">          4098 - TAXABLE SALES-GRAD RENTALS</v>
      </c>
      <c r="C275" s="11"/>
      <c r="D275" s="2">
        <f>--320</f>
        <v>320</v>
      </c>
      <c r="E275" s="2"/>
      <c r="F275" s="19">
        <f t="shared" si="135"/>
        <v>1.3397223632221863E-4</v>
      </c>
      <c r="G275" s="2"/>
      <c r="H275" s="2">
        <f>0</f>
        <v>0</v>
      </c>
      <c r="I275" s="2"/>
      <c r="J275" s="19">
        <f t="shared" si="136"/>
        <v>0</v>
      </c>
      <c r="K275" s="2"/>
      <c r="L275" s="2">
        <f t="shared" si="137"/>
        <v>320</v>
      </c>
      <c r="M275" s="2"/>
      <c r="N275" s="19">
        <f t="shared" si="138"/>
        <v>0</v>
      </c>
      <c r="O275" s="11"/>
      <c r="P275" s="2">
        <f>--1946.85</f>
        <v>1946.85</v>
      </c>
      <c r="Q275" s="2"/>
      <c r="R275" s="19">
        <f t="shared" si="139"/>
        <v>2.0520978595838795E-4</v>
      </c>
      <c r="S275" s="2"/>
      <c r="T275" s="2">
        <f>--2269.5</f>
        <v>2269.5</v>
      </c>
      <c r="U275" s="2"/>
      <c r="V275" s="19">
        <f t="shared" si="140"/>
        <v>2.1939486850550919E-4</v>
      </c>
      <c r="W275" s="2"/>
      <c r="X275" s="2">
        <f t="shared" si="141"/>
        <v>-322.65000000000009</v>
      </c>
      <c r="Y275" s="2"/>
      <c r="Z275" s="19">
        <f t="shared" si="142"/>
        <v>-0.14216787838731001</v>
      </c>
    </row>
    <row r="276" spans="1:26" s="24" customFormat="1" hidden="1" outlineLevel="1" x14ac:dyDescent="0.25">
      <c r="A276" s="44"/>
      <c r="B276" s="11" t="str">
        <f>CONCATENATE("          ", "4187", " - ", "NON-TAXABLE SALES-COMPUTER REP")</f>
        <v xml:space="preserve">          4187 - NON-TAXABLE SALES-COMPUTER REP</v>
      </c>
      <c r="C276" s="11"/>
      <c r="D276" s="2">
        <f>--1922.01</f>
        <v>1922.01</v>
      </c>
      <c r="E276" s="2"/>
      <c r="F276" s="19">
        <f t="shared" si="135"/>
        <v>8.0467493104271072E-4</v>
      </c>
      <c r="G276" s="2"/>
      <c r="H276" s="2">
        <f>-1799.01</f>
        <v>-1799.01</v>
      </c>
      <c r="I276" s="2"/>
      <c r="J276" s="19">
        <f t="shared" si="136"/>
        <v>-6.2257223699426303E-4</v>
      </c>
      <c r="K276" s="2"/>
      <c r="L276" s="2">
        <f t="shared" si="137"/>
        <v>3721.02</v>
      </c>
      <c r="M276" s="2"/>
      <c r="N276" s="19">
        <f t="shared" si="138"/>
        <v>-2.0683709373488752</v>
      </c>
      <c r="O276" s="11"/>
      <c r="P276" s="2">
        <f>--15110.93</f>
        <v>15110.93</v>
      </c>
      <c r="Q276" s="2"/>
      <c r="R276" s="19">
        <f t="shared" si="139"/>
        <v>1.5927835790801466E-3</v>
      </c>
      <c r="S276" s="2"/>
      <c r="T276" s="2">
        <f>--3510.74</f>
        <v>3510.74</v>
      </c>
      <c r="U276" s="2"/>
      <c r="V276" s="19">
        <f t="shared" si="140"/>
        <v>3.3938679914387809E-4</v>
      </c>
      <c r="W276" s="2"/>
      <c r="X276" s="2">
        <f t="shared" si="141"/>
        <v>11600.19</v>
      </c>
      <c r="Y276" s="2"/>
      <c r="Z276" s="19">
        <f t="shared" si="142"/>
        <v>3.3042008237579545</v>
      </c>
    </row>
    <row r="277" spans="1:26" s="24" customFormat="1" hidden="1" outlineLevel="1" x14ac:dyDescent="0.25">
      <c r="A277" s="44"/>
      <c r="B277" s="11" t="str">
        <f>CONCATENATE("          ", "4197", " - ", "NON-TAXABLE SALES-RETURNED CHE")</f>
        <v xml:space="preserve">          4197 - NON-TAXABLE SALES-RETURNED CHE</v>
      </c>
      <c r="C277" s="11"/>
      <c r="D277" s="2">
        <f>0</f>
        <v>0</v>
      </c>
      <c r="E277" s="2"/>
      <c r="F277" s="19">
        <f t="shared" si="135"/>
        <v>0</v>
      </c>
      <c r="G277" s="2"/>
      <c r="H277" s="2">
        <f>--75</f>
        <v>75</v>
      </c>
      <c r="I277" s="2"/>
      <c r="J277" s="19">
        <f t="shared" si="136"/>
        <v>2.5954785006514544E-5</v>
      </c>
      <c r="K277" s="2"/>
      <c r="L277" s="2">
        <f t="shared" si="137"/>
        <v>-75</v>
      </c>
      <c r="M277" s="2"/>
      <c r="N277" s="19">
        <f t="shared" si="138"/>
        <v>-1</v>
      </c>
      <c r="O277" s="11"/>
      <c r="P277" s="2">
        <f>--30</f>
        <v>30</v>
      </c>
      <c r="Q277" s="2"/>
      <c r="R277" s="19">
        <f t="shared" si="139"/>
        <v>3.1621817699112099E-6</v>
      </c>
      <c r="S277" s="2"/>
      <c r="T277" s="2">
        <f>--335</f>
        <v>335</v>
      </c>
      <c r="U277" s="2"/>
      <c r="V277" s="19">
        <f t="shared" si="140"/>
        <v>3.2384790019539798E-5</v>
      </c>
      <c r="W277" s="2"/>
      <c r="X277" s="2">
        <f t="shared" si="141"/>
        <v>-305</v>
      </c>
      <c r="Y277" s="2"/>
      <c r="Z277" s="19">
        <f t="shared" si="142"/>
        <v>-0.91044776119402981</v>
      </c>
    </row>
    <row r="278" spans="1:26" s="24" customFormat="1" hidden="1" outlineLevel="1" x14ac:dyDescent="0.25">
      <c r="A278" s="44"/>
      <c r="B278" s="11" t="str">
        <f>CONCATENATE("          ", "4198", " - ", "NON-TAXABLE SALES-GRAD RENTALS")</f>
        <v xml:space="preserve">          4198 - NON-TAXABLE SALES-GRAD RENTALS</v>
      </c>
      <c r="C278" s="11"/>
      <c r="D278" s="2">
        <f>--3237.1</f>
        <v>3237.1</v>
      </c>
      <c r="E278" s="2"/>
      <c r="F278" s="19">
        <f t="shared" si="135"/>
        <v>1.3552547693707934E-3</v>
      </c>
      <c r="G278" s="2"/>
      <c r="H278" s="2">
        <f>--15</f>
        <v>15</v>
      </c>
      <c r="I278" s="2"/>
      <c r="J278" s="19">
        <f t="shared" si="136"/>
        <v>5.1909570013029084E-6</v>
      </c>
      <c r="K278" s="2"/>
      <c r="L278" s="2">
        <f t="shared" si="137"/>
        <v>3222.1</v>
      </c>
      <c r="M278" s="2"/>
      <c r="N278" s="19">
        <f t="shared" si="138"/>
        <v>214.80666666666667</v>
      </c>
      <c r="O278" s="11"/>
      <c r="P278" s="2">
        <f>--3732.1</f>
        <v>3732.1</v>
      </c>
      <c r="Q278" s="2"/>
      <c r="R278" s="19">
        <f t="shared" si="139"/>
        <v>3.9338595278285419E-4</v>
      </c>
      <c r="S278" s="2"/>
      <c r="T278" s="2">
        <f>--465</f>
        <v>465</v>
      </c>
      <c r="U278" s="2"/>
      <c r="V278" s="19">
        <f t="shared" si="140"/>
        <v>4.4952021967420917E-5</v>
      </c>
      <c r="W278" s="2"/>
      <c r="X278" s="2">
        <f t="shared" si="141"/>
        <v>3267.1</v>
      </c>
      <c r="Y278" s="2"/>
      <c r="Z278" s="19">
        <f t="shared" si="142"/>
        <v>7.0260215053763435</v>
      </c>
    </row>
    <row r="279" spans="1:26" s="24" customFormat="1" hidden="1" outlineLevel="1" x14ac:dyDescent="0.25">
      <c r="A279" s="44"/>
      <c r="B279" s="11" t="str">
        <f>CONCATENATE("          ", "4387", " - ", "SALES RETURN NON TAXABLE-COMPU")</f>
        <v xml:space="preserve">          4387 - SALES RETURN NON TAXABLE-COMPU</v>
      </c>
      <c r="C279" s="11"/>
      <c r="D279" s="2">
        <f t="shared" ref="D279:D280" si="143">0</f>
        <v>0</v>
      </c>
      <c r="E279" s="2"/>
      <c r="F279" s="19">
        <f t="shared" si="135"/>
        <v>0</v>
      </c>
      <c r="G279" s="2"/>
      <c r="H279" s="2">
        <f t="shared" ref="H279:H280" si="144">0</f>
        <v>0</v>
      </c>
      <c r="I279" s="2"/>
      <c r="J279" s="19">
        <f t="shared" si="136"/>
        <v>0</v>
      </c>
      <c r="K279" s="2"/>
      <c r="L279" s="2">
        <f t="shared" si="137"/>
        <v>0</v>
      </c>
      <c r="M279" s="2"/>
      <c r="N279" s="19">
        <f t="shared" si="138"/>
        <v>0</v>
      </c>
      <c r="O279" s="11"/>
      <c r="P279" s="2">
        <f>-7889</f>
        <v>-7889</v>
      </c>
      <c r="Q279" s="2"/>
      <c r="R279" s="19">
        <f t="shared" si="139"/>
        <v>-8.3154839942765121E-4</v>
      </c>
      <c r="S279" s="2"/>
      <c r="T279" s="2">
        <f t="shared" ref="T279:T280" si="145">0</f>
        <v>0</v>
      </c>
      <c r="U279" s="2"/>
      <c r="V279" s="19">
        <f t="shared" si="140"/>
        <v>0</v>
      </c>
      <c r="W279" s="2"/>
      <c r="X279" s="2">
        <f t="shared" si="141"/>
        <v>-7889</v>
      </c>
      <c r="Y279" s="2"/>
      <c r="Z279" s="19">
        <f t="shared" si="142"/>
        <v>0</v>
      </c>
    </row>
    <row r="280" spans="1:26" s="24" customFormat="1" hidden="1" outlineLevel="1" x14ac:dyDescent="0.25">
      <c r="A280" s="44"/>
      <c r="B280" s="11" t="str">
        <f>CONCATENATE("          ", "5087", " - ", "PURCHASES @ COST-COMPUTER REPA")</f>
        <v xml:space="preserve">          5087 - PURCHASES @ COST-COMPUTER REPA</v>
      </c>
      <c r="C280" s="11"/>
      <c r="D280" s="2">
        <f t="shared" si="143"/>
        <v>0</v>
      </c>
      <c r="E280" s="2"/>
      <c r="F280" s="19">
        <f t="shared" si="135"/>
        <v>0</v>
      </c>
      <c r="G280" s="2"/>
      <c r="H280" s="2">
        <f t="shared" si="144"/>
        <v>0</v>
      </c>
      <c r="I280" s="2"/>
      <c r="J280" s="19">
        <f t="shared" si="136"/>
        <v>0</v>
      </c>
      <c r="K280" s="2"/>
      <c r="L280" s="2">
        <f t="shared" si="137"/>
        <v>0</v>
      </c>
      <c r="M280" s="2"/>
      <c r="N280" s="19">
        <f t="shared" si="138"/>
        <v>0</v>
      </c>
      <c r="O280" s="11"/>
      <c r="P280" s="2">
        <f>-56.72</f>
        <v>-56.72</v>
      </c>
      <c r="Q280" s="2"/>
      <c r="R280" s="19">
        <f t="shared" si="139"/>
        <v>-5.9786316663121275E-6</v>
      </c>
      <c r="S280" s="2"/>
      <c r="T280" s="2">
        <f t="shared" si="145"/>
        <v>0</v>
      </c>
      <c r="U280" s="2"/>
      <c r="V280" s="19">
        <f t="shared" si="140"/>
        <v>0</v>
      </c>
      <c r="W280" s="2"/>
      <c r="X280" s="2">
        <f t="shared" si="141"/>
        <v>-56.72</v>
      </c>
      <c r="Y280" s="2"/>
      <c r="Z280" s="19">
        <f t="shared" si="142"/>
        <v>0</v>
      </c>
    </row>
    <row r="281" spans="1:26" s="24" customFormat="1" hidden="1" outlineLevel="1" x14ac:dyDescent="0.25">
      <c r="A281" s="44"/>
      <c r="B281" s="11" t="str">
        <f>CONCATENATE("          ", "9150", " - ", "MISC. INCOME")</f>
        <v xml:space="preserve">          9150 - MISC. INCOME</v>
      </c>
      <c r="C281" s="11"/>
      <c r="D281" s="2">
        <f>--44854.46</f>
        <v>44854.46</v>
      </c>
      <c r="E281" s="2"/>
      <c r="F281" s="19">
        <f t="shared" si="135"/>
        <v>1.8778913485079696E-2</v>
      </c>
      <c r="G281" s="2"/>
      <c r="H281" s="2">
        <f>--44164.99</f>
        <v>44164.99</v>
      </c>
      <c r="I281" s="2"/>
      <c r="J281" s="19">
        <f t="shared" si="136"/>
        <v>1.5283904270198195E-2</v>
      </c>
      <c r="K281" s="2"/>
      <c r="L281" s="2">
        <f t="shared" si="137"/>
        <v>689.47000000000116</v>
      </c>
      <c r="M281" s="2"/>
      <c r="N281" s="19">
        <f t="shared" si="138"/>
        <v>1.5611234147228408E-2</v>
      </c>
      <c r="O281" s="11"/>
      <c r="P281" s="2">
        <f>--292407.58</f>
        <v>292407.58</v>
      </c>
      <c r="Q281" s="2"/>
      <c r="R281" s="19">
        <f t="shared" si="139"/>
        <v>3.0821530628661793E-2</v>
      </c>
      <c r="S281" s="2"/>
      <c r="T281" s="2">
        <f>--429011.54</f>
        <v>429011.54</v>
      </c>
      <c r="U281" s="2"/>
      <c r="V281" s="19">
        <f t="shared" si="140"/>
        <v>4.1472981011520596E-2</v>
      </c>
      <c r="W281" s="2"/>
      <c r="X281" s="2">
        <f t="shared" si="141"/>
        <v>-136603.95999999996</v>
      </c>
      <c r="Y281" s="2"/>
      <c r="Z281" s="19">
        <f t="shared" si="142"/>
        <v>-0.31841558387916552</v>
      </c>
    </row>
    <row r="282" spans="1:26" s="24" customFormat="1" hidden="1" outlineLevel="1" x14ac:dyDescent="0.25">
      <c r="A282" s="44"/>
      <c r="B282" s="11" t="str">
        <f>CONCATENATE("          ", "9151", " - ", "MISC. INCOME")</f>
        <v xml:space="preserve">          9151 - MISC. INCOME</v>
      </c>
      <c r="C282" s="11"/>
      <c r="D282" s="2">
        <f>-1539.13</f>
        <v>-1539.13</v>
      </c>
      <c r="E282" s="2"/>
      <c r="F282" s="19">
        <f t="shared" si="135"/>
        <v>-6.4437715028317611E-4</v>
      </c>
      <c r="G282" s="2"/>
      <c r="H282" s="2">
        <f>--8392.5</f>
        <v>8392.5</v>
      </c>
      <c r="I282" s="2"/>
      <c r="J282" s="19">
        <f t="shared" si="136"/>
        <v>2.9043404422289774E-3</v>
      </c>
      <c r="K282" s="2"/>
      <c r="L282" s="2">
        <f t="shared" si="137"/>
        <v>-9931.630000000001</v>
      </c>
      <c r="M282" s="2"/>
      <c r="N282" s="19">
        <f t="shared" si="138"/>
        <v>-1.183393506106643</v>
      </c>
      <c r="O282" s="11"/>
      <c r="P282" s="2">
        <f>--85953.38</f>
        <v>85953.38</v>
      </c>
      <c r="Q282" s="2"/>
      <c r="R282" s="19">
        <f t="shared" si="139"/>
        <v>9.0600070432750261E-3</v>
      </c>
      <c r="S282" s="2"/>
      <c r="T282" s="2">
        <f>--9042.27</f>
        <v>9042.27</v>
      </c>
      <c r="U282" s="2"/>
      <c r="V282" s="19">
        <f t="shared" si="140"/>
        <v>8.7412541865666913E-4</v>
      </c>
      <c r="W282" s="2"/>
      <c r="X282" s="2">
        <f t="shared" si="141"/>
        <v>76911.11</v>
      </c>
      <c r="Y282" s="2"/>
      <c r="Z282" s="19">
        <f t="shared" si="142"/>
        <v>8.5057303088715557</v>
      </c>
    </row>
    <row r="283" spans="1:26" s="24" customFormat="1" hidden="1" outlineLevel="1" x14ac:dyDescent="0.25">
      <c r="A283" s="44"/>
      <c r="B283" s="11" t="str">
        <f>CONCATENATE("          ", "9152", " - ", "MISC. INCOME")</f>
        <v xml:space="preserve">          9152 - MISC. INCOME</v>
      </c>
      <c r="C283" s="11"/>
      <c r="D283" s="2">
        <f>--469.1</f>
        <v>469.1</v>
      </c>
      <c r="E283" s="2"/>
      <c r="F283" s="19">
        <f t="shared" si="135"/>
        <v>1.9639492518360238E-4</v>
      </c>
      <c r="G283" s="2"/>
      <c r="H283" s="2">
        <f>--6007.5</f>
        <v>6007.5</v>
      </c>
      <c r="I283" s="2"/>
      <c r="J283" s="19">
        <f t="shared" si="136"/>
        <v>2.0789782790218148E-3</v>
      </c>
      <c r="K283" s="2"/>
      <c r="L283" s="2">
        <f t="shared" si="137"/>
        <v>-5538.4</v>
      </c>
      <c r="M283" s="2"/>
      <c r="N283" s="19">
        <f t="shared" si="138"/>
        <v>-0.92191427382438618</v>
      </c>
      <c r="O283" s="11"/>
      <c r="P283" s="2">
        <f>--4699.86</f>
        <v>4699.8599999999997</v>
      </c>
      <c r="Q283" s="2"/>
      <c r="R283" s="19">
        <f t="shared" si="139"/>
        <v>4.9539372043782995E-4</v>
      </c>
      <c r="S283" s="2"/>
      <c r="T283" s="2">
        <f>--9852.58</f>
        <v>9852.58</v>
      </c>
      <c r="U283" s="2"/>
      <c r="V283" s="19">
        <f t="shared" si="140"/>
        <v>9.5245890880811177E-4</v>
      </c>
      <c r="W283" s="2"/>
      <c r="X283" s="2">
        <f t="shared" si="141"/>
        <v>-5152.72</v>
      </c>
      <c r="Y283" s="2"/>
      <c r="Z283" s="19">
        <f t="shared" si="142"/>
        <v>-0.5229817976611203</v>
      </c>
    </row>
    <row r="284" spans="1:26" s="24" customFormat="1" hidden="1" outlineLevel="1" x14ac:dyDescent="0.25">
      <c r="A284" s="44"/>
      <c r="B284" s="11" t="str">
        <f>CONCATENATE("          ", "9153", " - ", "MISC. INCOME")</f>
        <v xml:space="preserve">          9153 - MISC. INCOME</v>
      </c>
      <c r="C284" s="11"/>
      <c r="D284" s="2">
        <f t="shared" ref="D284:D286" si="146">0</f>
        <v>0</v>
      </c>
      <c r="E284" s="2"/>
      <c r="F284" s="19">
        <f t="shared" si="135"/>
        <v>0</v>
      </c>
      <c r="G284" s="2"/>
      <c r="H284" s="2">
        <f>0</f>
        <v>0</v>
      </c>
      <c r="I284" s="2"/>
      <c r="J284" s="19">
        <f t="shared" si="136"/>
        <v>0</v>
      </c>
      <c r="K284" s="2"/>
      <c r="L284" s="2">
        <f t="shared" si="137"/>
        <v>0</v>
      </c>
      <c r="M284" s="2"/>
      <c r="N284" s="19">
        <f t="shared" si="138"/>
        <v>0</v>
      </c>
      <c r="O284" s="11"/>
      <c r="P284" s="2">
        <f>--450</f>
        <v>450</v>
      </c>
      <c r="Q284" s="2"/>
      <c r="R284" s="19">
        <f t="shared" si="139"/>
        <v>4.7432726548668148E-5</v>
      </c>
      <c r="S284" s="2"/>
      <c r="T284" s="2">
        <f>0</f>
        <v>0</v>
      </c>
      <c r="U284" s="2"/>
      <c r="V284" s="19">
        <f t="shared" si="140"/>
        <v>0</v>
      </c>
      <c r="W284" s="2"/>
      <c r="X284" s="2">
        <f t="shared" si="141"/>
        <v>450</v>
      </c>
      <c r="Y284" s="2"/>
      <c r="Z284" s="19">
        <f t="shared" si="142"/>
        <v>0</v>
      </c>
    </row>
    <row r="285" spans="1:26" s="24" customFormat="1" hidden="1" outlineLevel="1" x14ac:dyDescent="0.25">
      <c r="A285" s="44"/>
      <c r="B285" s="11" t="str">
        <f>CONCATENATE("          ", "9160", " - ", "MISC. INCOME")</f>
        <v xml:space="preserve">          9160 - MISC. INCOME</v>
      </c>
      <c r="C285" s="11"/>
      <c r="D285" s="2">
        <f t="shared" si="146"/>
        <v>0</v>
      </c>
      <c r="E285" s="2"/>
      <c r="F285" s="19">
        <f t="shared" si="135"/>
        <v>0</v>
      </c>
      <c r="G285" s="2"/>
      <c r="H285" s="2">
        <f>--580</f>
        <v>580</v>
      </c>
      <c r="I285" s="2"/>
      <c r="J285" s="19">
        <f t="shared" si="136"/>
        <v>2.0071700405037911E-4</v>
      </c>
      <c r="K285" s="2"/>
      <c r="L285" s="2">
        <f t="shared" si="137"/>
        <v>-580</v>
      </c>
      <c r="M285" s="2"/>
      <c r="N285" s="19">
        <f t="shared" si="138"/>
        <v>-1</v>
      </c>
      <c r="O285" s="11"/>
      <c r="P285" s="2">
        <f>--22475</f>
        <v>22475</v>
      </c>
      <c r="Q285" s="2"/>
      <c r="R285" s="19">
        <f t="shared" si="139"/>
        <v>2.3690011759584812E-3</v>
      </c>
      <c r="S285" s="2"/>
      <c r="T285" s="2">
        <f>--870</f>
        <v>870</v>
      </c>
      <c r="U285" s="2"/>
      <c r="V285" s="19">
        <f t="shared" si="140"/>
        <v>8.4103783035819783E-5</v>
      </c>
      <c r="W285" s="2"/>
      <c r="X285" s="2">
        <f t="shared" si="141"/>
        <v>21605</v>
      </c>
      <c r="Y285" s="2"/>
      <c r="Z285" s="19">
        <f t="shared" si="142"/>
        <v>24.833333333333332</v>
      </c>
    </row>
    <row r="286" spans="1:26" s="24" customFormat="1" hidden="1" outlineLevel="1" x14ac:dyDescent="0.25">
      <c r="A286" s="44"/>
      <c r="B286" s="11" t="str">
        <f>CONCATENATE("          ", "9163", " - ", "MISC. INCOME")</f>
        <v xml:space="preserve">          9163 - MISC. INCOME</v>
      </c>
      <c r="C286" s="11"/>
      <c r="D286" s="2">
        <f t="shared" si="146"/>
        <v>0</v>
      </c>
      <c r="E286" s="2"/>
      <c r="F286" s="19">
        <f t="shared" si="135"/>
        <v>0</v>
      </c>
      <c r="G286" s="2"/>
      <c r="H286" s="2">
        <f>0</f>
        <v>0</v>
      </c>
      <c r="I286" s="2"/>
      <c r="J286" s="19">
        <f t="shared" si="136"/>
        <v>0</v>
      </c>
      <c r="K286" s="2"/>
      <c r="L286" s="2">
        <f t="shared" si="137"/>
        <v>0</v>
      </c>
      <c r="M286" s="2"/>
      <c r="N286" s="19">
        <f t="shared" si="138"/>
        <v>0</v>
      </c>
      <c r="O286" s="11"/>
      <c r="P286" s="2">
        <f>--61106.55</f>
        <v>61106.55</v>
      </c>
      <c r="Q286" s="2"/>
      <c r="R286" s="19">
        <f t="shared" si="139"/>
        <v>6.4410006144055947E-3</v>
      </c>
      <c r="S286" s="2"/>
      <c r="T286" s="2">
        <f>0</f>
        <v>0</v>
      </c>
      <c r="U286" s="2"/>
      <c r="V286" s="19">
        <f t="shared" si="140"/>
        <v>0</v>
      </c>
      <c r="W286" s="2"/>
      <c r="X286" s="2">
        <f t="shared" si="141"/>
        <v>61106.55</v>
      </c>
      <c r="Y286" s="2"/>
      <c r="Z286" s="19">
        <f t="shared" si="142"/>
        <v>0</v>
      </c>
    </row>
    <row r="287" spans="1:26" x14ac:dyDescent="0.25">
      <c r="A287" s="9"/>
      <c r="B287" s="10"/>
      <c r="C287" s="10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O287" s="10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x14ac:dyDescent="0.25">
      <c r="A288" s="10"/>
      <c r="B288" s="28" t="s">
        <v>3</v>
      </c>
      <c r="C288" s="28"/>
      <c r="D288" s="21">
        <f>+D184-D186+D274</f>
        <v>579406.2300000001</v>
      </c>
      <c r="E288" s="14"/>
      <c r="F288" s="22">
        <f>IF(D$12=0,0,D288/D$12)</f>
        <v>0.24257608866289304</v>
      </c>
      <c r="G288" s="14"/>
      <c r="H288" s="21">
        <f>+H184-H186+H274</f>
        <v>495661.71000000054</v>
      </c>
      <c r="I288" s="14"/>
      <c r="J288" s="22">
        <f>IF(H$12=0,0,H288/H$12)</f>
        <v>0.17153057492015164</v>
      </c>
      <c r="K288" s="16"/>
      <c r="L288" s="21">
        <f>+D288-H288</f>
        <v>83744.519999999553</v>
      </c>
      <c r="M288" s="16"/>
      <c r="N288" s="22">
        <f>IF(H288=0,0,L288/H288)</f>
        <v>0.16895499150014928</v>
      </c>
      <c r="O288" s="29"/>
      <c r="P288" s="21">
        <f>+P184-P186+P274</f>
        <v>1112681.1599999948</v>
      </c>
      <c r="Q288" s="14"/>
      <c r="R288" s="22">
        <f>IF(P$12=0,0,P288/P$12)</f>
        <v>0.11728333599585472</v>
      </c>
      <c r="S288" s="14"/>
      <c r="T288" s="21">
        <f>+T184-T186+T274</f>
        <v>970272.67999999609</v>
      </c>
      <c r="U288" s="14"/>
      <c r="V288" s="22">
        <f>IF(T$12=0,0,T288/T$12)</f>
        <v>9.3797244786555253E-2</v>
      </c>
      <c r="W288" s="16"/>
      <c r="X288" s="21">
        <f>+P288-T288</f>
        <v>142408.4799999987</v>
      </c>
      <c r="Y288" s="16"/>
      <c r="Z288" s="22">
        <f>IF(T288=0,0,X288/T288)</f>
        <v>0.14677160651374754</v>
      </c>
    </row>
    <row r="289" spans="1:26" x14ac:dyDescent="0.25">
      <c r="A289" s="9"/>
      <c r="B289" s="10"/>
      <c r="C289" s="9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s="23" customFormat="1" x14ac:dyDescent="0.25">
      <c r="A290" s="51"/>
      <c r="B290" s="10" t="s">
        <v>13</v>
      </c>
      <c r="C290" s="10"/>
      <c r="D290" s="4">
        <v>222672.51</v>
      </c>
      <c r="E290" s="4"/>
      <c r="F290" s="12">
        <f>IF(D$12=0,0,D290/D$12)</f>
        <v>9.3224794163067476E-2</v>
      </c>
      <c r="G290" s="4"/>
      <c r="H290" s="4">
        <v>228929.09</v>
      </c>
      <c r="I290" s="4"/>
      <c r="J290" s="12">
        <f>IF(H$12=0,0,H290/H$12)</f>
        <v>7.9224070835826915E-2</v>
      </c>
      <c r="K290" s="4"/>
      <c r="L290" s="4">
        <f>+D290-H290</f>
        <v>-6256.5799999999872</v>
      </c>
      <c r="M290" s="4"/>
      <c r="N290" s="12">
        <f>IF(H290=0,0,L290/H290)</f>
        <v>-2.7329772725694177E-2</v>
      </c>
      <c r="O290" s="10"/>
      <c r="P290" s="4">
        <v>989372.30999999994</v>
      </c>
      <c r="Q290" s="4"/>
      <c r="R290" s="12">
        <f>IF(P$12=0,0,P290/P$12)</f>
        <v>0.10428583607789807</v>
      </c>
      <c r="S290" s="4"/>
      <c r="T290" s="4">
        <v>1033406.4299999999</v>
      </c>
      <c r="U290" s="4"/>
      <c r="V290" s="12">
        <f>IF(T$12=0,0,T290/T$12)</f>
        <v>9.990044847878285E-2</v>
      </c>
      <c r="W290" s="4"/>
      <c r="X290" s="4">
        <f>+P290-T290</f>
        <v>-44034.119999999995</v>
      </c>
      <c r="Y290" s="4"/>
      <c r="Z290" s="12">
        <f>IF(T290=0,0,X290/T290)</f>
        <v>-4.2610650293708738E-2</v>
      </c>
    </row>
    <row r="291" spans="1:26" x14ac:dyDescent="0.25">
      <c r="A291" s="9"/>
      <c r="B291" s="10"/>
      <c r="C291" s="10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O291" s="10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ht="15.75" thickBot="1" x14ac:dyDescent="0.3">
      <c r="A292" s="10"/>
      <c r="B292" s="28" t="s">
        <v>4</v>
      </c>
      <c r="C292" s="28"/>
      <c r="D292" s="34">
        <f>+D288-D290</f>
        <v>356733.72000000009</v>
      </c>
      <c r="E292" s="14"/>
      <c r="F292" s="31">
        <f>IF(D$12=0,0,D292/D$12)</f>
        <v>0.14935129449982557</v>
      </c>
      <c r="G292" s="14"/>
      <c r="H292" s="34">
        <f>+H288-H290</f>
        <v>266732.62000000058</v>
      </c>
      <c r="I292" s="14"/>
      <c r="J292" s="31">
        <f>IF(H$12=0,0,H292/H$12)</f>
        <v>9.2306504084324739E-2</v>
      </c>
      <c r="K292" s="16"/>
      <c r="L292" s="34">
        <f>D292-H292</f>
        <v>90001.099999999511</v>
      </c>
      <c r="M292" s="16"/>
      <c r="N292" s="31">
        <f>IF(H292=0,0,L292/H292)</f>
        <v>0.33742067243218815</v>
      </c>
      <c r="O292" s="29"/>
      <c r="P292" s="34">
        <f>+P288-P290</f>
        <v>123308.84999999485</v>
      </c>
      <c r="Q292" s="14"/>
      <c r="R292" s="31">
        <f>IF(P$12=0,0,P292/P$12)</f>
        <v>1.2997499917956654E-2</v>
      </c>
      <c r="S292" s="14"/>
      <c r="T292" s="34">
        <f>+T288-T290</f>
        <v>-63133.750000003842</v>
      </c>
      <c r="U292" s="14"/>
      <c r="V292" s="31">
        <f>IF(T$12=0,0,T292/T$12)</f>
        <v>-6.1032036922275979E-3</v>
      </c>
      <c r="W292" s="16"/>
      <c r="X292" s="34">
        <f>P292-T292</f>
        <v>186442.5999999987</v>
      </c>
      <c r="Y292" s="16"/>
      <c r="Z292" s="31">
        <f>IF(T292=0,0,X292/T292)</f>
        <v>-2.9531367929195929</v>
      </c>
    </row>
    <row r="293" spans="1:26" ht="15.75" thickTop="1" x14ac:dyDescent="0.25">
      <c r="A293" s="9"/>
      <c r="B293" s="9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x14ac:dyDescent="0.25">
      <c r="A294" s="9"/>
      <c r="B294" s="9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ht="15.75" thickBot="1" x14ac:dyDescent="0.3">
      <c r="A295" s="10"/>
      <c r="B295" s="28" t="s">
        <v>5</v>
      </c>
      <c r="C295" s="28"/>
      <c r="D295" s="30">
        <f>SUM(D292:D294)</f>
        <v>356733.72000000009</v>
      </c>
      <c r="E295" s="14"/>
      <c r="F295" s="33">
        <f>IF(D$12=0,0,D295/D$12)</f>
        <v>0.14935129449982557</v>
      </c>
      <c r="G295" s="14"/>
      <c r="H295" s="30">
        <f>SUM(H292:H294)</f>
        <v>266732.62000000058</v>
      </c>
      <c r="I295" s="14"/>
      <c r="J295" s="33">
        <f>IF(H$12=0,0,H295/H$12)</f>
        <v>9.2306504084324739E-2</v>
      </c>
      <c r="K295" s="16"/>
      <c r="L295" s="30">
        <f>+D295-H295</f>
        <v>90001.099999999511</v>
      </c>
      <c r="M295" s="16"/>
      <c r="N295" s="33">
        <f>IF(H295=0,0,L295/H295)</f>
        <v>0.33742067243218815</v>
      </c>
      <c r="O295" s="29"/>
      <c r="P295" s="30">
        <f>SUM(P292:P294)</f>
        <v>123308.84999999485</v>
      </c>
      <c r="Q295" s="14"/>
      <c r="R295" s="33">
        <f>IF(P$12=0,0,P295/P$12)</f>
        <v>1.2997499917956654E-2</v>
      </c>
      <c r="S295" s="14"/>
      <c r="T295" s="30">
        <f>SUM(T292:T294)</f>
        <v>-63133.750000003842</v>
      </c>
      <c r="U295" s="14"/>
      <c r="V295" s="33">
        <f>IF(T$12=0,0,T295/T$12)</f>
        <v>-6.1032036922275979E-3</v>
      </c>
      <c r="W295" s="16"/>
      <c r="X295" s="30">
        <f>+P295-T295</f>
        <v>186442.5999999987</v>
      </c>
      <c r="Y295" s="16"/>
      <c r="Z295" s="33">
        <f>IF(T295=0,0,X295/T295)</f>
        <v>-2.9531367929195929</v>
      </c>
    </row>
    <row r="296" spans="1:26" ht="15.75" thickTop="1" x14ac:dyDescent="0.25">
      <c r="A296" s="9"/>
      <c r="C296" s="9"/>
      <c r="D296" s="17"/>
      <c r="E296" s="17"/>
      <c r="G296" s="17"/>
      <c r="H296" s="17"/>
      <c r="I296" s="17"/>
      <c r="J296" s="42"/>
      <c r="K296" s="17"/>
      <c r="L296" s="17"/>
      <c r="M296" s="17"/>
      <c r="P296" s="17"/>
      <c r="Q296" s="17"/>
      <c r="R296" s="42"/>
      <c r="S296" s="17"/>
      <c r="T296" s="17"/>
      <c r="U296" s="17"/>
      <c r="V296" s="42"/>
      <c r="W296" s="17"/>
      <c r="X296" s="17"/>
    </row>
    <row r="297" spans="1:26" x14ac:dyDescent="0.25">
      <c r="A297" s="9"/>
      <c r="B297" s="61">
        <v>43879.553276307874</v>
      </c>
      <c r="D297" s="17"/>
      <c r="E297" s="17"/>
      <c r="G297" s="17"/>
      <c r="H297" s="17"/>
      <c r="I297" s="17"/>
      <c r="J297" s="42"/>
      <c r="K297" s="17"/>
      <c r="L297" s="17"/>
      <c r="M297" s="17"/>
      <c r="P297" s="17"/>
      <c r="Q297" s="17"/>
      <c r="R297" s="42"/>
      <c r="S297" s="17"/>
      <c r="T297" s="17"/>
      <c r="U297" s="17"/>
      <c r="V297" s="42"/>
      <c r="W297" s="17"/>
      <c r="X297" s="17"/>
    </row>
    <row r="298" spans="1:26" x14ac:dyDescent="0.25">
      <c r="A298" s="9"/>
      <c r="B298" s="55" t="s">
        <v>313</v>
      </c>
      <c r="D298" s="17"/>
      <c r="E298" s="17"/>
      <c r="G298" s="17"/>
      <c r="H298" s="17"/>
      <c r="I298" s="17"/>
      <c r="J298" s="42"/>
      <c r="K298" s="17"/>
      <c r="L298" s="17"/>
      <c r="M298" s="17"/>
      <c r="P298" s="17"/>
      <c r="Q298" s="17"/>
      <c r="R298" s="42"/>
      <c r="S298" s="17"/>
      <c r="T298" s="17"/>
      <c r="U298" s="17"/>
      <c r="V298" s="42"/>
      <c r="W298" s="17"/>
      <c r="X298" s="17"/>
    </row>
    <row r="299" spans="1:26" x14ac:dyDescent="0.25">
      <c r="A299" s="9"/>
      <c r="B299" s="58"/>
      <c r="D299" s="17"/>
      <c r="E299" s="17"/>
      <c r="G299" s="17"/>
      <c r="H299" s="17"/>
      <c r="I299" s="17"/>
      <c r="J299" s="42"/>
      <c r="K299" s="17"/>
      <c r="L299" s="17"/>
      <c r="M299" s="17"/>
      <c r="P299" s="17"/>
      <c r="Q299" s="17"/>
      <c r="R299" s="42"/>
      <c r="S299" s="17"/>
      <c r="T299" s="17"/>
      <c r="U299" s="17"/>
      <c r="V299" s="42"/>
      <c r="W299" s="17"/>
      <c r="X299" s="17"/>
    </row>
    <row r="300" spans="1:26" x14ac:dyDescent="0.25">
      <c r="D300" s="17"/>
      <c r="E300" s="17"/>
      <c r="G300" s="17"/>
      <c r="H300" s="17"/>
      <c r="I300" s="17"/>
      <c r="J300" s="42"/>
      <c r="K300" s="17"/>
      <c r="L300" s="17"/>
      <c r="M300" s="17"/>
      <c r="P300" s="17"/>
      <c r="Q300" s="17"/>
      <c r="R300" s="42"/>
      <c r="S300" s="17"/>
      <c r="T300" s="17"/>
      <c r="U300" s="17"/>
      <c r="V300" s="42"/>
      <c r="W300" s="17"/>
      <c r="X300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","301", " - ", "Bookstore Operations")</f>
        <v>Department 301 - Bookstore Operations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162193.60000000001</v>
      </c>
      <c r="E18" s="20"/>
      <c r="F18" s="32">
        <f t="shared" ref="F18:F27" si="0">IF(D$12=0,0,D18/D$12)</f>
        <v>0</v>
      </c>
      <c r="G18" s="20"/>
      <c r="H18" s="20">
        <f>SUM(OSRRefH22x_0)</f>
        <v>174814.83999999997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-12621.239999999962</v>
      </c>
      <c r="M18" s="4"/>
      <c r="N18" s="32">
        <f t="shared" ref="N18:N27" si="3">IF(H18=0,0,L18/H18)</f>
        <v>-7.2197760785068149E-2</v>
      </c>
      <c r="O18" s="10"/>
      <c r="P18" s="20">
        <f>SUM(OSRRefP22x_0)</f>
        <v>941711.59</v>
      </c>
      <c r="Q18" s="20"/>
      <c r="R18" s="32">
        <f t="shared" ref="R18:R27" si="4">IF(P$12=0,0,P18/P$12)</f>
        <v>0</v>
      </c>
      <c r="S18" s="20"/>
      <c r="T18" s="20">
        <f>SUM(OSRRefT22x_0)</f>
        <v>1004068.72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-62357.130000000005</v>
      </c>
      <c r="Y18" s="4"/>
      <c r="Z18" s="32">
        <f t="shared" ref="Z18:Z27" si="7">IF(T18=0,0,X18/T18)</f>
        <v>-6.2104444404960657E-2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11087.13</v>
      </c>
      <c r="E19" s="1"/>
      <c r="F19" s="5">
        <f t="shared" si="0"/>
        <v>0</v>
      </c>
      <c r="G19" s="1"/>
      <c r="H19" s="1">
        <f>SUM(OSRRefH22_0x_0)</f>
        <v>13996.779999999999</v>
      </c>
      <c r="I19" s="1"/>
      <c r="J19" s="5">
        <f t="shared" si="1"/>
        <v>0</v>
      </c>
      <c r="K19" s="1"/>
      <c r="L19" s="1">
        <f t="shared" si="2"/>
        <v>-2909.6499999999996</v>
      </c>
      <c r="M19" s="1"/>
      <c r="N19" s="5">
        <f t="shared" si="3"/>
        <v>-0.20787995524684963</v>
      </c>
      <c r="O19" s="13"/>
      <c r="P19" s="1">
        <f>SUM(OSRRefP22_0x_0)</f>
        <v>91015.01</v>
      </c>
      <c r="Q19" s="1"/>
      <c r="R19" s="5">
        <f t="shared" si="4"/>
        <v>0</v>
      </c>
      <c r="S19" s="1"/>
      <c r="T19" s="1">
        <f>SUM(OSRRefT22_0x_0)</f>
        <v>97427.36</v>
      </c>
      <c r="U19" s="1"/>
      <c r="V19" s="5">
        <f t="shared" si="5"/>
        <v>0</v>
      </c>
      <c r="W19" s="1"/>
      <c r="X19" s="1">
        <f t="shared" si="6"/>
        <v>-6412.3500000000058</v>
      </c>
      <c r="Y19" s="1"/>
      <c r="Z19" s="5">
        <f t="shared" si="7"/>
        <v>-6.5816727457256419E-2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1634.79</v>
      </c>
      <c r="E20" s="2"/>
      <c r="F20" s="7">
        <f t="shared" si="0"/>
        <v>0</v>
      </c>
      <c r="G20" s="2"/>
      <c r="H20" s="6">
        <v>1913.78</v>
      </c>
      <c r="I20" s="2"/>
      <c r="J20" s="7">
        <f t="shared" si="1"/>
        <v>0</v>
      </c>
      <c r="K20" s="2"/>
      <c r="L20" s="6">
        <f t="shared" si="2"/>
        <v>-278.99</v>
      </c>
      <c r="M20" s="2"/>
      <c r="N20" s="7">
        <f t="shared" si="3"/>
        <v>-0.14577955668885662</v>
      </c>
      <c r="O20" s="11"/>
      <c r="P20" s="6">
        <v>18712.190000000002</v>
      </c>
      <c r="Q20" s="2"/>
      <c r="R20" s="7">
        <f t="shared" si="4"/>
        <v>0</v>
      </c>
      <c r="S20" s="2"/>
      <c r="T20" s="6">
        <v>16803.350000000002</v>
      </c>
      <c r="U20" s="2"/>
      <c r="V20" s="7">
        <f t="shared" si="5"/>
        <v>0</v>
      </c>
      <c r="W20" s="2"/>
      <c r="X20" s="6">
        <f t="shared" si="6"/>
        <v>1908.8400000000001</v>
      </c>
      <c r="Y20" s="2"/>
      <c r="Z20" s="7">
        <f t="shared" si="7"/>
        <v>0.11359877643446098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1050.52</v>
      </c>
      <c r="E21" s="2"/>
      <c r="F21" s="7">
        <f t="shared" si="0"/>
        <v>0</v>
      </c>
      <c r="G21" s="2"/>
      <c r="H21" s="6">
        <v>585.26</v>
      </c>
      <c r="I21" s="2"/>
      <c r="J21" s="7">
        <f t="shared" si="1"/>
        <v>0</v>
      </c>
      <c r="K21" s="2"/>
      <c r="L21" s="6">
        <f t="shared" si="2"/>
        <v>465.26</v>
      </c>
      <c r="M21" s="2"/>
      <c r="N21" s="7">
        <f t="shared" si="3"/>
        <v>0.79496292246181188</v>
      </c>
      <c r="O21" s="11"/>
      <c r="P21" s="6">
        <v>4271.37</v>
      </c>
      <c r="Q21" s="2"/>
      <c r="R21" s="7">
        <f t="shared" si="4"/>
        <v>0</v>
      </c>
      <c r="S21" s="2"/>
      <c r="T21" s="6">
        <v>2867.36</v>
      </c>
      <c r="U21" s="2"/>
      <c r="V21" s="7">
        <f t="shared" si="5"/>
        <v>0</v>
      </c>
      <c r="W21" s="2"/>
      <c r="X21" s="6">
        <f t="shared" si="6"/>
        <v>1404.0099999999998</v>
      </c>
      <c r="Y21" s="2"/>
      <c r="Z21" s="7">
        <f t="shared" si="7"/>
        <v>0.48965250265052163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3247.78</v>
      </c>
      <c r="E22" s="2"/>
      <c r="F22" s="7">
        <f t="shared" si="0"/>
        <v>0</v>
      </c>
      <c r="G22" s="2"/>
      <c r="H22" s="6">
        <v>5428.88</v>
      </c>
      <c r="I22" s="2"/>
      <c r="J22" s="7">
        <f t="shared" si="1"/>
        <v>0</v>
      </c>
      <c r="K22" s="2"/>
      <c r="L22" s="6">
        <f t="shared" si="2"/>
        <v>-2181.1</v>
      </c>
      <c r="M22" s="2"/>
      <c r="N22" s="7">
        <f t="shared" si="3"/>
        <v>-0.40175874213465756</v>
      </c>
      <c r="O22" s="11"/>
      <c r="P22" s="6">
        <v>30567.769999999997</v>
      </c>
      <c r="Q22" s="2"/>
      <c r="R22" s="7">
        <f t="shared" si="4"/>
        <v>0</v>
      </c>
      <c r="S22" s="2"/>
      <c r="T22" s="6">
        <v>40347.57</v>
      </c>
      <c r="U22" s="2"/>
      <c r="V22" s="7">
        <f t="shared" si="5"/>
        <v>0</v>
      </c>
      <c r="W22" s="2"/>
      <c r="X22" s="6">
        <f t="shared" si="6"/>
        <v>-9779.8000000000029</v>
      </c>
      <c r="Y22" s="2"/>
      <c r="Z22" s="7">
        <f t="shared" si="7"/>
        <v>-0.24238882292043865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151.62</v>
      </c>
      <c r="E23" s="2"/>
      <c r="F23" s="7">
        <f t="shared" si="0"/>
        <v>0</v>
      </c>
      <c r="G23" s="2"/>
      <c r="H23" s="6">
        <v>164.56</v>
      </c>
      <c r="I23" s="2"/>
      <c r="J23" s="7">
        <f t="shared" si="1"/>
        <v>0</v>
      </c>
      <c r="K23" s="2"/>
      <c r="L23" s="6">
        <f t="shared" si="2"/>
        <v>-12.939999999999998</v>
      </c>
      <c r="M23" s="2"/>
      <c r="N23" s="7">
        <f t="shared" si="3"/>
        <v>-7.8633932912007765E-2</v>
      </c>
      <c r="O23" s="11"/>
      <c r="P23" s="6">
        <v>996.09</v>
      </c>
      <c r="Q23" s="2"/>
      <c r="R23" s="7">
        <f t="shared" si="4"/>
        <v>0</v>
      </c>
      <c r="S23" s="2"/>
      <c r="T23" s="6">
        <v>931.99</v>
      </c>
      <c r="U23" s="2"/>
      <c r="V23" s="7">
        <f t="shared" si="5"/>
        <v>0</v>
      </c>
      <c r="W23" s="2"/>
      <c r="X23" s="6">
        <f t="shared" si="6"/>
        <v>64.100000000000023</v>
      </c>
      <c r="Y23" s="2"/>
      <c r="Z23" s="7">
        <f t="shared" si="7"/>
        <v>6.8777561991008512E-2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2296.44</v>
      </c>
      <c r="E24" s="2"/>
      <c r="F24" s="7">
        <f t="shared" si="0"/>
        <v>0</v>
      </c>
      <c r="G24" s="2"/>
      <c r="H24" s="6">
        <v>2368.31</v>
      </c>
      <c r="I24" s="2"/>
      <c r="J24" s="7">
        <f t="shared" si="1"/>
        <v>0</v>
      </c>
      <c r="K24" s="2"/>
      <c r="L24" s="6">
        <f t="shared" si="2"/>
        <v>-71.869999999999891</v>
      </c>
      <c r="M24" s="2"/>
      <c r="N24" s="7">
        <f t="shared" si="3"/>
        <v>-3.034653402637319E-2</v>
      </c>
      <c r="O24" s="11"/>
      <c r="P24" s="6">
        <v>14601.6</v>
      </c>
      <c r="Q24" s="2"/>
      <c r="R24" s="7">
        <f t="shared" si="4"/>
        <v>0</v>
      </c>
      <c r="S24" s="2"/>
      <c r="T24" s="6">
        <v>14199.57</v>
      </c>
      <c r="U24" s="2"/>
      <c r="V24" s="7">
        <f t="shared" si="5"/>
        <v>0</v>
      </c>
      <c r="W24" s="2"/>
      <c r="X24" s="6">
        <f t="shared" si="6"/>
        <v>402.03000000000065</v>
      </c>
      <c r="Y24" s="2"/>
      <c r="Z24" s="7">
        <f t="shared" si="7"/>
        <v>2.8312829191306545E-2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1366</v>
      </c>
      <c r="E25" s="2"/>
      <c r="F25" s="7">
        <f t="shared" si="0"/>
        <v>0</v>
      </c>
      <c r="G25" s="2"/>
      <c r="H25" s="6">
        <v>1704.22</v>
      </c>
      <c r="I25" s="2"/>
      <c r="J25" s="7">
        <f t="shared" si="1"/>
        <v>0</v>
      </c>
      <c r="K25" s="2"/>
      <c r="L25" s="6">
        <f t="shared" si="2"/>
        <v>-338.22</v>
      </c>
      <c r="M25" s="2"/>
      <c r="N25" s="7">
        <f t="shared" si="3"/>
        <v>-0.1984602926852167</v>
      </c>
      <c r="O25" s="11"/>
      <c r="P25" s="6">
        <v>11974.29</v>
      </c>
      <c r="Q25" s="2"/>
      <c r="R25" s="7">
        <f t="shared" si="4"/>
        <v>0</v>
      </c>
      <c r="S25" s="2"/>
      <c r="T25" s="6">
        <v>11901.37</v>
      </c>
      <c r="U25" s="2"/>
      <c r="V25" s="7">
        <f t="shared" si="5"/>
        <v>0</v>
      </c>
      <c r="W25" s="2"/>
      <c r="X25" s="6">
        <f t="shared" si="6"/>
        <v>72.920000000000073</v>
      </c>
      <c r="Y25" s="2"/>
      <c r="Z25" s="7">
        <f t="shared" si="7"/>
        <v>6.127025712165916E-3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769.49</v>
      </c>
      <c r="E26" s="2"/>
      <c r="F26" s="7">
        <f t="shared" si="0"/>
        <v>0</v>
      </c>
      <c r="G26" s="2"/>
      <c r="H26" s="6">
        <v>1525.04</v>
      </c>
      <c r="I26" s="2"/>
      <c r="J26" s="7">
        <f t="shared" si="1"/>
        <v>0</v>
      </c>
      <c r="K26" s="2"/>
      <c r="L26" s="6">
        <f t="shared" si="2"/>
        <v>-755.55</v>
      </c>
      <c r="M26" s="2"/>
      <c r="N26" s="7">
        <f t="shared" si="3"/>
        <v>-0.49542962807532914</v>
      </c>
      <c r="O26" s="11"/>
      <c r="P26" s="6">
        <v>7277.2</v>
      </c>
      <c r="Q26" s="2"/>
      <c r="R26" s="7">
        <f t="shared" si="4"/>
        <v>0</v>
      </c>
      <c r="S26" s="2"/>
      <c r="T26" s="6">
        <v>7723.41</v>
      </c>
      <c r="U26" s="2"/>
      <c r="V26" s="7">
        <f t="shared" si="5"/>
        <v>0</v>
      </c>
      <c r="W26" s="2"/>
      <c r="X26" s="6">
        <f t="shared" si="6"/>
        <v>-446.21000000000004</v>
      </c>
      <c r="Y26" s="2"/>
      <c r="Z26" s="7">
        <f t="shared" si="7"/>
        <v>-5.7773703584297613E-2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570.49</v>
      </c>
      <c r="E27" s="2"/>
      <c r="F27" s="7">
        <f t="shared" si="0"/>
        <v>0</v>
      </c>
      <c r="G27" s="2"/>
      <c r="H27" s="6">
        <v>306.73</v>
      </c>
      <c r="I27" s="2"/>
      <c r="J27" s="7">
        <f t="shared" si="1"/>
        <v>0</v>
      </c>
      <c r="K27" s="2"/>
      <c r="L27" s="6">
        <f t="shared" si="2"/>
        <v>263.76</v>
      </c>
      <c r="M27" s="2"/>
      <c r="N27" s="7">
        <f t="shared" si="3"/>
        <v>0.85990936654386585</v>
      </c>
      <c r="O27" s="11"/>
      <c r="P27" s="6">
        <v>2614.5</v>
      </c>
      <c r="Q27" s="2"/>
      <c r="R27" s="7">
        <f t="shared" si="4"/>
        <v>0</v>
      </c>
      <c r="S27" s="2"/>
      <c r="T27" s="6">
        <v>2652.74</v>
      </c>
      <c r="U27" s="2"/>
      <c r="V27" s="7">
        <f t="shared" si="5"/>
        <v>0</v>
      </c>
      <c r="W27" s="2"/>
      <c r="X27" s="6">
        <f t="shared" si="6"/>
        <v>-38.239999999999782</v>
      </c>
      <c r="Y27" s="2"/>
      <c r="Z27" s="7">
        <f t="shared" si="7"/>
        <v>-1.4415283819748556E-2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70937.820000000007</v>
      </c>
      <c r="E28" s="1"/>
      <c r="F28" s="5">
        <f t="shared" ref="F28:F35" si="8">IF(D$12=0,0,D28/D$12)</f>
        <v>0</v>
      </c>
      <c r="G28" s="1"/>
      <c r="H28" s="1">
        <f>SUM(OSRRefH22_1x_0)</f>
        <v>76885.709999999992</v>
      </c>
      <c r="I28" s="1"/>
      <c r="J28" s="5">
        <f t="shared" ref="J28:J35" si="9">IF(H$12=0,0,H28/H$12)</f>
        <v>0</v>
      </c>
      <c r="K28" s="1"/>
      <c r="L28" s="1">
        <f t="shared" ref="L28:L35" si="10">+D28-H28</f>
        <v>-5947.8899999999849</v>
      </c>
      <c r="M28" s="1"/>
      <c r="N28" s="5">
        <f t="shared" ref="N28:N35" si="11">IF(H28=0,0,L28/H28)</f>
        <v>-7.7360149239695974E-2</v>
      </c>
      <c r="O28" s="13"/>
      <c r="P28" s="1">
        <f>SUM(OSRRefP22_1x_0)</f>
        <v>347573.51</v>
      </c>
      <c r="Q28" s="1"/>
      <c r="R28" s="5">
        <f t="shared" ref="R28:R35" si="12">IF(P$12=0,0,P28/P$12)</f>
        <v>0</v>
      </c>
      <c r="S28" s="1"/>
      <c r="T28" s="1">
        <f>SUM(OSRRefT22_1x_0)</f>
        <v>326397.98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21175.530000000028</v>
      </c>
      <c r="Y28" s="1"/>
      <c r="Z28" s="5">
        <f t="shared" ref="Z28:Z35" si="15">IF(T28=0,0,X28/T28)</f>
        <v>6.4876412531719801E-2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12324.43</v>
      </c>
      <c r="E29" s="2"/>
      <c r="F29" s="7">
        <f t="shared" si="8"/>
        <v>0</v>
      </c>
      <c r="G29" s="2"/>
      <c r="H29" s="6">
        <v>10925</v>
      </c>
      <c r="I29" s="2"/>
      <c r="J29" s="7">
        <f t="shared" si="9"/>
        <v>0</v>
      </c>
      <c r="K29" s="2"/>
      <c r="L29" s="6">
        <f t="shared" si="10"/>
        <v>1399.4300000000003</v>
      </c>
      <c r="M29" s="2"/>
      <c r="N29" s="7">
        <f t="shared" si="11"/>
        <v>0.12809427917620139</v>
      </c>
      <c r="O29" s="11"/>
      <c r="P29" s="6">
        <v>79306.540000000008</v>
      </c>
      <c r="Q29" s="2"/>
      <c r="R29" s="7">
        <f t="shared" si="12"/>
        <v>0</v>
      </c>
      <c r="S29" s="2"/>
      <c r="T29" s="6">
        <v>78037.25</v>
      </c>
      <c r="U29" s="2"/>
      <c r="V29" s="7">
        <f t="shared" si="13"/>
        <v>0</v>
      </c>
      <c r="W29" s="2"/>
      <c r="X29" s="6">
        <f t="shared" si="14"/>
        <v>1269.2900000000081</v>
      </c>
      <c r="Y29" s="2"/>
      <c r="Z29" s="7">
        <f t="shared" si="15"/>
        <v>1.6265181051356988E-2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7353.65</v>
      </c>
      <c r="E30" s="2"/>
      <c r="F30" s="7">
        <f t="shared" si="8"/>
        <v>0</v>
      </c>
      <c r="G30" s="2"/>
      <c r="H30" s="6">
        <v>10507.2</v>
      </c>
      <c r="I30" s="2"/>
      <c r="J30" s="7">
        <f t="shared" si="9"/>
        <v>0</v>
      </c>
      <c r="K30" s="2"/>
      <c r="L30" s="6">
        <f t="shared" si="10"/>
        <v>-3153.5500000000011</v>
      </c>
      <c r="M30" s="2"/>
      <c r="N30" s="7">
        <f t="shared" si="11"/>
        <v>-0.30013229023907423</v>
      </c>
      <c r="O30" s="11"/>
      <c r="P30" s="6">
        <v>56009.2</v>
      </c>
      <c r="Q30" s="2"/>
      <c r="R30" s="7">
        <f t="shared" si="12"/>
        <v>0</v>
      </c>
      <c r="S30" s="2"/>
      <c r="T30" s="6">
        <v>56256.45</v>
      </c>
      <c r="U30" s="2"/>
      <c r="V30" s="7">
        <f t="shared" si="13"/>
        <v>0</v>
      </c>
      <c r="W30" s="2"/>
      <c r="X30" s="6">
        <f t="shared" si="14"/>
        <v>-247.25</v>
      </c>
      <c r="Y30" s="2"/>
      <c r="Z30" s="7">
        <f t="shared" si="15"/>
        <v>-4.3950515896399442E-3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-1647.01</v>
      </c>
      <c r="Q31" s="2"/>
      <c r="R31" s="7">
        <f t="shared" si="12"/>
        <v>0</v>
      </c>
      <c r="S31" s="2"/>
      <c r="T31" s="6">
        <v>-700</v>
      </c>
      <c r="U31" s="2"/>
      <c r="V31" s="7">
        <f t="shared" si="13"/>
        <v>0</v>
      </c>
      <c r="W31" s="2"/>
      <c r="X31" s="6">
        <f t="shared" si="14"/>
        <v>-947.01</v>
      </c>
      <c r="Y31" s="2"/>
      <c r="Z31" s="7">
        <f t="shared" si="15"/>
        <v>1.3528714285714285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>
        <v>4725.97</v>
      </c>
      <c r="E32" s="2"/>
      <c r="F32" s="7">
        <f t="shared" si="8"/>
        <v>0</v>
      </c>
      <c r="G32" s="2"/>
      <c r="H32" s="6">
        <v>6026.01</v>
      </c>
      <c r="I32" s="2"/>
      <c r="J32" s="7">
        <f t="shared" si="9"/>
        <v>0</v>
      </c>
      <c r="K32" s="2"/>
      <c r="L32" s="6">
        <f t="shared" si="10"/>
        <v>-1300.04</v>
      </c>
      <c r="M32" s="2"/>
      <c r="N32" s="7">
        <f t="shared" si="11"/>
        <v>-0.2157381086324118</v>
      </c>
      <c r="O32" s="11"/>
      <c r="P32" s="6">
        <v>47463.07</v>
      </c>
      <c r="Q32" s="2"/>
      <c r="R32" s="7">
        <f t="shared" si="12"/>
        <v>0</v>
      </c>
      <c r="S32" s="2"/>
      <c r="T32" s="6">
        <v>34234.74</v>
      </c>
      <c r="U32" s="2"/>
      <c r="V32" s="7">
        <f t="shared" si="13"/>
        <v>0</v>
      </c>
      <c r="W32" s="2"/>
      <c r="X32" s="6">
        <f t="shared" si="14"/>
        <v>13228.330000000002</v>
      </c>
      <c r="Y32" s="2"/>
      <c r="Z32" s="7">
        <f t="shared" si="15"/>
        <v>0.38640077301594822</v>
      </c>
    </row>
    <row r="33" spans="1:26" s="24" customFormat="1" hidden="1" outlineLevel="2" x14ac:dyDescent="0.25">
      <c r="A33" s="25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11273.01</v>
      </c>
      <c r="Q33" s="2"/>
      <c r="R33" s="7">
        <f t="shared" si="12"/>
        <v>0</v>
      </c>
      <c r="S33" s="2"/>
      <c r="T33" s="6">
        <v>2647.37</v>
      </c>
      <c r="U33" s="2"/>
      <c r="V33" s="7">
        <f t="shared" si="13"/>
        <v>0</v>
      </c>
      <c r="W33" s="2"/>
      <c r="X33" s="6">
        <f t="shared" si="14"/>
        <v>8625.64</v>
      </c>
      <c r="Y33" s="2"/>
      <c r="Z33" s="7">
        <f t="shared" si="15"/>
        <v>3.2581920925295669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45484.02</v>
      </c>
      <c r="E34" s="2"/>
      <c r="F34" s="7">
        <f t="shared" si="8"/>
        <v>0</v>
      </c>
      <c r="G34" s="2"/>
      <c r="H34" s="6">
        <v>47402.5</v>
      </c>
      <c r="I34" s="2"/>
      <c r="J34" s="7">
        <f t="shared" si="9"/>
        <v>0</v>
      </c>
      <c r="K34" s="2"/>
      <c r="L34" s="6">
        <f t="shared" si="10"/>
        <v>-1918.4800000000032</v>
      </c>
      <c r="M34" s="2"/>
      <c r="N34" s="7">
        <f t="shared" si="11"/>
        <v>-4.0472126997521292E-2</v>
      </c>
      <c r="O34" s="11"/>
      <c r="P34" s="6">
        <v>153566.95000000001</v>
      </c>
      <c r="Q34" s="2"/>
      <c r="R34" s="7">
        <f t="shared" si="12"/>
        <v>0</v>
      </c>
      <c r="S34" s="2"/>
      <c r="T34" s="6">
        <v>152791.66999999998</v>
      </c>
      <c r="U34" s="2"/>
      <c r="V34" s="7">
        <f t="shared" si="13"/>
        <v>0</v>
      </c>
      <c r="W34" s="2"/>
      <c r="X34" s="6">
        <f t="shared" si="14"/>
        <v>775.28000000002794</v>
      </c>
      <c r="Y34" s="2"/>
      <c r="Z34" s="7">
        <f t="shared" si="15"/>
        <v>5.0740986076009773E-3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1049.75</v>
      </c>
      <c r="E35" s="2"/>
      <c r="F35" s="7">
        <f t="shared" si="8"/>
        <v>0</v>
      </c>
      <c r="G35" s="2"/>
      <c r="H35" s="6">
        <v>2025</v>
      </c>
      <c r="I35" s="2"/>
      <c r="J35" s="7">
        <f t="shared" si="9"/>
        <v>0</v>
      </c>
      <c r="K35" s="2"/>
      <c r="L35" s="6">
        <f t="shared" si="10"/>
        <v>-975.25</v>
      </c>
      <c r="M35" s="2"/>
      <c r="N35" s="7">
        <f t="shared" si="11"/>
        <v>-0.48160493827160494</v>
      </c>
      <c r="O35" s="11"/>
      <c r="P35" s="6">
        <v>1601.75</v>
      </c>
      <c r="Q35" s="2"/>
      <c r="R35" s="7">
        <f t="shared" si="12"/>
        <v>0</v>
      </c>
      <c r="S35" s="2"/>
      <c r="T35" s="6">
        <v>3130.5</v>
      </c>
      <c r="U35" s="2"/>
      <c r="V35" s="7">
        <f t="shared" si="13"/>
        <v>0</v>
      </c>
      <c r="W35" s="2"/>
      <c r="X35" s="6">
        <f t="shared" si="14"/>
        <v>-1528.75</v>
      </c>
      <c r="Y35" s="2"/>
      <c r="Z35" s="7">
        <f t="shared" si="15"/>
        <v>-0.48834052068359685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-3281.76</v>
      </c>
      <c r="E36" s="1"/>
      <c r="F36" s="5">
        <f t="shared" ref="F36:F40" si="16">IF(D$12=0,0,D36/D$12)</f>
        <v>0</v>
      </c>
      <c r="G36" s="1"/>
      <c r="H36" s="1">
        <f>SUM(OSRRefH22_2x_0)</f>
        <v>5184.1499999999996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-8465.91</v>
      </c>
      <c r="M36" s="1"/>
      <c r="N36" s="5">
        <f t="shared" ref="N36:N40" si="19">IF(H36=0,0,L36/H36)</f>
        <v>-1.6330372385058303</v>
      </c>
      <c r="O36" s="13"/>
      <c r="P36" s="1">
        <f>SUM(OSRRefP22_2x_0)</f>
        <v>14002.78</v>
      </c>
      <c r="Q36" s="1"/>
      <c r="R36" s="5">
        <f t="shared" ref="R36:R40" si="20">IF(P$12=0,0,P36/P$12)</f>
        <v>0</v>
      </c>
      <c r="S36" s="1"/>
      <c r="T36" s="1">
        <f>SUM(OSRRefT22_2x_0)</f>
        <v>34958.080000000002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-20955.300000000003</v>
      </c>
      <c r="Y36" s="1"/>
      <c r="Z36" s="5">
        <f t="shared" ref="Z36:Z40" si="23">IF(T36=0,0,X36/T36)</f>
        <v>-0.5994408159715866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>
        <v>-3281.76</v>
      </c>
      <c r="E37" s="2"/>
      <c r="F37" s="7">
        <f t="shared" si="16"/>
        <v>0</v>
      </c>
      <c r="G37" s="2"/>
      <c r="H37" s="6">
        <v>5184.1499999999996</v>
      </c>
      <c r="I37" s="2"/>
      <c r="J37" s="7">
        <f t="shared" si="17"/>
        <v>0</v>
      </c>
      <c r="K37" s="2"/>
      <c r="L37" s="6">
        <f t="shared" si="18"/>
        <v>-8465.91</v>
      </c>
      <c r="M37" s="2"/>
      <c r="N37" s="7">
        <f t="shared" si="19"/>
        <v>-1.6330372385058303</v>
      </c>
      <c r="O37" s="11"/>
      <c r="P37" s="6">
        <v>14002.78</v>
      </c>
      <c r="Q37" s="2"/>
      <c r="R37" s="7">
        <f t="shared" si="20"/>
        <v>0</v>
      </c>
      <c r="S37" s="2"/>
      <c r="T37" s="6">
        <v>34958.080000000002</v>
      </c>
      <c r="U37" s="2"/>
      <c r="V37" s="7">
        <f t="shared" si="21"/>
        <v>0</v>
      </c>
      <c r="W37" s="2"/>
      <c r="X37" s="6">
        <f t="shared" si="22"/>
        <v>-20955.300000000003</v>
      </c>
      <c r="Y37" s="2"/>
      <c r="Z37" s="7">
        <f t="shared" si="23"/>
        <v>-0.5994408159715866</v>
      </c>
    </row>
    <row r="38" spans="1:26" s="26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-73.349999999999994</v>
      </c>
      <c r="E38" s="1"/>
      <c r="F38" s="5">
        <f t="shared" si="16"/>
        <v>0</v>
      </c>
      <c r="G38" s="1"/>
      <c r="H38" s="1">
        <f>SUM(OSRRefH22_3x_0)</f>
        <v>388.93</v>
      </c>
      <c r="I38" s="1"/>
      <c r="J38" s="5">
        <f t="shared" si="17"/>
        <v>0</v>
      </c>
      <c r="K38" s="1"/>
      <c r="L38" s="1">
        <f t="shared" si="18"/>
        <v>-462.28</v>
      </c>
      <c r="M38" s="1"/>
      <c r="N38" s="5">
        <f t="shared" si="19"/>
        <v>-1.188594348597434</v>
      </c>
      <c r="O38" s="13"/>
      <c r="P38" s="1">
        <f>SUM(OSRRefP22_3x_0)</f>
        <v>77.709999999999994</v>
      </c>
      <c r="Q38" s="1"/>
      <c r="R38" s="5">
        <f t="shared" si="20"/>
        <v>0</v>
      </c>
      <c r="S38" s="1"/>
      <c r="T38" s="1">
        <f>SUM(OSRRefT22_3x_0)</f>
        <v>1332.06</v>
      </c>
      <c r="U38" s="1"/>
      <c r="V38" s="5">
        <f t="shared" si="21"/>
        <v>0</v>
      </c>
      <c r="W38" s="1"/>
      <c r="X38" s="1">
        <f t="shared" si="22"/>
        <v>-1254.3499999999999</v>
      </c>
      <c r="Y38" s="1"/>
      <c r="Z38" s="5">
        <f t="shared" si="23"/>
        <v>-0.94166178700659131</v>
      </c>
    </row>
    <row r="39" spans="1:26" s="24" customFormat="1" hidden="1" outlineLevel="2" x14ac:dyDescent="0.25">
      <c r="A39" s="25"/>
      <c r="B39" s="11" t="str">
        <f>CONCATENATE("          ", "6272", " - ", "CASH (OVER/SHORT)")</f>
        <v xml:space="preserve">          6272 - CASH (OVER/SHORT)</v>
      </c>
      <c r="C39" s="11"/>
      <c r="D39" s="6">
        <v>-73.349999999999994</v>
      </c>
      <c r="E39" s="2"/>
      <c r="F39" s="7">
        <f t="shared" si="16"/>
        <v>0</v>
      </c>
      <c r="G39" s="2"/>
      <c r="H39" s="6">
        <v>388.93</v>
      </c>
      <c r="I39" s="2"/>
      <c r="J39" s="7">
        <f t="shared" si="17"/>
        <v>0</v>
      </c>
      <c r="K39" s="2"/>
      <c r="L39" s="6">
        <f t="shared" si="18"/>
        <v>-462.28</v>
      </c>
      <c r="M39" s="2"/>
      <c r="N39" s="7">
        <f t="shared" si="19"/>
        <v>-1.188594348597434</v>
      </c>
      <c r="O39" s="11"/>
      <c r="P39" s="6">
        <v>32.909999999999997</v>
      </c>
      <c r="Q39" s="2"/>
      <c r="R39" s="7">
        <f t="shared" si="20"/>
        <v>0</v>
      </c>
      <c r="S39" s="2"/>
      <c r="T39" s="6">
        <v>1332.06</v>
      </c>
      <c r="U39" s="2"/>
      <c r="V39" s="7">
        <f t="shared" si="21"/>
        <v>0</v>
      </c>
      <c r="W39" s="2"/>
      <c r="X39" s="6">
        <f t="shared" si="22"/>
        <v>-1299.1499999999999</v>
      </c>
      <c r="Y39" s="2"/>
      <c r="Z39" s="7">
        <f t="shared" si="23"/>
        <v>-0.97529390567992424</v>
      </c>
    </row>
    <row r="40" spans="1:26" s="24" customFormat="1" hidden="1" outlineLevel="2" x14ac:dyDescent="0.25">
      <c r="A40" s="25"/>
      <c r="B40" s="11" t="str">
        <f>CONCATENATE("          ", "6342", " - ", "BAD DEBT")</f>
        <v xml:space="preserve">          6342 - BAD DEBT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44.8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44.8</v>
      </c>
      <c r="Y40" s="2"/>
      <c r="Z40" s="7">
        <f t="shared" si="23"/>
        <v>0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25167.01</v>
      </c>
      <c r="E41" s="1"/>
      <c r="F41" s="5">
        <f t="shared" ref="F41:F45" si="24">IF(D$12=0,0,D41/D$12)</f>
        <v>0</v>
      </c>
      <c r="G41" s="1"/>
      <c r="H41" s="1">
        <f>SUM(OSRRefH22_4x_0)</f>
        <v>27942.92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-2775.91</v>
      </c>
      <c r="M41" s="1"/>
      <c r="N41" s="5">
        <f t="shared" ref="N41:N45" si="27">IF(H41=0,0,L41/H41)</f>
        <v>-9.9342158944018738E-2</v>
      </c>
      <c r="O41" s="13"/>
      <c r="P41" s="1">
        <f>SUM(OSRRefP22_4x_0)</f>
        <v>112150.72</v>
      </c>
      <c r="Q41" s="1"/>
      <c r="R41" s="5">
        <f t="shared" ref="R41:R45" si="28">IF(P$12=0,0,P41/P$12)</f>
        <v>0</v>
      </c>
      <c r="S41" s="1"/>
      <c r="T41" s="1">
        <f>SUM(OSRRefT22_4x_0)</f>
        <v>113534.51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-1383.7899999999936</v>
      </c>
      <c r="Y41" s="1"/>
      <c r="Z41" s="5">
        <f t="shared" ref="Z41:Z45" si="31">IF(T41=0,0,X41/T41)</f>
        <v>-1.2188276498484854E-2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25167.01</v>
      </c>
      <c r="E42" s="2"/>
      <c r="F42" s="7">
        <f t="shared" si="24"/>
        <v>0</v>
      </c>
      <c r="G42" s="2"/>
      <c r="H42" s="6">
        <v>27942.92</v>
      </c>
      <c r="I42" s="2"/>
      <c r="J42" s="7">
        <f t="shared" si="25"/>
        <v>0</v>
      </c>
      <c r="K42" s="2"/>
      <c r="L42" s="6">
        <f t="shared" si="26"/>
        <v>-2775.91</v>
      </c>
      <c r="M42" s="2"/>
      <c r="N42" s="7">
        <f t="shared" si="27"/>
        <v>-9.9342158944018738E-2</v>
      </c>
      <c r="O42" s="11"/>
      <c r="P42" s="6">
        <v>112150.72</v>
      </c>
      <c r="Q42" s="2"/>
      <c r="R42" s="7">
        <f t="shared" si="28"/>
        <v>0</v>
      </c>
      <c r="S42" s="2"/>
      <c r="T42" s="6">
        <v>113534.51</v>
      </c>
      <c r="U42" s="2"/>
      <c r="V42" s="7">
        <f t="shared" si="29"/>
        <v>0</v>
      </c>
      <c r="W42" s="2"/>
      <c r="X42" s="6">
        <f t="shared" si="30"/>
        <v>-1383.7899999999936</v>
      </c>
      <c r="Y42" s="2"/>
      <c r="Z42" s="7">
        <f t="shared" si="31"/>
        <v>-1.2188276498484854E-2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29607.43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277.36000000000058</v>
      </c>
      <c r="M43" s="1"/>
      <c r="N43" s="5">
        <f t="shared" si="27"/>
        <v>9.4565065818117914E-3</v>
      </c>
      <c r="O43" s="13"/>
      <c r="P43" s="1">
        <f>SUM(OSRRefP22_5x_0)</f>
        <v>207252.01</v>
      </c>
      <c r="Q43" s="1"/>
      <c r="R43" s="5">
        <f t="shared" si="28"/>
        <v>0</v>
      </c>
      <c r="S43" s="1"/>
      <c r="T43" s="1">
        <f>SUM(OSRRefT22_5x_0)</f>
        <v>205310.49</v>
      </c>
      <c r="U43" s="1"/>
      <c r="V43" s="5">
        <f t="shared" si="29"/>
        <v>0</v>
      </c>
      <c r="W43" s="1"/>
      <c r="X43" s="1">
        <f t="shared" si="30"/>
        <v>1941.5200000000186</v>
      </c>
      <c r="Y43" s="1"/>
      <c r="Z43" s="5">
        <f t="shared" si="31"/>
        <v>9.4565065818118625E-3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16396.52</v>
      </c>
      <c r="E44" s="2"/>
      <c r="F44" s="7">
        <f t="shared" si="24"/>
        <v>0</v>
      </c>
      <c r="G44" s="2"/>
      <c r="H44" s="6">
        <v>16453.38</v>
      </c>
      <c r="I44" s="2"/>
      <c r="J44" s="7">
        <f t="shared" si="25"/>
        <v>0</v>
      </c>
      <c r="K44" s="2"/>
      <c r="L44" s="6">
        <f t="shared" si="26"/>
        <v>-56.860000000000582</v>
      </c>
      <c r="M44" s="2"/>
      <c r="N44" s="7">
        <f t="shared" si="27"/>
        <v>-3.4558248821822978E-3</v>
      </c>
      <c r="O44" s="11"/>
      <c r="P44" s="6">
        <v>114775.64</v>
      </c>
      <c r="Q44" s="2"/>
      <c r="R44" s="7">
        <f t="shared" si="28"/>
        <v>0</v>
      </c>
      <c r="S44" s="2"/>
      <c r="T44" s="6">
        <v>115173.66</v>
      </c>
      <c r="U44" s="2"/>
      <c r="V44" s="7">
        <f t="shared" si="29"/>
        <v>0</v>
      </c>
      <c r="W44" s="2"/>
      <c r="X44" s="6">
        <f t="shared" si="30"/>
        <v>-398.02000000000407</v>
      </c>
      <c r="Y44" s="2"/>
      <c r="Z44" s="7">
        <f t="shared" si="31"/>
        <v>-3.4558248821822983E-3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13210.91</v>
      </c>
      <c r="E45" s="2"/>
      <c r="F45" s="7">
        <f t="shared" si="24"/>
        <v>0</v>
      </c>
      <c r="G45" s="2"/>
      <c r="H45" s="6">
        <v>12876.69</v>
      </c>
      <c r="I45" s="2"/>
      <c r="J45" s="7">
        <f t="shared" si="25"/>
        <v>0</v>
      </c>
      <c r="K45" s="2"/>
      <c r="L45" s="6">
        <f t="shared" si="26"/>
        <v>334.21999999999935</v>
      </c>
      <c r="M45" s="2"/>
      <c r="N45" s="7">
        <f t="shared" si="27"/>
        <v>2.5955427986539967E-2</v>
      </c>
      <c r="O45" s="11"/>
      <c r="P45" s="6">
        <v>92476.37000000001</v>
      </c>
      <c r="Q45" s="2"/>
      <c r="R45" s="7">
        <f t="shared" si="28"/>
        <v>0</v>
      </c>
      <c r="S45" s="2"/>
      <c r="T45" s="6">
        <v>90136.83</v>
      </c>
      <c r="U45" s="2"/>
      <c r="V45" s="7">
        <f t="shared" si="29"/>
        <v>0</v>
      </c>
      <c r="W45" s="2"/>
      <c r="X45" s="6">
        <f t="shared" si="30"/>
        <v>2339.5400000000081</v>
      </c>
      <c r="Y45" s="2"/>
      <c r="Z45" s="7">
        <f t="shared" si="31"/>
        <v>2.595542798654011E-2</v>
      </c>
    </row>
    <row r="46" spans="1:26" s="26" customFormat="1" outlineLevel="1" collapsed="1" x14ac:dyDescent="0.25">
      <c r="A46" s="27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-382.67</v>
      </c>
      <c r="E46" s="1"/>
      <c r="F46" s="5">
        <f t="shared" ref="F46:F48" si="32">IF(D$12=0,0,D46/D$12)</f>
        <v>0</v>
      </c>
      <c r="G46" s="1"/>
      <c r="H46" s="1">
        <f>SUM(OSRRefH22_6x_0)</f>
        <v>-570.09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187.42000000000002</v>
      </c>
      <c r="M46" s="1"/>
      <c r="N46" s="5">
        <f t="shared" ref="N46:N48" si="35">IF(H46=0,0,L46/H46)</f>
        <v>-0.32875510884246351</v>
      </c>
      <c r="O46" s="13"/>
      <c r="P46" s="1">
        <f>SUM(OSRRefP22_6x_0)</f>
        <v>-2074.75</v>
      </c>
      <c r="Q46" s="1"/>
      <c r="R46" s="5">
        <f t="shared" ref="R46:R48" si="36">IF(P$12=0,0,P46/P$12)</f>
        <v>0</v>
      </c>
      <c r="S46" s="1"/>
      <c r="T46" s="1">
        <f>SUM(OSRRefT22_6x_0)</f>
        <v>-3752.63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1677.88</v>
      </c>
      <c r="Y46" s="1"/>
      <c r="Z46" s="5">
        <f t="shared" ref="Z46:Z48" si="39">IF(T46=0,0,X46/T46)</f>
        <v>-0.44712108574519738</v>
      </c>
    </row>
    <row r="47" spans="1:26" s="24" customFormat="1" hidden="1" outlineLevel="2" x14ac:dyDescent="0.25">
      <c r="A47" s="25"/>
      <c r="B47" s="11" t="str">
        <f>CONCATENATE("          ", "6382", " - ", "DISCOUNTS/MARK DOWNS")</f>
        <v xml:space="preserve">          6382 - DISCOUNTS/MARK DOWNS</v>
      </c>
      <c r="C47" s="11"/>
      <c r="D47" s="6">
        <v>4</v>
      </c>
      <c r="E47" s="2"/>
      <c r="F47" s="7">
        <f t="shared" si="32"/>
        <v>0</v>
      </c>
      <c r="G47" s="2"/>
      <c r="H47" s="6"/>
      <c r="I47" s="2"/>
      <c r="J47" s="7">
        <f t="shared" si="33"/>
        <v>0</v>
      </c>
      <c r="K47" s="2"/>
      <c r="L47" s="6">
        <f t="shared" si="34"/>
        <v>4</v>
      </c>
      <c r="M47" s="2"/>
      <c r="N47" s="7">
        <f t="shared" si="35"/>
        <v>0</v>
      </c>
      <c r="O47" s="11"/>
      <c r="P47" s="6">
        <v>345.4</v>
      </c>
      <c r="Q47" s="2"/>
      <c r="R47" s="7">
        <f t="shared" si="36"/>
        <v>0</v>
      </c>
      <c r="S47" s="2"/>
      <c r="T47" s="6">
        <v>61.5</v>
      </c>
      <c r="U47" s="2"/>
      <c r="V47" s="7">
        <f t="shared" si="37"/>
        <v>0</v>
      </c>
      <c r="W47" s="2"/>
      <c r="X47" s="6">
        <f t="shared" si="38"/>
        <v>283.89999999999998</v>
      </c>
      <c r="Y47" s="2"/>
      <c r="Z47" s="7">
        <f t="shared" si="39"/>
        <v>4.616260162601626</v>
      </c>
    </row>
    <row r="48" spans="1:26" s="24" customFormat="1" hidden="1" outlineLevel="2" x14ac:dyDescent="0.25">
      <c r="A48" s="25"/>
      <c r="B48" s="11" t="str">
        <f>CONCATENATE("          ", "9175", " - ", "EARNED DISCOUNTS")</f>
        <v xml:space="preserve">          9175 - EARNED DISCOUNTS</v>
      </c>
      <c r="C48" s="11"/>
      <c r="D48" s="6">
        <v>-386.67</v>
      </c>
      <c r="E48" s="2"/>
      <c r="F48" s="7">
        <f t="shared" si="32"/>
        <v>0</v>
      </c>
      <c r="G48" s="2"/>
      <c r="H48" s="6">
        <v>-570.09</v>
      </c>
      <c r="I48" s="2"/>
      <c r="J48" s="7">
        <f t="shared" si="33"/>
        <v>0</v>
      </c>
      <c r="K48" s="2"/>
      <c r="L48" s="6">
        <f t="shared" si="34"/>
        <v>183.42000000000002</v>
      </c>
      <c r="M48" s="2"/>
      <c r="N48" s="7">
        <f t="shared" si="35"/>
        <v>-0.32173867284113034</v>
      </c>
      <c r="O48" s="11"/>
      <c r="P48" s="6">
        <v>-2420.15</v>
      </c>
      <c r="Q48" s="2"/>
      <c r="R48" s="7">
        <f t="shared" si="36"/>
        <v>0</v>
      </c>
      <c r="S48" s="2"/>
      <c r="T48" s="6">
        <v>-3814.13</v>
      </c>
      <c r="U48" s="2"/>
      <c r="V48" s="7">
        <f t="shared" si="37"/>
        <v>0</v>
      </c>
      <c r="W48" s="2"/>
      <c r="X48" s="6">
        <f t="shared" si="38"/>
        <v>1393.98</v>
      </c>
      <c r="Y48" s="2"/>
      <c r="Z48" s="7">
        <f t="shared" si="39"/>
        <v>-0.36547784160476965</v>
      </c>
    </row>
    <row r="49" spans="1:26" s="26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0</v>
      </c>
      <c r="E49" s="1"/>
      <c r="F49" s="5">
        <f t="shared" ref="F49:F67" si="40">IF(D$12=0,0,D49/D$12)</f>
        <v>0</v>
      </c>
      <c r="G49" s="1"/>
      <c r="H49" s="1">
        <f>SUM(OSRRefH22_7x_0)</f>
        <v>760.12</v>
      </c>
      <c r="I49" s="1"/>
      <c r="J49" s="5">
        <f t="shared" ref="J49:J67" si="41">IF(H$12=0,0,H49/H$12)</f>
        <v>0</v>
      </c>
      <c r="K49" s="1"/>
      <c r="L49" s="1">
        <f t="shared" ref="L49:L67" si="42">+D49-H49</f>
        <v>-760.12</v>
      </c>
      <c r="M49" s="1"/>
      <c r="N49" s="5">
        <f t="shared" ref="N49:N67" si="43">IF(H49=0,0,L49/H49)</f>
        <v>-1</v>
      </c>
      <c r="O49" s="13"/>
      <c r="P49" s="1">
        <f>SUM(OSRRefP22_7x_0)</f>
        <v>9798.2199999999993</v>
      </c>
      <c r="Q49" s="1"/>
      <c r="R49" s="5">
        <f t="shared" ref="R49:R67" si="44">IF(P$12=0,0,P49/P$12)</f>
        <v>0</v>
      </c>
      <c r="S49" s="1"/>
      <c r="T49" s="1">
        <f>SUM(OSRRefT22_7x_0)</f>
        <v>6035.94</v>
      </c>
      <c r="U49" s="1"/>
      <c r="V49" s="5">
        <f t="shared" ref="V49:V67" si="45">IF(T$12=0,0,T49/T$12)</f>
        <v>0</v>
      </c>
      <c r="W49" s="1"/>
      <c r="X49" s="1">
        <f t="shared" ref="X49:X67" si="46">+P49-T49</f>
        <v>3762.2799999999997</v>
      </c>
      <c r="Y49" s="1"/>
      <c r="Z49" s="5">
        <f t="shared" ref="Z49:Z67" si="47">IF(T49=0,0,X49/T49)</f>
        <v>0.62331302166688207</v>
      </c>
    </row>
    <row r="50" spans="1:26" s="24" customFormat="1" hidden="1" outlineLevel="2" x14ac:dyDescent="0.25">
      <c r="A50" s="25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40"/>
        <v>0</v>
      </c>
      <c r="G50" s="2"/>
      <c r="H50" s="6">
        <v>760.12</v>
      </c>
      <c r="I50" s="2"/>
      <c r="J50" s="7">
        <f t="shared" si="41"/>
        <v>0</v>
      </c>
      <c r="K50" s="2"/>
      <c r="L50" s="6">
        <f t="shared" si="42"/>
        <v>-760.12</v>
      </c>
      <c r="M50" s="2"/>
      <c r="N50" s="7">
        <f t="shared" si="43"/>
        <v>-1</v>
      </c>
      <c r="O50" s="11"/>
      <c r="P50" s="6">
        <v>9798.2199999999993</v>
      </c>
      <c r="Q50" s="2"/>
      <c r="R50" s="7">
        <f t="shared" si="44"/>
        <v>0</v>
      </c>
      <c r="S50" s="2"/>
      <c r="T50" s="6">
        <v>6035.94</v>
      </c>
      <c r="U50" s="2"/>
      <c r="V50" s="7">
        <f t="shared" si="45"/>
        <v>0</v>
      </c>
      <c r="W50" s="2"/>
      <c r="X50" s="6">
        <f t="shared" si="46"/>
        <v>3762.2799999999997</v>
      </c>
      <c r="Y50" s="2"/>
      <c r="Z50" s="7">
        <f t="shared" si="47"/>
        <v>0.62331302166688207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0</v>
      </c>
      <c r="E51" s="1"/>
      <c r="F51" s="5">
        <f t="shared" si="40"/>
        <v>0</v>
      </c>
      <c r="G51" s="1"/>
      <c r="H51" s="1">
        <f>SUM(OSRRefH22_8x_0)</f>
        <v>422.8</v>
      </c>
      <c r="I51" s="1"/>
      <c r="J51" s="5">
        <f t="shared" si="41"/>
        <v>0</v>
      </c>
      <c r="K51" s="1"/>
      <c r="L51" s="1">
        <f t="shared" si="42"/>
        <v>-422.8</v>
      </c>
      <c r="M51" s="1"/>
      <c r="N51" s="5">
        <f t="shared" si="43"/>
        <v>-1</v>
      </c>
      <c r="O51" s="13"/>
      <c r="P51" s="1">
        <f>SUM(OSRRefP22_8x_0)</f>
        <v>825.75</v>
      </c>
      <c r="Q51" s="1"/>
      <c r="R51" s="5">
        <f t="shared" si="44"/>
        <v>0</v>
      </c>
      <c r="S51" s="1"/>
      <c r="T51" s="1">
        <f>SUM(OSRRefT22_8x_0)</f>
        <v>2260.4299999999998</v>
      </c>
      <c r="U51" s="1"/>
      <c r="V51" s="5">
        <f t="shared" si="45"/>
        <v>0</v>
      </c>
      <c r="W51" s="1"/>
      <c r="X51" s="1">
        <f t="shared" si="46"/>
        <v>-1434.6799999999998</v>
      </c>
      <c r="Y51" s="1"/>
      <c r="Z51" s="5">
        <f t="shared" si="47"/>
        <v>-0.63469339904354483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40"/>
        <v>0</v>
      </c>
      <c r="G52" s="2"/>
      <c r="H52" s="6">
        <v>422.8</v>
      </c>
      <c r="I52" s="2"/>
      <c r="J52" s="7">
        <f t="shared" si="41"/>
        <v>0</v>
      </c>
      <c r="K52" s="2"/>
      <c r="L52" s="6">
        <f t="shared" si="42"/>
        <v>-422.8</v>
      </c>
      <c r="M52" s="2"/>
      <c r="N52" s="7">
        <f t="shared" si="43"/>
        <v>-1</v>
      </c>
      <c r="O52" s="11"/>
      <c r="P52" s="6">
        <v>825.75</v>
      </c>
      <c r="Q52" s="2"/>
      <c r="R52" s="7">
        <f t="shared" si="44"/>
        <v>0</v>
      </c>
      <c r="S52" s="2"/>
      <c r="T52" s="6">
        <v>2260.4299999999998</v>
      </c>
      <c r="U52" s="2"/>
      <c r="V52" s="7">
        <f t="shared" si="45"/>
        <v>0</v>
      </c>
      <c r="W52" s="2"/>
      <c r="X52" s="6">
        <f t="shared" si="46"/>
        <v>-1434.6799999999998</v>
      </c>
      <c r="Y52" s="2"/>
      <c r="Z52" s="7">
        <f t="shared" si="47"/>
        <v>-0.63469339904354483</v>
      </c>
    </row>
    <row r="53" spans="1:26" s="26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0</v>
      </c>
      <c r="E53" s="1"/>
      <c r="F53" s="5">
        <f t="shared" si="40"/>
        <v>0</v>
      </c>
      <c r="G53" s="1"/>
      <c r="H53" s="1">
        <f>SUM(OSRRefH22_9x_0)</f>
        <v>0</v>
      </c>
      <c r="I53" s="1"/>
      <c r="J53" s="5">
        <f t="shared" si="41"/>
        <v>0</v>
      </c>
      <c r="K53" s="1"/>
      <c r="L53" s="1">
        <f t="shared" si="42"/>
        <v>0</v>
      </c>
      <c r="M53" s="1"/>
      <c r="N53" s="5">
        <f t="shared" si="43"/>
        <v>0</v>
      </c>
      <c r="O53" s="13"/>
      <c r="P53" s="1">
        <f>SUM(OSRRefP22_9x_0)</f>
        <v>14.39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-4.1400000000000006</v>
      </c>
      <c r="Y53" s="1"/>
      <c r="Z53" s="5">
        <f t="shared" si="47"/>
        <v>-0.22342147868321643</v>
      </c>
    </row>
    <row r="54" spans="1:26" s="24" customFormat="1" hidden="1" outlineLevel="2" x14ac:dyDescent="0.25">
      <c r="A54" s="25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0</v>
      </c>
      <c r="M54" s="2"/>
      <c r="N54" s="7">
        <f t="shared" si="43"/>
        <v>0</v>
      </c>
      <c r="O54" s="11"/>
      <c r="P54" s="6">
        <v>14.39</v>
      </c>
      <c r="Q54" s="2"/>
      <c r="R54" s="7">
        <f t="shared" si="44"/>
        <v>0</v>
      </c>
      <c r="S54" s="2"/>
      <c r="T54" s="6">
        <v>18.53</v>
      </c>
      <c r="U54" s="2"/>
      <c r="V54" s="7">
        <f t="shared" si="45"/>
        <v>0</v>
      </c>
      <c r="W54" s="2"/>
      <c r="X54" s="6">
        <f t="shared" si="46"/>
        <v>-4.1400000000000006</v>
      </c>
      <c r="Y54" s="2"/>
      <c r="Z54" s="7">
        <f t="shared" si="47"/>
        <v>-0.22342147868321643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216</v>
      </c>
      <c r="E55" s="1"/>
      <c r="F55" s="5">
        <f t="shared" si="40"/>
        <v>0</v>
      </c>
      <c r="G55" s="1"/>
      <c r="H55" s="1">
        <f>SUM(OSRRefH22_10x_0)</f>
        <v>423.56</v>
      </c>
      <c r="I55" s="1"/>
      <c r="J55" s="5">
        <f t="shared" si="41"/>
        <v>0</v>
      </c>
      <c r="K55" s="1"/>
      <c r="L55" s="1">
        <f t="shared" si="42"/>
        <v>-207.56</v>
      </c>
      <c r="M55" s="1"/>
      <c r="N55" s="5">
        <f t="shared" si="43"/>
        <v>-0.49003683067334025</v>
      </c>
      <c r="O55" s="13"/>
      <c r="P55" s="1">
        <f>SUM(OSRRefP22_10x_0)</f>
        <v>-11754.76</v>
      </c>
      <c r="Q55" s="1"/>
      <c r="R55" s="5">
        <f t="shared" si="44"/>
        <v>0</v>
      </c>
      <c r="S55" s="1"/>
      <c r="T55" s="1">
        <f>SUM(OSRRefT22_10x_0)</f>
        <v>761.98</v>
      </c>
      <c r="U55" s="1"/>
      <c r="V55" s="5">
        <f t="shared" si="45"/>
        <v>0</v>
      </c>
      <c r="W55" s="1"/>
      <c r="X55" s="1">
        <f t="shared" si="46"/>
        <v>-12516.74</v>
      </c>
      <c r="Y55" s="1"/>
      <c r="Z55" s="5">
        <f t="shared" si="47"/>
        <v>-16.426599123336569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>
        <v>216</v>
      </c>
      <c r="E56" s="2"/>
      <c r="F56" s="7">
        <f t="shared" si="40"/>
        <v>0</v>
      </c>
      <c r="G56" s="2"/>
      <c r="H56" s="6">
        <v>423.56</v>
      </c>
      <c r="I56" s="2"/>
      <c r="J56" s="7">
        <f t="shared" si="41"/>
        <v>0</v>
      </c>
      <c r="K56" s="2"/>
      <c r="L56" s="6">
        <f t="shared" si="42"/>
        <v>-207.56</v>
      </c>
      <c r="M56" s="2"/>
      <c r="N56" s="7">
        <f t="shared" si="43"/>
        <v>-0.49003683067334025</v>
      </c>
      <c r="O56" s="11"/>
      <c r="P56" s="6">
        <v>-11754.76</v>
      </c>
      <c r="Q56" s="2"/>
      <c r="R56" s="7">
        <f t="shared" si="44"/>
        <v>0</v>
      </c>
      <c r="S56" s="2"/>
      <c r="T56" s="6">
        <v>761.98</v>
      </c>
      <c r="U56" s="2"/>
      <c r="V56" s="7">
        <f t="shared" si="45"/>
        <v>0</v>
      </c>
      <c r="W56" s="2"/>
      <c r="X56" s="6">
        <f t="shared" si="46"/>
        <v>-12516.74</v>
      </c>
      <c r="Y56" s="2"/>
      <c r="Z56" s="7">
        <f t="shared" si="47"/>
        <v>-16.426599123336569</v>
      </c>
    </row>
    <row r="57" spans="1:26" s="26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3658.12</v>
      </c>
      <c r="I57" s="1"/>
      <c r="J57" s="5">
        <f t="shared" si="41"/>
        <v>0</v>
      </c>
      <c r="K57" s="1"/>
      <c r="L57" s="1">
        <f t="shared" si="42"/>
        <v>225.44000000000005</v>
      </c>
      <c r="M57" s="1"/>
      <c r="N57" s="5">
        <f t="shared" si="43"/>
        <v>6.1627283960066934E-2</v>
      </c>
      <c r="O57" s="13"/>
      <c r="P57" s="1">
        <f>SUM(OSRRefP22_11x_0)</f>
        <v>27184.92</v>
      </c>
      <c r="Q57" s="1"/>
      <c r="R57" s="5">
        <f t="shared" si="44"/>
        <v>0</v>
      </c>
      <c r="S57" s="1"/>
      <c r="T57" s="1">
        <f>SUM(OSRRefT22_11x_0)</f>
        <v>25606.84</v>
      </c>
      <c r="U57" s="1"/>
      <c r="V57" s="5">
        <f t="shared" si="45"/>
        <v>0</v>
      </c>
      <c r="W57" s="1"/>
      <c r="X57" s="1">
        <f t="shared" si="46"/>
        <v>1578.0799999999981</v>
      </c>
      <c r="Y57" s="1"/>
      <c r="Z57" s="5">
        <f t="shared" si="47"/>
        <v>6.1627283960066843E-2</v>
      </c>
    </row>
    <row r="58" spans="1:26" s="24" customFormat="1" hidden="1" outlineLevel="2" x14ac:dyDescent="0.25">
      <c r="A58" s="25"/>
      <c r="B58" s="11" t="str">
        <f>CONCATENATE("          ", "6314", " - ", "LIABILITY INSURANCE")</f>
        <v xml:space="preserve">          6314 - LIABILITY INSURANCE</v>
      </c>
      <c r="C58" s="11"/>
      <c r="D58" s="6">
        <v>3883.56</v>
      </c>
      <c r="E58" s="2"/>
      <c r="F58" s="7">
        <f t="shared" si="40"/>
        <v>0</v>
      </c>
      <c r="G58" s="2"/>
      <c r="H58" s="6">
        <v>3658.12</v>
      </c>
      <c r="I58" s="2"/>
      <c r="J58" s="7">
        <f t="shared" si="41"/>
        <v>0</v>
      </c>
      <c r="K58" s="2"/>
      <c r="L58" s="6">
        <f t="shared" si="42"/>
        <v>225.44000000000005</v>
      </c>
      <c r="M58" s="2"/>
      <c r="N58" s="7">
        <f t="shared" si="43"/>
        <v>6.1627283960066934E-2</v>
      </c>
      <c r="O58" s="11"/>
      <c r="P58" s="6">
        <v>27184.92</v>
      </c>
      <c r="Q58" s="2"/>
      <c r="R58" s="7">
        <f t="shared" si="44"/>
        <v>0</v>
      </c>
      <c r="S58" s="2"/>
      <c r="T58" s="6">
        <v>25606.84</v>
      </c>
      <c r="U58" s="2"/>
      <c r="V58" s="7">
        <f t="shared" si="45"/>
        <v>0</v>
      </c>
      <c r="W58" s="2"/>
      <c r="X58" s="6">
        <f t="shared" si="46"/>
        <v>1578.0799999999981</v>
      </c>
      <c r="Y58" s="2"/>
      <c r="Z58" s="7">
        <f t="shared" si="47"/>
        <v>6.1627283960066843E-2</v>
      </c>
    </row>
    <row r="59" spans="1:26" s="26" customFormat="1" outlineLevel="1" collapsed="1" x14ac:dyDescent="0.25">
      <c r="A59" s="27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4658.41</v>
      </c>
      <c r="Q60" s="2"/>
      <c r="R60" s="7">
        <f t="shared" si="44"/>
        <v>0</v>
      </c>
      <c r="S60" s="2"/>
      <c r="T60" s="6">
        <v>6776.43</v>
      </c>
      <c r="U60" s="2"/>
      <c r="V60" s="7">
        <f t="shared" si="45"/>
        <v>0</v>
      </c>
      <c r="W60" s="2"/>
      <c r="X60" s="6">
        <f t="shared" si="46"/>
        <v>-2118.0200000000004</v>
      </c>
      <c r="Y60" s="2"/>
      <c r="Z60" s="7">
        <f t="shared" si="47"/>
        <v>-0.31255690680786202</v>
      </c>
    </row>
    <row r="61" spans="1:26" s="26" customFormat="1" outlineLevel="1" collapsed="1" x14ac:dyDescent="0.25">
      <c r="A61" s="27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1600</v>
      </c>
      <c r="M61" s="1"/>
      <c r="N61" s="5">
        <f t="shared" si="43"/>
        <v>-2</v>
      </c>
      <c r="O61" s="13"/>
      <c r="P61" s="1">
        <f>SUM(OSRRefP22_13x_0)</f>
        <v>-4000</v>
      </c>
      <c r="Q61" s="1"/>
      <c r="R61" s="5">
        <f t="shared" si="44"/>
        <v>0</v>
      </c>
      <c r="S61" s="1"/>
      <c r="T61" s="1">
        <f>SUM(OSRRefT22_13x_0)</f>
        <v>-4698.92</v>
      </c>
      <c r="U61" s="1"/>
      <c r="V61" s="5">
        <f t="shared" si="45"/>
        <v>0</v>
      </c>
      <c r="W61" s="1"/>
      <c r="X61" s="1">
        <f t="shared" si="46"/>
        <v>698.92000000000007</v>
      </c>
      <c r="Y61" s="1"/>
      <c r="Z61" s="5">
        <f t="shared" si="47"/>
        <v>-0.14874056166097743</v>
      </c>
    </row>
    <row r="62" spans="1:26" s="24" customFormat="1" hidden="1" outlineLevel="2" x14ac:dyDescent="0.25">
      <c r="A62" s="25"/>
      <c r="B62" s="11" t="str">
        <f>CONCATENATE("          ", "6273", " - ", "RENT")</f>
        <v xml:space="preserve">          6273 - RENT</v>
      </c>
      <c r="C62" s="11"/>
      <c r="D62" s="6">
        <v>800</v>
      </c>
      <c r="E62" s="2"/>
      <c r="F62" s="7">
        <f t="shared" si="40"/>
        <v>0</v>
      </c>
      <c r="G62" s="2"/>
      <c r="H62" s="6">
        <v>-800</v>
      </c>
      <c r="I62" s="2"/>
      <c r="J62" s="7">
        <f t="shared" si="41"/>
        <v>0</v>
      </c>
      <c r="K62" s="2"/>
      <c r="L62" s="6">
        <f t="shared" si="42"/>
        <v>1600</v>
      </c>
      <c r="M62" s="2"/>
      <c r="N62" s="7">
        <f t="shared" si="43"/>
        <v>-2</v>
      </c>
      <c r="O62" s="11"/>
      <c r="P62" s="6">
        <v>-4000</v>
      </c>
      <c r="Q62" s="2"/>
      <c r="R62" s="7">
        <f t="shared" si="44"/>
        <v>0</v>
      </c>
      <c r="S62" s="2"/>
      <c r="T62" s="6">
        <v>-4698.92</v>
      </c>
      <c r="U62" s="2"/>
      <c r="V62" s="7">
        <f t="shared" si="45"/>
        <v>0</v>
      </c>
      <c r="W62" s="2"/>
      <c r="X62" s="6">
        <f t="shared" si="46"/>
        <v>698.92000000000007</v>
      </c>
      <c r="Y62" s="2"/>
      <c r="Z62" s="7">
        <f t="shared" si="47"/>
        <v>-0.14874056166097743</v>
      </c>
    </row>
    <row r="63" spans="1:26" s="26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10109.849999999999</v>
      </c>
      <c r="E63" s="1"/>
      <c r="F63" s="5">
        <f t="shared" si="40"/>
        <v>0</v>
      </c>
      <c r="G63" s="1"/>
      <c r="H63" s="1">
        <f>SUM(OSRRefH22_14x_0)</f>
        <v>2844.95</v>
      </c>
      <c r="I63" s="1"/>
      <c r="J63" s="5">
        <f t="shared" si="41"/>
        <v>0</v>
      </c>
      <c r="K63" s="1"/>
      <c r="L63" s="1">
        <f t="shared" si="42"/>
        <v>7264.8999999999987</v>
      </c>
      <c r="M63" s="1"/>
      <c r="N63" s="5">
        <f t="shared" si="43"/>
        <v>2.5536125415209403</v>
      </c>
      <c r="O63" s="13"/>
      <c r="P63" s="1">
        <f>SUM(OSRRefP22_14x_0)</f>
        <v>54948.53</v>
      </c>
      <c r="Q63" s="1"/>
      <c r="R63" s="5">
        <f t="shared" si="44"/>
        <v>0</v>
      </c>
      <c r="S63" s="1"/>
      <c r="T63" s="1">
        <f>SUM(OSRRefT22_14x_0)</f>
        <v>82376.88</v>
      </c>
      <c r="U63" s="1"/>
      <c r="V63" s="5">
        <f t="shared" si="45"/>
        <v>0</v>
      </c>
      <c r="W63" s="1"/>
      <c r="X63" s="1">
        <f t="shared" si="46"/>
        <v>-27428.350000000006</v>
      </c>
      <c r="Y63" s="1"/>
      <c r="Z63" s="5">
        <f t="shared" si="47"/>
        <v>-0.33296174849059595</v>
      </c>
    </row>
    <row r="64" spans="1:26" s="24" customFormat="1" hidden="1" outlineLevel="2" x14ac:dyDescent="0.25">
      <c r="A64" s="25"/>
      <c r="B64" s="11" t="str">
        <f>CONCATENATE("          ", "6371", " - ", "COMPUTER SOFTWARE MAINTENANCE")</f>
        <v xml:space="preserve">          6371 - COMPUTER SOFTWARE MAINTENANCE</v>
      </c>
      <c r="C64" s="11"/>
      <c r="D64" s="6">
        <v>601</v>
      </c>
      <c r="E64" s="2"/>
      <c r="F64" s="7">
        <f t="shared" si="40"/>
        <v>0</v>
      </c>
      <c r="G64" s="2"/>
      <c r="H64" s="6">
        <v>601</v>
      </c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14554.4</v>
      </c>
      <c r="Q64" s="2"/>
      <c r="R64" s="7">
        <f t="shared" si="44"/>
        <v>0</v>
      </c>
      <c r="S64" s="2"/>
      <c r="T64" s="6">
        <v>50452.25</v>
      </c>
      <c r="U64" s="2"/>
      <c r="V64" s="7">
        <f t="shared" si="45"/>
        <v>0</v>
      </c>
      <c r="W64" s="2"/>
      <c r="X64" s="6">
        <f t="shared" si="46"/>
        <v>-35897.85</v>
      </c>
      <c r="Y64" s="2"/>
      <c r="Z64" s="7">
        <f t="shared" si="47"/>
        <v>-0.71152128993255992</v>
      </c>
    </row>
    <row r="65" spans="1:26" s="24" customFormat="1" hidden="1" outlineLevel="2" x14ac:dyDescent="0.25">
      <c r="A65" s="25"/>
      <c r="B65" s="11" t="str">
        <f>CONCATENATE("          ", "6372", " - ", "COMPUTER HARDWARE MAINTENANCE")</f>
        <v xml:space="preserve">          6372 - COMPUTER HARDWARE MAINTENANCE</v>
      </c>
      <c r="C65" s="11"/>
      <c r="D65" s="6">
        <v>52.32</v>
      </c>
      <c r="E65" s="2"/>
      <c r="F65" s="7">
        <f t="shared" si="40"/>
        <v>0</v>
      </c>
      <c r="G65" s="2"/>
      <c r="H65" s="6">
        <v>49.56</v>
      </c>
      <c r="I65" s="2"/>
      <c r="J65" s="7">
        <f t="shared" si="41"/>
        <v>0</v>
      </c>
      <c r="K65" s="2"/>
      <c r="L65" s="6">
        <f t="shared" si="42"/>
        <v>2.759999999999998</v>
      </c>
      <c r="M65" s="2"/>
      <c r="N65" s="7">
        <f t="shared" si="43"/>
        <v>5.5690072639225138E-2</v>
      </c>
      <c r="O65" s="11"/>
      <c r="P65" s="6">
        <v>52.32</v>
      </c>
      <c r="Q65" s="2"/>
      <c r="R65" s="7">
        <f t="shared" si="44"/>
        <v>0</v>
      </c>
      <c r="S65" s="2"/>
      <c r="T65" s="6">
        <v>49.56</v>
      </c>
      <c r="U65" s="2"/>
      <c r="V65" s="7">
        <f t="shared" si="45"/>
        <v>0</v>
      </c>
      <c r="W65" s="2"/>
      <c r="X65" s="6">
        <f t="shared" si="46"/>
        <v>2.759999999999998</v>
      </c>
      <c r="Y65" s="2"/>
      <c r="Z65" s="7">
        <f t="shared" si="47"/>
        <v>5.5690072639225138E-2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>
        <v>4108</v>
      </c>
      <c r="E66" s="2"/>
      <c r="F66" s="7">
        <f t="shared" si="40"/>
        <v>0</v>
      </c>
      <c r="G66" s="2"/>
      <c r="H66" s="6">
        <v>999.55</v>
      </c>
      <c r="I66" s="2"/>
      <c r="J66" s="7">
        <f t="shared" si="41"/>
        <v>0</v>
      </c>
      <c r="K66" s="2"/>
      <c r="L66" s="6">
        <f t="shared" si="42"/>
        <v>3108.45</v>
      </c>
      <c r="M66" s="2"/>
      <c r="N66" s="7">
        <f t="shared" si="43"/>
        <v>3.10984943224451</v>
      </c>
      <c r="O66" s="11"/>
      <c r="P66" s="6">
        <v>7244.37</v>
      </c>
      <c r="Q66" s="2"/>
      <c r="R66" s="7">
        <f t="shared" si="44"/>
        <v>0</v>
      </c>
      <c r="S66" s="2"/>
      <c r="T66" s="6">
        <v>10721.19</v>
      </c>
      <c r="U66" s="2"/>
      <c r="V66" s="7">
        <f t="shared" si="45"/>
        <v>0</v>
      </c>
      <c r="W66" s="2"/>
      <c r="X66" s="6">
        <f t="shared" si="46"/>
        <v>-3476.8200000000006</v>
      </c>
      <c r="Y66" s="2"/>
      <c r="Z66" s="7">
        <f t="shared" si="47"/>
        <v>-0.32429422480153791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5348.53</v>
      </c>
      <c r="E67" s="2"/>
      <c r="F67" s="7">
        <f t="shared" si="40"/>
        <v>0</v>
      </c>
      <c r="G67" s="2"/>
      <c r="H67" s="6">
        <v>1194.8399999999999</v>
      </c>
      <c r="I67" s="2"/>
      <c r="J67" s="7">
        <f t="shared" si="41"/>
        <v>0</v>
      </c>
      <c r="K67" s="2"/>
      <c r="L67" s="6">
        <f t="shared" si="42"/>
        <v>4153.6899999999996</v>
      </c>
      <c r="M67" s="2"/>
      <c r="N67" s="7">
        <f t="shared" si="43"/>
        <v>3.4763566670014394</v>
      </c>
      <c r="O67" s="11"/>
      <c r="P67" s="6">
        <v>33097.440000000002</v>
      </c>
      <c r="Q67" s="2"/>
      <c r="R67" s="7">
        <f t="shared" si="44"/>
        <v>0</v>
      </c>
      <c r="S67" s="2"/>
      <c r="T67" s="6">
        <v>21153.88</v>
      </c>
      <c r="U67" s="2"/>
      <c r="V67" s="7">
        <f t="shared" si="45"/>
        <v>0</v>
      </c>
      <c r="W67" s="2"/>
      <c r="X67" s="6">
        <f t="shared" si="46"/>
        <v>11943.560000000001</v>
      </c>
      <c r="Y67" s="2"/>
      <c r="Z67" s="7">
        <f t="shared" si="47"/>
        <v>0.56460375117945272</v>
      </c>
    </row>
    <row r="68" spans="1:26" s="26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SUM(OSRRefD22_15x_0)</f>
        <v>0</v>
      </c>
      <c r="E68" s="1"/>
      <c r="F68" s="5">
        <f t="shared" ref="F68:F73" si="48">IF(D$12=0,0,D68/D$12)</f>
        <v>0</v>
      </c>
      <c r="G68" s="1"/>
      <c r="H68" s="1">
        <f>SUM(OSRRefH22_15x_0)</f>
        <v>61</v>
      </c>
      <c r="I68" s="1"/>
      <c r="J68" s="5">
        <f t="shared" ref="J68:J73" si="49">IF(H$12=0,0,H68/H$12)</f>
        <v>0</v>
      </c>
      <c r="K68" s="1"/>
      <c r="L68" s="1">
        <f t="shared" ref="L68:L73" si="50">+D68-H68</f>
        <v>-61</v>
      </c>
      <c r="M68" s="1"/>
      <c r="N68" s="5">
        <f t="shared" ref="N68:N73" si="51">IF(H68=0,0,L68/H68)</f>
        <v>-1</v>
      </c>
      <c r="O68" s="13"/>
      <c r="P68" s="1">
        <f>SUM(OSRRefP22_15x_0)</f>
        <v>0</v>
      </c>
      <c r="Q68" s="1"/>
      <c r="R68" s="5">
        <f t="shared" ref="R68:R73" si="52">IF(P$12=0,0,P68/P$12)</f>
        <v>0</v>
      </c>
      <c r="S68" s="1"/>
      <c r="T68" s="1">
        <f>SUM(OSRRefT22_15x_0)</f>
        <v>61</v>
      </c>
      <c r="U68" s="1"/>
      <c r="V68" s="5">
        <f t="shared" ref="V68:V73" si="53">IF(T$12=0,0,T68/T$12)</f>
        <v>0</v>
      </c>
      <c r="W68" s="1"/>
      <c r="X68" s="1">
        <f t="shared" ref="X68:X73" si="54">+P68-T68</f>
        <v>-61</v>
      </c>
      <c r="Y68" s="1"/>
      <c r="Z68" s="5">
        <f t="shared" ref="Z68:Z73" si="55">IF(T68=0,0,X68/T68)</f>
        <v>-1</v>
      </c>
    </row>
    <row r="69" spans="1:26" s="24" customFormat="1" hidden="1" outlineLevel="2" x14ac:dyDescent="0.25">
      <c r="A69" s="25"/>
      <c r="B69" s="11" t="str">
        <f>CONCATENATE("          ", "6254", " - ", "ROYALTY &amp; COMMISSIONS")</f>
        <v xml:space="preserve">          6254 - ROYALTY &amp; COMMISSIONS</v>
      </c>
      <c r="C69" s="11"/>
      <c r="D69" s="6"/>
      <c r="E69" s="2"/>
      <c r="F69" s="7">
        <f t="shared" si="48"/>
        <v>0</v>
      </c>
      <c r="G69" s="2"/>
      <c r="H69" s="6">
        <v>61</v>
      </c>
      <c r="I69" s="2"/>
      <c r="J69" s="7">
        <f t="shared" si="49"/>
        <v>0</v>
      </c>
      <c r="K69" s="2"/>
      <c r="L69" s="6">
        <f t="shared" si="50"/>
        <v>-61</v>
      </c>
      <c r="M69" s="2"/>
      <c r="N69" s="7">
        <f t="shared" si="51"/>
        <v>-1</v>
      </c>
      <c r="O69" s="11"/>
      <c r="P69" s="6"/>
      <c r="Q69" s="2"/>
      <c r="R69" s="7">
        <f t="shared" si="52"/>
        <v>0</v>
      </c>
      <c r="S69" s="2"/>
      <c r="T69" s="6">
        <v>61</v>
      </c>
      <c r="U69" s="2"/>
      <c r="V69" s="7">
        <f t="shared" si="53"/>
        <v>0</v>
      </c>
      <c r="W69" s="2"/>
      <c r="X69" s="6">
        <f t="shared" si="54"/>
        <v>-61</v>
      </c>
      <c r="Y69" s="2"/>
      <c r="Z69" s="7">
        <f t="shared" si="55"/>
        <v>-1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SUM(OSRRefD22_16x_0)</f>
        <v>4330.68</v>
      </c>
      <c r="E70" s="1"/>
      <c r="F70" s="5">
        <f t="shared" si="48"/>
        <v>0</v>
      </c>
      <c r="G70" s="1"/>
      <c r="H70" s="1">
        <f>SUM(OSRRefH22_16x_0)</f>
        <v>4163.93</v>
      </c>
      <c r="I70" s="1"/>
      <c r="J70" s="5">
        <f t="shared" si="49"/>
        <v>0</v>
      </c>
      <c r="K70" s="1"/>
      <c r="L70" s="1">
        <f t="shared" si="50"/>
        <v>166.75</v>
      </c>
      <c r="M70" s="1"/>
      <c r="N70" s="5">
        <f t="shared" si="51"/>
        <v>4.0046302411423818E-2</v>
      </c>
      <c r="O70" s="13"/>
      <c r="P70" s="1">
        <f>SUM(OSRRefP22_16x_0)</f>
        <v>28489.589999999997</v>
      </c>
      <c r="Q70" s="1"/>
      <c r="R70" s="5">
        <f t="shared" si="52"/>
        <v>0</v>
      </c>
      <c r="S70" s="1"/>
      <c r="T70" s="1">
        <f>SUM(OSRRefT22_16x_0)</f>
        <v>27837.25</v>
      </c>
      <c r="U70" s="1"/>
      <c r="V70" s="5">
        <f t="shared" si="53"/>
        <v>0</v>
      </c>
      <c r="W70" s="1"/>
      <c r="X70" s="1">
        <f t="shared" si="54"/>
        <v>652.33999999999651</v>
      </c>
      <c r="Y70" s="1"/>
      <c r="Z70" s="5">
        <f t="shared" si="55"/>
        <v>2.343406766113738E-2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222.5</v>
      </c>
      <c r="E71" s="2"/>
      <c r="F71" s="7">
        <f t="shared" si="48"/>
        <v>0</v>
      </c>
      <c r="G71" s="2"/>
      <c r="H71" s="6">
        <v>210.5</v>
      </c>
      <c r="I71" s="2"/>
      <c r="J71" s="7">
        <f t="shared" si="49"/>
        <v>0</v>
      </c>
      <c r="K71" s="2"/>
      <c r="L71" s="6">
        <f t="shared" si="50"/>
        <v>12</v>
      </c>
      <c r="M71" s="2"/>
      <c r="N71" s="7">
        <f t="shared" si="51"/>
        <v>5.7007125890736345E-2</v>
      </c>
      <c r="O71" s="11"/>
      <c r="P71" s="6">
        <v>1557.5</v>
      </c>
      <c r="Q71" s="2"/>
      <c r="R71" s="7">
        <f t="shared" si="52"/>
        <v>0</v>
      </c>
      <c r="S71" s="2"/>
      <c r="T71" s="6">
        <v>1367</v>
      </c>
      <c r="U71" s="2"/>
      <c r="V71" s="7">
        <f t="shared" si="53"/>
        <v>0</v>
      </c>
      <c r="W71" s="2"/>
      <c r="X71" s="6">
        <f t="shared" si="54"/>
        <v>190.5</v>
      </c>
      <c r="Y71" s="2"/>
      <c r="Z71" s="7">
        <f t="shared" si="55"/>
        <v>0.13935625457205561</v>
      </c>
    </row>
    <row r="72" spans="1:26" s="24" customFormat="1" hidden="1" outlineLevel="2" x14ac:dyDescent="0.25">
      <c r="A72" s="25"/>
      <c r="B72" s="11" t="str">
        <f>CONCATENATE("          ", "6283", " - ", "PLANT SERVICE")</f>
        <v xml:space="preserve">          6283 - PLANT SERVICE</v>
      </c>
      <c r="C72" s="11"/>
      <c r="D72" s="6"/>
      <c r="E72" s="2"/>
      <c r="F72" s="7">
        <f t="shared" si="48"/>
        <v>0</v>
      </c>
      <c r="G72" s="2"/>
      <c r="H72" s="6">
        <v>117</v>
      </c>
      <c r="I72" s="2"/>
      <c r="J72" s="7">
        <f t="shared" si="49"/>
        <v>0</v>
      </c>
      <c r="K72" s="2"/>
      <c r="L72" s="6">
        <f t="shared" si="50"/>
        <v>-117</v>
      </c>
      <c r="M72" s="2"/>
      <c r="N72" s="7">
        <f t="shared" si="51"/>
        <v>-1</v>
      </c>
      <c r="O72" s="11"/>
      <c r="P72" s="6">
        <v>363.33</v>
      </c>
      <c r="Q72" s="2"/>
      <c r="R72" s="7">
        <f t="shared" si="52"/>
        <v>0</v>
      </c>
      <c r="S72" s="2"/>
      <c r="T72" s="6">
        <v>941.5</v>
      </c>
      <c r="U72" s="2"/>
      <c r="V72" s="7">
        <f t="shared" si="53"/>
        <v>0</v>
      </c>
      <c r="W72" s="2"/>
      <c r="X72" s="6">
        <f t="shared" si="54"/>
        <v>-578.17000000000007</v>
      </c>
      <c r="Y72" s="2"/>
      <c r="Z72" s="7">
        <f t="shared" si="55"/>
        <v>-0.61409453000531078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6">
        <v>4108.18</v>
      </c>
      <c r="E73" s="2"/>
      <c r="F73" s="7">
        <f t="shared" si="48"/>
        <v>0</v>
      </c>
      <c r="G73" s="2"/>
      <c r="H73" s="6">
        <v>3836.43</v>
      </c>
      <c r="I73" s="2"/>
      <c r="J73" s="7">
        <f t="shared" si="49"/>
        <v>0</v>
      </c>
      <c r="K73" s="2"/>
      <c r="L73" s="6">
        <f t="shared" si="50"/>
        <v>271.75000000000045</v>
      </c>
      <c r="M73" s="2"/>
      <c r="N73" s="7">
        <f t="shared" si="51"/>
        <v>7.0834082727952927E-2</v>
      </c>
      <c r="O73" s="11"/>
      <c r="P73" s="6">
        <v>26568.76</v>
      </c>
      <c r="Q73" s="2"/>
      <c r="R73" s="7">
        <f t="shared" si="52"/>
        <v>0</v>
      </c>
      <c r="S73" s="2"/>
      <c r="T73" s="6">
        <v>25528.75</v>
      </c>
      <c r="U73" s="2"/>
      <c r="V73" s="7">
        <f t="shared" si="53"/>
        <v>0</v>
      </c>
      <c r="W73" s="2"/>
      <c r="X73" s="6">
        <f t="shared" si="54"/>
        <v>1040.0099999999984</v>
      </c>
      <c r="Y73" s="2"/>
      <c r="Z73" s="7">
        <f t="shared" si="55"/>
        <v>4.0738774910639902E-2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SUM(OSRRefD22_17x_0)</f>
        <v>0</v>
      </c>
      <c r="E74" s="1"/>
      <c r="F74" s="5">
        <f t="shared" ref="F74:F81" si="56">IF(D$12=0,0,D74/D$12)</f>
        <v>0</v>
      </c>
      <c r="G74" s="1"/>
      <c r="H74" s="1">
        <f>SUM(OSRRefH22_17x_0)</f>
        <v>144.97999999999999</v>
      </c>
      <c r="I74" s="1"/>
      <c r="J74" s="5">
        <f t="shared" ref="J74:J81" si="57">IF(H$12=0,0,H74/H$12)</f>
        <v>0</v>
      </c>
      <c r="K74" s="1"/>
      <c r="L74" s="1">
        <f t="shared" ref="L74:L81" si="58">+D74-H74</f>
        <v>-144.97999999999999</v>
      </c>
      <c r="M74" s="1"/>
      <c r="N74" s="5">
        <f t="shared" ref="N74:N81" si="59">IF(H74=0,0,L74/H74)</f>
        <v>-1</v>
      </c>
      <c r="O74" s="13"/>
      <c r="P74" s="1">
        <f>SUM(OSRRefP22_17x_0)</f>
        <v>405.3</v>
      </c>
      <c r="Q74" s="1"/>
      <c r="R74" s="5">
        <f t="shared" ref="R74:R81" si="60">IF(P$12=0,0,P74/P$12)</f>
        <v>0</v>
      </c>
      <c r="S74" s="1"/>
      <c r="T74" s="1">
        <f>SUM(OSRRefT22_17x_0)</f>
        <v>4519.1099999999997</v>
      </c>
      <c r="U74" s="1"/>
      <c r="V74" s="5">
        <f t="shared" ref="V74:V81" si="61">IF(T$12=0,0,T74/T$12)</f>
        <v>0</v>
      </c>
      <c r="W74" s="1"/>
      <c r="X74" s="1">
        <f t="shared" ref="X74:X81" si="62">+P74-T74</f>
        <v>-4113.8099999999995</v>
      </c>
      <c r="Y74" s="1"/>
      <c r="Z74" s="5">
        <f t="shared" ref="Z74:Z81" si="63">IF(T74=0,0,X74/T74)</f>
        <v>-0.91031419903476563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56"/>
        <v>0</v>
      </c>
      <c r="G75" s="2"/>
      <c r="H75" s="6">
        <v>144.97999999999999</v>
      </c>
      <c r="I75" s="2"/>
      <c r="J75" s="7">
        <f t="shared" si="57"/>
        <v>0</v>
      </c>
      <c r="K75" s="2"/>
      <c r="L75" s="6">
        <f t="shared" si="58"/>
        <v>-144.97999999999999</v>
      </c>
      <c r="M75" s="2"/>
      <c r="N75" s="7">
        <f t="shared" si="59"/>
        <v>-1</v>
      </c>
      <c r="O75" s="11"/>
      <c r="P75" s="6">
        <v>405.3</v>
      </c>
      <c r="Q75" s="2"/>
      <c r="R75" s="7">
        <f t="shared" si="60"/>
        <v>0</v>
      </c>
      <c r="S75" s="2"/>
      <c r="T75" s="6">
        <v>4519.1099999999997</v>
      </c>
      <c r="U75" s="2"/>
      <c r="V75" s="7">
        <f t="shared" si="61"/>
        <v>0</v>
      </c>
      <c r="W75" s="2"/>
      <c r="X75" s="6">
        <f t="shared" si="62"/>
        <v>-4113.8099999999995</v>
      </c>
      <c r="Y75" s="2"/>
      <c r="Z75" s="7">
        <f t="shared" si="63"/>
        <v>-0.91031419903476563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SUM(OSRRefD22_18x_0)</f>
        <v>2012.2399999999998</v>
      </c>
      <c r="E76" s="1"/>
      <c r="F76" s="5">
        <f t="shared" si="56"/>
        <v>0</v>
      </c>
      <c r="G76" s="1"/>
      <c r="H76" s="1">
        <f>SUM(OSRRefH22_18x_0)</f>
        <v>8655.6999999999989</v>
      </c>
      <c r="I76" s="1"/>
      <c r="J76" s="5">
        <f t="shared" si="57"/>
        <v>0</v>
      </c>
      <c r="K76" s="1"/>
      <c r="L76" s="1">
        <f t="shared" si="58"/>
        <v>-6643.4599999999991</v>
      </c>
      <c r="M76" s="1"/>
      <c r="N76" s="5">
        <f t="shared" si="59"/>
        <v>-0.76752429035202241</v>
      </c>
      <c r="O76" s="13"/>
      <c r="P76" s="1">
        <f>SUM(OSRRefP22_18x_0)</f>
        <v>12334.72</v>
      </c>
      <c r="Q76" s="1"/>
      <c r="R76" s="5">
        <f t="shared" si="60"/>
        <v>0</v>
      </c>
      <c r="S76" s="1"/>
      <c r="T76" s="1">
        <f>SUM(OSRRefT22_18x_0)</f>
        <v>43073.36</v>
      </c>
      <c r="U76" s="1"/>
      <c r="V76" s="5">
        <f t="shared" si="61"/>
        <v>0</v>
      </c>
      <c r="W76" s="1"/>
      <c r="X76" s="1">
        <f t="shared" si="62"/>
        <v>-30738.639999999999</v>
      </c>
      <c r="Y76" s="1"/>
      <c r="Z76" s="5">
        <f t="shared" si="63"/>
        <v>-0.71363459920470562</v>
      </c>
    </row>
    <row r="77" spans="1:26" s="24" customFormat="1" hidden="1" outlineLevel="2" x14ac:dyDescent="0.25">
      <c r="A77" s="25"/>
      <c r="B77" s="11" t="str">
        <f>CONCATENATE("          ", "6234", " - ", "EXPENDABLE SUPPLIES &amp; EQUIPMEN")</f>
        <v xml:space="preserve">          6234 - EXPENDABLE SUPPLIES &amp; EQUIPMEN</v>
      </c>
      <c r="C77" s="11"/>
      <c r="D77" s="6">
        <v>522.41999999999996</v>
      </c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522.41999999999996</v>
      </c>
      <c r="M77" s="2"/>
      <c r="N77" s="7">
        <f t="shared" si="59"/>
        <v>0</v>
      </c>
      <c r="O77" s="11"/>
      <c r="P77" s="6">
        <v>1307.54</v>
      </c>
      <c r="Q77" s="2"/>
      <c r="R77" s="7">
        <f t="shared" si="60"/>
        <v>0</v>
      </c>
      <c r="S77" s="2"/>
      <c r="T77" s="6">
        <v>1164.48</v>
      </c>
      <c r="U77" s="2"/>
      <c r="V77" s="7">
        <f t="shared" si="61"/>
        <v>0</v>
      </c>
      <c r="W77" s="2"/>
      <c r="X77" s="6">
        <f t="shared" si="62"/>
        <v>143.05999999999995</v>
      </c>
      <c r="Y77" s="2"/>
      <c r="Z77" s="7">
        <f t="shared" si="63"/>
        <v>0.12285311898873312</v>
      </c>
    </row>
    <row r="78" spans="1:26" s="24" customFormat="1" hidden="1" outlineLevel="2" x14ac:dyDescent="0.25">
      <c r="A78" s="25"/>
      <c r="B78" s="11" t="str">
        <f>CONCATENATE("          ", "6237", " - ", "JANITORIAL SUPPLIES")</f>
        <v xml:space="preserve">          6237 - JANITORIAL SUPPLIES</v>
      </c>
      <c r="C78" s="11"/>
      <c r="D78" s="6">
        <v>792.65</v>
      </c>
      <c r="E78" s="2"/>
      <c r="F78" s="7">
        <f t="shared" si="56"/>
        <v>0</v>
      </c>
      <c r="G78" s="2"/>
      <c r="H78" s="6">
        <v>155.94999999999999</v>
      </c>
      <c r="I78" s="2"/>
      <c r="J78" s="7">
        <f t="shared" si="57"/>
        <v>0</v>
      </c>
      <c r="K78" s="2"/>
      <c r="L78" s="6">
        <f t="shared" si="58"/>
        <v>636.70000000000005</v>
      </c>
      <c r="M78" s="2"/>
      <c r="N78" s="7">
        <f t="shared" si="59"/>
        <v>4.0827188201346587</v>
      </c>
      <c r="O78" s="11"/>
      <c r="P78" s="6">
        <v>3267.46</v>
      </c>
      <c r="Q78" s="2"/>
      <c r="R78" s="7">
        <f t="shared" si="60"/>
        <v>0</v>
      </c>
      <c r="S78" s="2"/>
      <c r="T78" s="6">
        <v>3688.51</v>
      </c>
      <c r="U78" s="2"/>
      <c r="V78" s="7">
        <f t="shared" si="61"/>
        <v>0</v>
      </c>
      <c r="W78" s="2"/>
      <c r="X78" s="6">
        <f t="shared" si="62"/>
        <v>-421.05000000000018</v>
      </c>
      <c r="Y78" s="2"/>
      <c r="Z78" s="7">
        <f t="shared" si="63"/>
        <v>-0.11415178486706018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938.32</v>
      </c>
      <c r="E79" s="2"/>
      <c r="F79" s="7">
        <f t="shared" si="56"/>
        <v>0</v>
      </c>
      <c r="G79" s="2"/>
      <c r="H79" s="6">
        <v>7833.54</v>
      </c>
      <c r="I79" s="2"/>
      <c r="J79" s="7">
        <f t="shared" si="57"/>
        <v>0</v>
      </c>
      <c r="K79" s="2"/>
      <c r="L79" s="6">
        <f t="shared" si="58"/>
        <v>-6895.22</v>
      </c>
      <c r="M79" s="2"/>
      <c r="N79" s="7">
        <f t="shared" si="59"/>
        <v>-0.88021762830087036</v>
      </c>
      <c r="O79" s="11"/>
      <c r="P79" s="6">
        <v>7999.61</v>
      </c>
      <c r="Q79" s="2"/>
      <c r="R79" s="7">
        <f t="shared" si="60"/>
        <v>0</v>
      </c>
      <c r="S79" s="2"/>
      <c r="T79" s="6">
        <v>14349.34</v>
      </c>
      <c r="U79" s="2"/>
      <c r="V79" s="7">
        <f t="shared" si="61"/>
        <v>0</v>
      </c>
      <c r="W79" s="2"/>
      <c r="X79" s="6">
        <f t="shared" si="62"/>
        <v>-6349.7300000000005</v>
      </c>
      <c r="Y79" s="2"/>
      <c r="Z79" s="7">
        <f t="shared" si="63"/>
        <v>-0.44251024785808968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6"/>
      <c r="E80" s="2"/>
      <c r="F80" s="7">
        <f t="shared" si="56"/>
        <v>0</v>
      </c>
      <c r="G80" s="2"/>
      <c r="H80" s="6">
        <v>880.25</v>
      </c>
      <c r="I80" s="2"/>
      <c r="J80" s="7">
        <f t="shared" si="57"/>
        <v>0</v>
      </c>
      <c r="K80" s="2"/>
      <c r="L80" s="6">
        <f t="shared" si="58"/>
        <v>-880.25</v>
      </c>
      <c r="M80" s="2"/>
      <c r="N80" s="7">
        <f t="shared" si="59"/>
        <v>-1</v>
      </c>
      <c r="O80" s="11"/>
      <c r="P80" s="6">
        <v>19.73</v>
      </c>
      <c r="Q80" s="2"/>
      <c r="R80" s="7">
        <f t="shared" si="60"/>
        <v>0</v>
      </c>
      <c r="S80" s="2"/>
      <c r="T80" s="6">
        <v>2031.1</v>
      </c>
      <c r="U80" s="2"/>
      <c r="V80" s="7">
        <f t="shared" si="61"/>
        <v>0</v>
      </c>
      <c r="W80" s="2"/>
      <c r="X80" s="6">
        <f t="shared" si="62"/>
        <v>-2011.37</v>
      </c>
      <c r="Y80" s="2"/>
      <c r="Z80" s="7">
        <f t="shared" si="63"/>
        <v>-0.99028605189306285</v>
      </c>
    </row>
    <row r="81" spans="1:26" s="24" customFormat="1" hidden="1" outlineLevel="2" x14ac:dyDescent="0.25">
      <c r="A81" s="25"/>
      <c r="B81" s="11" t="str">
        <f>CONCATENATE("          ", "6247", " - ", "STORE SUPPLIES")</f>
        <v xml:space="preserve">          6247 - STORE SUPPLIES</v>
      </c>
      <c r="C81" s="11"/>
      <c r="D81" s="6">
        <v>-241.15</v>
      </c>
      <c r="E81" s="2"/>
      <c r="F81" s="7">
        <f t="shared" si="56"/>
        <v>0</v>
      </c>
      <c r="G81" s="2"/>
      <c r="H81" s="6">
        <v>-214.04</v>
      </c>
      <c r="I81" s="2"/>
      <c r="J81" s="7">
        <f t="shared" si="57"/>
        <v>0</v>
      </c>
      <c r="K81" s="2"/>
      <c r="L81" s="6">
        <f t="shared" si="58"/>
        <v>-27.110000000000014</v>
      </c>
      <c r="M81" s="2"/>
      <c r="N81" s="7">
        <f t="shared" si="59"/>
        <v>0.12665856849187074</v>
      </c>
      <c r="O81" s="11"/>
      <c r="P81" s="6">
        <v>-259.62</v>
      </c>
      <c r="Q81" s="2"/>
      <c r="R81" s="7">
        <f t="shared" si="60"/>
        <v>0</v>
      </c>
      <c r="S81" s="2"/>
      <c r="T81" s="6">
        <v>21839.929999999997</v>
      </c>
      <c r="U81" s="2"/>
      <c r="V81" s="7">
        <f t="shared" si="61"/>
        <v>0</v>
      </c>
      <c r="W81" s="2"/>
      <c r="X81" s="6">
        <f t="shared" si="62"/>
        <v>-22099.549999999996</v>
      </c>
      <c r="Y81" s="2"/>
      <c r="Z81" s="7">
        <f t="shared" si="63"/>
        <v>-1.0118874007380061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SUM(OSRRefD22_19x_0)</f>
        <v>557.88</v>
      </c>
      <c r="E82" s="1"/>
      <c r="F82" s="5">
        <f t="shared" ref="F82:F89" si="64">IF(D$12=0,0,D82/D$12)</f>
        <v>0</v>
      </c>
      <c r="G82" s="1"/>
      <c r="H82" s="1">
        <f>SUM(OSRRefH22_19x_0)</f>
        <v>163.01</v>
      </c>
      <c r="I82" s="1"/>
      <c r="J82" s="5">
        <f t="shared" ref="J82:J89" si="65">IF(H$12=0,0,H82/H$12)</f>
        <v>0</v>
      </c>
      <c r="K82" s="1"/>
      <c r="L82" s="1">
        <f t="shared" ref="L82:L89" si="66">+D82-H82</f>
        <v>394.87</v>
      </c>
      <c r="M82" s="1"/>
      <c r="N82" s="5">
        <f t="shared" ref="N82:N89" si="67">IF(H82=0,0,L82/H82)</f>
        <v>2.4223667259677324</v>
      </c>
      <c r="O82" s="13"/>
      <c r="P82" s="1">
        <f>SUM(OSRRefP22_19x_0)</f>
        <v>3700.44</v>
      </c>
      <c r="Q82" s="1"/>
      <c r="R82" s="5">
        <f t="shared" ref="R82:R89" si="68">IF(P$12=0,0,P82/P$12)</f>
        <v>0</v>
      </c>
      <c r="S82" s="1"/>
      <c r="T82" s="1">
        <f>SUM(OSRRefT22_19x_0)</f>
        <v>2945.42</v>
      </c>
      <c r="U82" s="1"/>
      <c r="V82" s="5">
        <f t="shared" ref="V82:V89" si="69">IF(T$12=0,0,T82/T$12)</f>
        <v>0</v>
      </c>
      <c r="W82" s="1"/>
      <c r="X82" s="1">
        <f t="shared" ref="X82:X89" si="70">+P82-T82</f>
        <v>755.02</v>
      </c>
      <c r="Y82" s="1"/>
      <c r="Z82" s="5">
        <f t="shared" ref="Z82:Z89" si="71">IF(T82=0,0,X82/T82)</f>
        <v>0.25633695703838499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557.88</v>
      </c>
      <c r="E83" s="2"/>
      <c r="F83" s="7">
        <f t="shared" si="64"/>
        <v>0</v>
      </c>
      <c r="G83" s="2"/>
      <c r="H83" s="6">
        <v>163.01</v>
      </c>
      <c r="I83" s="2"/>
      <c r="J83" s="7">
        <f t="shared" si="65"/>
        <v>0</v>
      </c>
      <c r="K83" s="2"/>
      <c r="L83" s="6">
        <f t="shared" si="66"/>
        <v>394.87</v>
      </c>
      <c r="M83" s="2"/>
      <c r="N83" s="7">
        <f t="shared" si="67"/>
        <v>2.4223667259677324</v>
      </c>
      <c r="O83" s="11"/>
      <c r="P83" s="6">
        <v>3700.44</v>
      </c>
      <c r="Q83" s="2"/>
      <c r="R83" s="7">
        <f t="shared" si="68"/>
        <v>0</v>
      </c>
      <c r="S83" s="2"/>
      <c r="T83" s="6">
        <v>2945.42</v>
      </c>
      <c r="U83" s="2"/>
      <c r="V83" s="7">
        <f t="shared" si="69"/>
        <v>0</v>
      </c>
      <c r="W83" s="2"/>
      <c r="X83" s="6">
        <f t="shared" si="70"/>
        <v>755.02</v>
      </c>
      <c r="Y83" s="2"/>
      <c r="Z83" s="7">
        <f t="shared" si="71"/>
        <v>0.25633695703838499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SUM(OSRRefD22_20x_0)</f>
        <v>1212.0899999999999</v>
      </c>
      <c r="E84" s="1"/>
      <c r="F84" s="5">
        <f t="shared" si="64"/>
        <v>0</v>
      </c>
      <c r="G84" s="1"/>
      <c r="H84" s="1">
        <f>SUM(OSRRefH22_20x_0)</f>
        <v>1158.2</v>
      </c>
      <c r="I84" s="1"/>
      <c r="J84" s="5">
        <f t="shared" si="65"/>
        <v>0</v>
      </c>
      <c r="K84" s="1"/>
      <c r="L84" s="1">
        <f t="shared" si="66"/>
        <v>53.889999999999873</v>
      </c>
      <c r="M84" s="1"/>
      <c r="N84" s="5">
        <f t="shared" si="67"/>
        <v>4.652909687446026E-2</v>
      </c>
      <c r="O84" s="13"/>
      <c r="P84" s="1">
        <f>SUM(OSRRefP22_20x_0)</f>
        <v>6591.53</v>
      </c>
      <c r="Q84" s="1"/>
      <c r="R84" s="5">
        <f t="shared" si="68"/>
        <v>0</v>
      </c>
      <c r="S84" s="1"/>
      <c r="T84" s="1">
        <f>SUM(OSRRefT22_20x_0)</f>
        <v>4242.17</v>
      </c>
      <c r="U84" s="1"/>
      <c r="V84" s="5">
        <f t="shared" si="69"/>
        <v>0</v>
      </c>
      <c r="W84" s="1"/>
      <c r="X84" s="1">
        <f t="shared" si="70"/>
        <v>2349.3599999999997</v>
      </c>
      <c r="Y84" s="1"/>
      <c r="Z84" s="5">
        <f t="shared" si="71"/>
        <v>0.55381090338199546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>
        <v>1212.0899999999999</v>
      </c>
      <c r="E85" s="2"/>
      <c r="F85" s="7">
        <f t="shared" si="64"/>
        <v>0</v>
      </c>
      <c r="G85" s="2"/>
      <c r="H85" s="6">
        <v>1158.2</v>
      </c>
      <c r="I85" s="2"/>
      <c r="J85" s="7">
        <f t="shared" si="65"/>
        <v>0</v>
      </c>
      <c r="K85" s="2"/>
      <c r="L85" s="6">
        <f t="shared" si="66"/>
        <v>53.889999999999873</v>
      </c>
      <c r="M85" s="2"/>
      <c r="N85" s="7">
        <f t="shared" si="67"/>
        <v>4.652909687446026E-2</v>
      </c>
      <c r="O85" s="11"/>
      <c r="P85" s="6">
        <v>6591.53</v>
      </c>
      <c r="Q85" s="2"/>
      <c r="R85" s="7">
        <f t="shared" si="68"/>
        <v>0</v>
      </c>
      <c r="S85" s="2"/>
      <c r="T85" s="6">
        <v>4242.17</v>
      </c>
      <c r="U85" s="2"/>
      <c r="V85" s="7">
        <f t="shared" si="69"/>
        <v>0</v>
      </c>
      <c r="W85" s="2"/>
      <c r="X85" s="6">
        <f t="shared" si="70"/>
        <v>2349.3599999999997</v>
      </c>
      <c r="Y85" s="2"/>
      <c r="Z85" s="7">
        <f t="shared" si="71"/>
        <v>0.55381090338199546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SUM(OSRRefD22_21x_0)</f>
        <v>-125.31</v>
      </c>
      <c r="E86" s="1"/>
      <c r="F86" s="5">
        <f t="shared" si="64"/>
        <v>0</v>
      </c>
      <c r="G86" s="1"/>
      <c r="H86" s="1">
        <f>SUM(OSRRefH22_21x_0)</f>
        <v>0</v>
      </c>
      <c r="I86" s="1"/>
      <c r="J86" s="5">
        <f t="shared" si="65"/>
        <v>0</v>
      </c>
      <c r="K86" s="1"/>
      <c r="L86" s="1">
        <f t="shared" si="66"/>
        <v>-125.31</v>
      </c>
      <c r="M86" s="1"/>
      <c r="N86" s="5">
        <f t="shared" si="67"/>
        <v>0</v>
      </c>
      <c r="O86" s="13"/>
      <c r="P86" s="1">
        <f>SUM(OSRRefP22_21x_0)</f>
        <v>645.55999999999995</v>
      </c>
      <c r="Q86" s="1"/>
      <c r="R86" s="5">
        <f t="shared" si="68"/>
        <v>0</v>
      </c>
      <c r="S86" s="1"/>
      <c r="T86" s="1">
        <f>SUM(OSRRefT22_21x_0)</f>
        <v>846.45</v>
      </c>
      <c r="U86" s="1"/>
      <c r="V86" s="5">
        <f t="shared" si="69"/>
        <v>0</v>
      </c>
      <c r="W86" s="1"/>
      <c r="X86" s="1">
        <f t="shared" si="70"/>
        <v>-200.8900000000001</v>
      </c>
      <c r="Y86" s="1"/>
      <c r="Z86" s="5">
        <f t="shared" si="71"/>
        <v>-0.2373323882095813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0</v>
      </c>
      <c r="M87" s="2"/>
      <c r="N87" s="7">
        <f t="shared" si="67"/>
        <v>0</v>
      </c>
      <c r="O87" s="11"/>
      <c r="P87" s="6">
        <v>497.64</v>
      </c>
      <c r="Q87" s="2"/>
      <c r="R87" s="7">
        <f t="shared" si="68"/>
        <v>0</v>
      </c>
      <c r="S87" s="2"/>
      <c r="T87" s="6">
        <v>622.87</v>
      </c>
      <c r="U87" s="2"/>
      <c r="V87" s="7">
        <f t="shared" si="69"/>
        <v>0</v>
      </c>
      <c r="W87" s="2"/>
      <c r="X87" s="6">
        <f t="shared" si="70"/>
        <v>-125.23000000000002</v>
      </c>
      <c r="Y87" s="2"/>
      <c r="Z87" s="7">
        <f t="shared" si="71"/>
        <v>-0.20105318926902888</v>
      </c>
    </row>
    <row r="88" spans="1:26" s="24" customFormat="1" hidden="1" outlineLevel="2" x14ac:dyDescent="0.25">
      <c r="A88" s="25"/>
      <c r="B88" s="11" t="str">
        <f>CONCATENATE("          ", "6294", " - ", "TRAVEL OPERATIONAL")</f>
        <v xml:space="preserve">          6294 - TRAVEL OPERATIONAL</v>
      </c>
      <c r="C88" s="11"/>
      <c r="D88" s="6">
        <v>-160</v>
      </c>
      <c r="E88" s="2"/>
      <c r="F88" s="7">
        <f t="shared" si="64"/>
        <v>0</v>
      </c>
      <c r="G88" s="2"/>
      <c r="H88" s="6"/>
      <c r="I88" s="2"/>
      <c r="J88" s="7">
        <f t="shared" si="65"/>
        <v>0</v>
      </c>
      <c r="K88" s="2"/>
      <c r="L88" s="6">
        <f t="shared" si="66"/>
        <v>-160</v>
      </c>
      <c r="M88" s="2"/>
      <c r="N88" s="7">
        <f t="shared" si="67"/>
        <v>0</v>
      </c>
      <c r="O88" s="11"/>
      <c r="P88" s="6">
        <v>-144.33000000000001</v>
      </c>
      <c r="Q88" s="2"/>
      <c r="R88" s="7">
        <f t="shared" si="68"/>
        <v>0</v>
      </c>
      <c r="S88" s="2"/>
      <c r="T88" s="6"/>
      <c r="U88" s="2"/>
      <c r="V88" s="7">
        <f t="shared" si="69"/>
        <v>0</v>
      </c>
      <c r="W88" s="2"/>
      <c r="X88" s="6">
        <f t="shared" si="70"/>
        <v>-144.33000000000001</v>
      </c>
      <c r="Y88" s="2"/>
      <c r="Z88" s="7">
        <f t="shared" si="71"/>
        <v>0</v>
      </c>
    </row>
    <row r="89" spans="1:26" s="24" customFormat="1" hidden="1" outlineLevel="2" x14ac:dyDescent="0.25">
      <c r="A89" s="25"/>
      <c r="B89" s="11" t="str">
        <f>CONCATENATE("          ", "6298", " - ", "VEHICLE MILEAGE")</f>
        <v xml:space="preserve">          6298 - VEHICLE MILEAGE</v>
      </c>
      <c r="C89" s="11"/>
      <c r="D89" s="6">
        <v>34.69</v>
      </c>
      <c r="E89" s="2"/>
      <c r="F89" s="7">
        <f t="shared" si="64"/>
        <v>0</v>
      </c>
      <c r="G89" s="2"/>
      <c r="H89" s="6"/>
      <c r="I89" s="2"/>
      <c r="J89" s="7">
        <f t="shared" si="65"/>
        <v>0</v>
      </c>
      <c r="K89" s="2"/>
      <c r="L89" s="6">
        <f t="shared" si="66"/>
        <v>34.69</v>
      </c>
      <c r="M89" s="2"/>
      <c r="N89" s="7">
        <f t="shared" si="67"/>
        <v>0</v>
      </c>
      <c r="O89" s="11"/>
      <c r="P89" s="6">
        <v>292.25</v>
      </c>
      <c r="Q89" s="2"/>
      <c r="R89" s="7">
        <f t="shared" si="68"/>
        <v>0</v>
      </c>
      <c r="S89" s="2"/>
      <c r="T89" s="6">
        <v>223.58</v>
      </c>
      <c r="U89" s="2"/>
      <c r="V89" s="7">
        <f t="shared" si="69"/>
        <v>0</v>
      </c>
      <c r="W89" s="2"/>
      <c r="X89" s="6">
        <f t="shared" si="70"/>
        <v>68.669999999999987</v>
      </c>
      <c r="Y89" s="2"/>
      <c r="Z89" s="7">
        <f t="shared" si="71"/>
        <v>0.30713838447088282</v>
      </c>
    </row>
    <row r="90" spans="1:26" s="26" customFormat="1" outlineLevel="1" collapsed="1" x14ac:dyDescent="0.25">
      <c r="A90" s="27"/>
      <c r="B90" s="13" t="str">
        <f>CONCATENATE("     ","Utilities                                         ")</f>
        <v xml:space="preserve">     Utilities                                         </v>
      </c>
      <c r="C90" s="13"/>
      <c r="D90" s="1">
        <f>SUM(OSRRefD22_22x_0)</f>
        <v>6135</v>
      </c>
      <c r="E90" s="1"/>
      <c r="F90" s="5">
        <f t="shared" ref="F90:F91" si="72">IF(D$12=0,0,D90/D$12)</f>
        <v>0</v>
      </c>
      <c r="G90" s="1"/>
      <c r="H90" s="1">
        <f>SUM(OSRRefH22_22x_0)</f>
        <v>0</v>
      </c>
      <c r="I90" s="1"/>
      <c r="J90" s="5">
        <f t="shared" ref="J90:J91" si="73">IF(H$12=0,0,H90/H$12)</f>
        <v>0</v>
      </c>
      <c r="K90" s="1"/>
      <c r="L90" s="1">
        <f t="shared" ref="L90:L91" si="74">+D90-H90</f>
        <v>6135</v>
      </c>
      <c r="M90" s="1"/>
      <c r="N90" s="5">
        <f t="shared" ref="N90:N91" si="75">IF(H90=0,0,L90/H90)</f>
        <v>0</v>
      </c>
      <c r="O90" s="13"/>
      <c r="P90" s="1">
        <f>SUM(OSRRefP22_22x_0)</f>
        <v>37872</v>
      </c>
      <c r="Q90" s="1"/>
      <c r="R90" s="5">
        <f t="shared" ref="R90:R91" si="76">IF(P$12=0,0,P90/P$12)</f>
        <v>0</v>
      </c>
      <c r="S90" s="1"/>
      <c r="T90" s="1">
        <f>SUM(OSRRefT22_22x_0)</f>
        <v>26198</v>
      </c>
      <c r="U90" s="1"/>
      <c r="V90" s="5">
        <f t="shared" ref="V90:V91" si="77">IF(T$12=0,0,T90/T$12)</f>
        <v>0</v>
      </c>
      <c r="W90" s="1"/>
      <c r="X90" s="1">
        <f t="shared" ref="X90:X91" si="78">+P90-T90</f>
        <v>11674</v>
      </c>
      <c r="Y90" s="1"/>
      <c r="Z90" s="5">
        <f t="shared" ref="Z90:Z91" si="79">IF(T90=0,0,X90/T90)</f>
        <v>0.44560653484998852</v>
      </c>
    </row>
    <row r="91" spans="1:26" s="24" customFormat="1" hidden="1" outlineLevel="2" x14ac:dyDescent="0.25">
      <c r="A91" s="25"/>
      <c r="B91" s="11" t="str">
        <f>CONCATENATE("          ", "6274", " - ", "UTILITIES")</f>
        <v xml:space="preserve">          6274 - UTILITIES</v>
      </c>
      <c r="C91" s="11"/>
      <c r="D91" s="6">
        <v>6135</v>
      </c>
      <c r="E91" s="2"/>
      <c r="F91" s="7">
        <f t="shared" si="72"/>
        <v>0</v>
      </c>
      <c r="G91" s="2"/>
      <c r="H91" s="6"/>
      <c r="I91" s="2"/>
      <c r="J91" s="7">
        <f t="shared" si="73"/>
        <v>0</v>
      </c>
      <c r="K91" s="2"/>
      <c r="L91" s="6">
        <f t="shared" si="74"/>
        <v>6135</v>
      </c>
      <c r="M91" s="2"/>
      <c r="N91" s="7">
        <f t="shared" si="75"/>
        <v>0</v>
      </c>
      <c r="O91" s="11"/>
      <c r="P91" s="6">
        <v>37872</v>
      </c>
      <c r="Q91" s="2"/>
      <c r="R91" s="7">
        <f t="shared" si="76"/>
        <v>0</v>
      </c>
      <c r="S91" s="2"/>
      <c r="T91" s="6">
        <v>26198</v>
      </c>
      <c r="U91" s="2"/>
      <c r="V91" s="7">
        <f t="shared" si="77"/>
        <v>0</v>
      </c>
      <c r="W91" s="2"/>
      <c r="X91" s="6">
        <f t="shared" si="78"/>
        <v>11674</v>
      </c>
      <c r="Y91" s="2"/>
      <c r="Z91" s="7">
        <f t="shared" si="79"/>
        <v>0.44560653484998852</v>
      </c>
    </row>
    <row r="92" spans="1:26" s="59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9" t="s">
        <v>0</v>
      </c>
      <c r="C93" s="10"/>
      <c r="D93" s="4">
        <f>SUM(OSRRefD25x_0)</f>
        <v>63692.43</v>
      </c>
      <c r="E93" s="4"/>
      <c r="F93" s="12">
        <f t="shared" ref="F93:F96" si="80">IF(D$12=0,0,D93/D$12)</f>
        <v>0</v>
      </c>
      <c r="G93" s="4"/>
      <c r="H93" s="4">
        <f>SUM(OSRRefH25x_0)</f>
        <v>12584.6</v>
      </c>
      <c r="I93" s="4"/>
      <c r="J93" s="12">
        <f t="shared" ref="J93:J96" si="81">IF(H$12=0,0,H93/H$12)</f>
        <v>0</v>
      </c>
      <c r="K93" s="4"/>
      <c r="L93" s="4">
        <f t="shared" ref="L93:L96" si="82">+D93-H93</f>
        <v>51107.83</v>
      </c>
      <c r="M93" s="4"/>
      <c r="N93" s="12">
        <f t="shared" ref="N93:N96" si="83">IF(H93=0,0,L93/H93)</f>
        <v>4.0611406004163824</v>
      </c>
      <c r="O93" s="10"/>
      <c r="P93" s="4">
        <f>SUM(OSRRefP25x_0)</f>
        <v>160863.63</v>
      </c>
      <c r="Q93" s="4"/>
      <c r="R93" s="12">
        <f t="shared" ref="R93:R96" si="84">IF(P$12=0,0,P93/P$12)</f>
        <v>0</v>
      </c>
      <c r="S93" s="4"/>
      <c r="T93" s="4">
        <f>SUM(OSRRefT25x_0)</f>
        <v>230571.03</v>
      </c>
      <c r="U93" s="4"/>
      <c r="V93" s="12">
        <f t="shared" ref="V93:V96" si="85">IF(T$12=0,0,T93/T$12)</f>
        <v>0</v>
      </c>
      <c r="W93" s="4"/>
      <c r="X93" s="4">
        <f t="shared" ref="X93:X96" si="86">+P93-T93</f>
        <v>-69707.399999999994</v>
      </c>
      <c r="Y93" s="4"/>
      <c r="Z93" s="12">
        <f t="shared" ref="Z93:Z96" si="87">IF(T93=0,0,X93/T93)</f>
        <v>-0.30232505792249786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--65231.56</f>
        <v>65231.56</v>
      </c>
      <c r="E94" s="2"/>
      <c r="F94" s="19">
        <f t="shared" si="80"/>
        <v>0</v>
      </c>
      <c r="G94" s="2"/>
      <c r="H94" s="2">
        <f>--4192.1</f>
        <v>4192.1000000000004</v>
      </c>
      <c r="I94" s="2"/>
      <c r="J94" s="19">
        <f t="shared" si="81"/>
        <v>0</v>
      </c>
      <c r="K94" s="2"/>
      <c r="L94" s="2">
        <f t="shared" si="82"/>
        <v>61039.46</v>
      </c>
      <c r="M94" s="2"/>
      <c r="N94" s="19">
        <f t="shared" si="83"/>
        <v>14.560592543116814</v>
      </c>
      <c r="O94" s="11"/>
      <c r="P94" s="2">
        <f>--162136.45</f>
        <v>162136.45000000001</v>
      </c>
      <c r="Q94" s="2"/>
      <c r="R94" s="19">
        <f t="shared" si="84"/>
        <v>0</v>
      </c>
      <c r="S94" s="2"/>
      <c r="T94" s="2">
        <f>--221528.76</f>
        <v>221528.76</v>
      </c>
      <c r="U94" s="2"/>
      <c r="V94" s="19">
        <f t="shared" si="85"/>
        <v>0</v>
      </c>
      <c r="W94" s="2"/>
      <c r="X94" s="2">
        <f t="shared" si="86"/>
        <v>-59392.31</v>
      </c>
      <c r="Y94" s="2"/>
      <c r="Z94" s="19">
        <f t="shared" si="87"/>
        <v>-0.26810202882912354</v>
      </c>
    </row>
    <row r="95" spans="1:26" s="24" customFormat="1" hidden="1" outlineLevel="1" x14ac:dyDescent="0.25">
      <c r="A95" s="44"/>
      <c r="B95" s="11" t="str">
        <f>CONCATENATE("          ", "9151", " - ", "MISC. INCOME")</f>
        <v xml:space="preserve">          9151 - MISC. INCOME</v>
      </c>
      <c r="C95" s="11"/>
      <c r="D95" s="2">
        <f>-1539.13</f>
        <v>-1539.13</v>
      </c>
      <c r="E95" s="2"/>
      <c r="F95" s="19">
        <f t="shared" si="80"/>
        <v>0</v>
      </c>
      <c r="G95" s="2"/>
      <c r="H95" s="2">
        <f>--8392.5</f>
        <v>8392.5</v>
      </c>
      <c r="I95" s="2"/>
      <c r="J95" s="19">
        <f t="shared" si="81"/>
        <v>0</v>
      </c>
      <c r="K95" s="2"/>
      <c r="L95" s="2">
        <f t="shared" si="82"/>
        <v>-9931.630000000001</v>
      </c>
      <c r="M95" s="2"/>
      <c r="N95" s="19">
        <f t="shared" si="83"/>
        <v>-1.183393506106643</v>
      </c>
      <c r="O95" s="11"/>
      <c r="P95" s="2">
        <f>-1722.82</f>
        <v>-1722.82</v>
      </c>
      <c r="Q95" s="2"/>
      <c r="R95" s="19">
        <f t="shared" si="84"/>
        <v>0</v>
      </c>
      <c r="S95" s="2"/>
      <c r="T95" s="2">
        <f>--9042.27</f>
        <v>9042.27</v>
      </c>
      <c r="U95" s="2"/>
      <c r="V95" s="19">
        <f t="shared" si="85"/>
        <v>0</v>
      </c>
      <c r="W95" s="2"/>
      <c r="X95" s="2">
        <f t="shared" si="86"/>
        <v>-10765.09</v>
      </c>
      <c r="Y95" s="2"/>
      <c r="Z95" s="19">
        <f t="shared" si="87"/>
        <v>-1.1905295904678803</v>
      </c>
    </row>
    <row r="96" spans="1:26" s="24" customFormat="1" hidden="1" outlineLevel="1" x14ac:dyDescent="0.25">
      <c r="A96" s="44"/>
      <c r="B96" s="11" t="str">
        <f>CONCATENATE("          ", "9153", " - ", "MISC. INCOME")</f>
        <v xml:space="preserve">          9153 - MISC. INCOME</v>
      </c>
      <c r="C96" s="11"/>
      <c r="D96" s="2">
        <f>0</f>
        <v>0</v>
      </c>
      <c r="E96" s="2"/>
      <c r="F96" s="19">
        <f t="shared" si="80"/>
        <v>0</v>
      </c>
      <c r="G96" s="2"/>
      <c r="H96" s="2">
        <f>0</f>
        <v>0</v>
      </c>
      <c r="I96" s="2"/>
      <c r="J96" s="19">
        <f t="shared" si="81"/>
        <v>0</v>
      </c>
      <c r="K96" s="2"/>
      <c r="L96" s="2">
        <f t="shared" si="82"/>
        <v>0</v>
      </c>
      <c r="M96" s="2"/>
      <c r="N96" s="19">
        <f t="shared" si="83"/>
        <v>0</v>
      </c>
      <c r="O96" s="11"/>
      <c r="P96" s="2">
        <f>--450</f>
        <v>450</v>
      </c>
      <c r="Q96" s="2"/>
      <c r="R96" s="19">
        <f t="shared" si="84"/>
        <v>0</v>
      </c>
      <c r="S96" s="2"/>
      <c r="T96" s="2">
        <f>0</f>
        <v>0</v>
      </c>
      <c r="U96" s="2"/>
      <c r="V96" s="19">
        <f t="shared" si="85"/>
        <v>0</v>
      </c>
      <c r="W96" s="2"/>
      <c r="X96" s="2">
        <f t="shared" si="86"/>
        <v>450</v>
      </c>
      <c r="Y96" s="2"/>
      <c r="Z96" s="19">
        <f t="shared" si="87"/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8" t="s">
        <v>3</v>
      </c>
      <c r="C98" s="28"/>
      <c r="D98" s="21">
        <f>+D16-D18+D93</f>
        <v>-98501.170000000013</v>
      </c>
      <c r="E98" s="14"/>
      <c r="F98" s="22">
        <f>IF(D$12=0,0,D98/D$12)</f>
        <v>0</v>
      </c>
      <c r="G98" s="14"/>
      <c r="H98" s="21">
        <f>+H16-H18+H93</f>
        <v>-162230.23999999996</v>
      </c>
      <c r="I98" s="14"/>
      <c r="J98" s="22">
        <f>IF(H$12=0,0,H98/H$12)</f>
        <v>0</v>
      </c>
      <c r="K98" s="16"/>
      <c r="L98" s="21">
        <f>+D98-H98</f>
        <v>63729.069999999949</v>
      </c>
      <c r="M98" s="16"/>
      <c r="N98" s="22">
        <f>IF(H98=0,0,L98/H98)</f>
        <v>-0.39283101596841602</v>
      </c>
      <c r="O98" s="29"/>
      <c r="P98" s="21">
        <f>+P16-P18+P93</f>
        <v>-780847.96</v>
      </c>
      <c r="Q98" s="14"/>
      <c r="R98" s="22">
        <f>IF(P$12=0,0,P98/P$12)</f>
        <v>0</v>
      </c>
      <c r="S98" s="14"/>
      <c r="T98" s="21">
        <f>+T16-T18+T93</f>
        <v>-773497.69</v>
      </c>
      <c r="U98" s="14"/>
      <c r="V98" s="22">
        <f>IF(T$12=0,0,T98/T$12)</f>
        <v>0</v>
      </c>
      <c r="W98" s="16"/>
      <c r="X98" s="21">
        <f>+P98-T98</f>
        <v>-7350.2700000000186</v>
      </c>
      <c r="Y98" s="16"/>
      <c r="Z98" s="22">
        <f>IF(T98=0,0,X98/T98)</f>
        <v>9.5026398850654864E-3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1"/>
      <c r="B100" s="10" t="s">
        <v>13</v>
      </c>
      <c r="C100" s="10"/>
      <c r="D100" s="4"/>
      <c r="E100" s="4"/>
      <c r="F100" s="12">
        <f>IF(D$12=0,0,D100/D$12)</f>
        <v>0</v>
      </c>
      <c r="G100" s="4"/>
      <c r="H100" s="4"/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/>
      <c r="Q100" s="4"/>
      <c r="R100" s="12">
        <f>IF(P$12=0,0,P100/P$12)</f>
        <v>0</v>
      </c>
      <c r="S100" s="4"/>
      <c r="T100" s="4"/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4</v>
      </c>
      <c r="C102" s="28"/>
      <c r="D102" s="34">
        <f>+D98-D100</f>
        <v>-98501.170000000013</v>
      </c>
      <c r="E102" s="14"/>
      <c r="F102" s="31">
        <f>IF(D$12=0,0,D102/D$12)</f>
        <v>0</v>
      </c>
      <c r="G102" s="14"/>
      <c r="H102" s="34">
        <f>+H98-H100</f>
        <v>-162230.23999999996</v>
      </c>
      <c r="I102" s="14"/>
      <c r="J102" s="31">
        <f>IF(H$12=0,0,H102/H$12)</f>
        <v>0</v>
      </c>
      <c r="K102" s="16"/>
      <c r="L102" s="34">
        <f>D102-H102</f>
        <v>63729.069999999949</v>
      </c>
      <c r="M102" s="16"/>
      <c r="N102" s="31">
        <f>IF(H102=0,0,L102/H102)</f>
        <v>-0.39283101596841602</v>
      </c>
      <c r="O102" s="29"/>
      <c r="P102" s="34">
        <f>+P98-P100</f>
        <v>-780847.96</v>
      </c>
      <c r="Q102" s="14"/>
      <c r="R102" s="31">
        <f>IF(P$12=0,0,P102/P$12)</f>
        <v>0</v>
      </c>
      <c r="S102" s="14"/>
      <c r="T102" s="34">
        <f>+T98-T100</f>
        <v>-773497.69</v>
      </c>
      <c r="U102" s="14"/>
      <c r="V102" s="31">
        <f>IF(T$12=0,0,T102/T$12)</f>
        <v>0</v>
      </c>
      <c r="W102" s="16"/>
      <c r="X102" s="34">
        <f>P102-T102</f>
        <v>-7350.2700000000186</v>
      </c>
      <c r="Y102" s="16"/>
      <c r="Z102" s="31">
        <f>IF(T102=0,0,X102/T102)</f>
        <v>9.5026398850654864E-3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5</v>
      </c>
      <c r="C105" s="28"/>
      <c r="D105" s="30">
        <f>SUM(D102:D104)</f>
        <v>-98501.170000000013</v>
      </c>
      <c r="E105" s="14"/>
      <c r="F105" s="33">
        <f>IF(D$12=0,0,D105/D$12)</f>
        <v>0</v>
      </c>
      <c r="G105" s="14"/>
      <c r="H105" s="30">
        <f>SUM(H102:H104)</f>
        <v>-162230.23999999996</v>
      </c>
      <c r="I105" s="14"/>
      <c r="J105" s="33">
        <f>IF(H$12=0,0,H105/H$12)</f>
        <v>0</v>
      </c>
      <c r="K105" s="16"/>
      <c r="L105" s="30">
        <f>+D105-H105</f>
        <v>63729.069999999949</v>
      </c>
      <c r="M105" s="16"/>
      <c r="N105" s="33">
        <f>IF(H105=0,0,L105/H105)</f>
        <v>-0.39283101596841602</v>
      </c>
      <c r="O105" s="29"/>
      <c r="P105" s="30">
        <f>SUM(P102:P104)</f>
        <v>-780847.96</v>
      </c>
      <c r="Q105" s="14"/>
      <c r="R105" s="33">
        <f>IF(P$12=0,0,P105/P$12)</f>
        <v>0</v>
      </c>
      <c r="S105" s="14"/>
      <c r="T105" s="30">
        <f>SUM(T102:T104)</f>
        <v>-773497.69</v>
      </c>
      <c r="U105" s="14"/>
      <c r="V105" s="33">
        <f>IF(T$12=0,0,T105/T$12)</f>
        <v>0</v>
      </c>
      <c r="W105" s="16"/>
      <c r="X105" s="30">
        <f>+P105-T105</f>
        <v>-7350.2700000000186</v>
      </c>
      <c r="Y105" s="16"/>
      <c r="Z105" s="33">
        <f>IF(T105=0,0,X105/T105)</f>
        <v>9.5026398850654864E-3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1">
        <v>43879.553703703707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5" t="s">
        <v>313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8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","306", " - ", "Warehouse")</f>
        <v>Department 306 - Warehouse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91836.680000000008</v>
      </c>
      <c r="E18" s="20"/>
      <c r="F18" s="32">
        <f t="shared" ref="F18:F28" si="0">IF(D$12=0,0,D18/D$12)</f>
        <v>0</v>
      </c>
      <c r="G18" s="20"/>
      <c r="H18" s="20">
        <f>SUM(OSRRefH22x_0)</f>
        <v>81611.49000000002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10225.189999999988</v>
      </c>
      <c r="M18" s="4"/>
      <c r="N18" s="32">
        <f t="shared" ref="N18:N28" si="3">IF(H18=0,0,L18/H18)</f>
        <v>0.12529105889379039</v>
      </c>
      <c r="O18" s="10"/>
      <c r="P18" s="20">
        <f>SUM(OSRRefP22x_0)</f>
        <v>342972.46</v>
      </c>
      <c r="Q18" s="20"/>
      <c r="R18" s="32">
        <f t="shared" ref="R18:R28" si="4">IF(P$12=0,0,P18/P$12)</f>
        <v>0</v>
      </c>
      <c r="S18" s="20"/>
      <c r="T18" s="20">
        <f>SUM(OSRRefT22x_0)</f>
        <v>350888.31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-7915.8499999999767</v>
      </c>
      <c r="Y18" s="4"/>
      <c r="Z18" s="32">
        <f t="shared" ref="Z18:Z28" si="7">IF(T18=0,0,X18/T18)</f>
        <v>-2.2559457737420709E-2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6585.2</v>
      </c>
      <c r="E19" s="1"/>
      <c r="F19" s="5">
        <f t="shared" si="0"/>
        <v>0</v>
      </c>
      <c r="G19" s="1"/>
      <c r="H19" s="1">
        <f>SUM(OSRRefH22_0x_0)</f>
        <v>8850.67</v>
      </c>
      <c r="I19" s="1"/>
      <c r="J19" s="5">
        <f t="shared" si="1"/>
        <v>0</v>
      </c>
      <c r="K19" s="1"/>
      <c r="L19" s="1">
        <f t="shared" si="2"/>
        <v>-2265.4700000000003</v>
      </c>
      <c r="M19" s="1"/>
      <c r="N19" s="5">
        <f t="shared" si="3"/>
        <v>-0.25596593252262262</v>
      </c>
      <c r="O19" s="13"/>
      <c r="P19" s="1">
        <f>SUM(OSRRefP22_0x_0)</f>
        <v>44212.380000000005</v>
      </c>
      <c r="Q19" s="1"/>
      <c r="R19" s="5">
        <f t="shared" si="4"/>
        <v>0</v>
      </c>
      <c r="S19" s="1"/>
      <c r="T19" s="1">
        <f>SUM(OSRRefT22_0x_0)</f>
        <v>48211.06</v>
      </c>
      <c r="U19" s="1"/>
      <c r="V19" s="5">
        <f t="shared" si="5"/>
        <v>0</v>
      </c>
      <c r="W19" s="1"/>
      <c r="X19" s="1">
        <f t="shared" si="6"/>
        <v>-3998.679999999993</v>
      </c>
      <c r="Y19" s="1"/>
      <c r="Z19" s="5">
        <f t="shared" si="7"/>
        <v>-8.2941134254256046E-2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979.64</v>
      </c>
      <c r="E20" s="2"/>
      <c r="F20" s="7">
        <f t="shared" si="0"/>
        <v>0</v>
      </c>
      <c r="G20" s="2"/>
      <c r="H20" s="6">
        <v>1225.97</v>
      </c>
      <c r="I20" s="2"/>
      <c r="J20" s="7">
        <f t="shared" si="1"/>
        <v>0</v>
      </c>
      <c r="K20" s="2"/>
      <c r="L20" s="6">
        <f t="shared" si="2"/>
        <v>-246.33000000000004</v>
      </c>
      <c r="M20" s="2"/>
      <c r="N20" s="7">
        <f t="shared" si="3"/>
        <v>-0.20092661321239511</v>
      </c>
      <c r="O20" s="11"/>
      <c r="P20" s="6">
        <v>10925.42</v>
      </c>
      <c r="Q20" s="2"/>
      <c r="R20" s="7">
        <f t="shared" si="4"/>
        <v>0</v>
      </c>
      <c r="S20" s="2"/>
      <c r="T20" s="6">
        <v>12618.35</v>
      </c>
      <c r="U20" s="2"/>
      <c r="V20" s="7">
        <f t="shared" si="5"/>
        <v>0</v>
      </c>
      <c r="W20" s="2"/>
      <c r="X20" s="6">
        <f t="shared" si="6"/>
        <v>-1692.9300000000003</v>
      </c>
      <c r="Y20" s="2"/>
      <c r="Z20" s="7">
        <f t="shared" si="7"/>
        <v>-0.13416413397948229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1343.18</v>
      </c>
      <c r="E21" s="2"/>
      <c r="F21" s="7">
        <f t="shared" si="0"/>
        <v>0</v>
      </c>
      <c r="G21" s="2"/>
      <c r="H21" s="6">
        <v>703.04</v>
      </c>
      <c r="I21" s="2"/>
      <c r="J21" s="7">
        <f t="shared" si="1"/>
        <v>0</v>
      </c>
      <c r="K21" s="2"/>
      <c r="L21" s="6">
        <f t="shared" si="2"/>
        <v>640.1400000000001</v>
      </c>
      <c r="M21" s="2"/>
      <c r="N21" s="7">
        <f t="shared" si="3"/>
        <v>0.91053140646335928</v>
      </c>
      <c r="O21" s="11"/>
      <c r="P21" s="6">
        <v>4807.58</v>
      </c>
      <c r="Q21" s="2"/>
      <c r="R21" s="7">
        <f t="shared" si="4"/>
        <v>0</v>
      </c>
      <c r="S21" s="2"/>
      <c r="T21" s="6">
        <v>3502.69</v>
      </c>
      <c r="U21" s="2"/>
      <c r="V21" s="7">
        <f t="shared" si="5"/>
        <v>0</v>
      </c>
      <c r="W21" s="2"/>
      <c r="X21" s="6">
        <f t="shared" si="6"/>
        <v>1304.8899999999999</v>
      </c>
      <c r="Y21" s="2"/>
      <c r="Z21" s="7">
        <f t="shared" si="7"/>
        <v>0.37253939115365614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2064.35</v>
      </c>
      <c r="E22" s="2"/>
      <c r="F22" s="7">
        <f t="shared" si="0"/>
        <v>0</v>
      </c>
      <c r="G22" s="2"/>
      <c r="H22" s="6">
        <v>1949.27</v>
      </c>
      <c r="I22" s="2"/>
      <c r="J22" s="7">
        <f t="shared" si="1"/>
        <v>0</v>
      </c>
      <c r="K22" s="2"/>
      <c r="L22" s="6">
        <f t="shared" si="2"/>
        <v>115.07999999999993</v>
      </c>
      <c r="M22" s="2"/>
      <c r="N22" s="7">
        <f t="shared" si="3"/>
        <v>5.903748582802789E-2</v>
      </c>
      <c r="O22" s="11"/>
      <c r="P22" s="6">
        <v>13759.97</v>
      </c>
      <c r="Q22" s="2"/>
      <c r="R22" s="7">
        <f t="shared" si="4"/>
        <v>0</v>
      </c>
      <c r="S22" s="2"/>
      <c r="T22" s="6">
        <v>13261.24</v>
      </c>
      <c r="U22" s="2"/>
      <c r="V22" s="7">
        <f t="shared" si="5"/>
        <v>0</v>
      </c>
      <c r="W22" s="2"/>
      <c r="X22" s="6">
        <f t="shared" si="6"/>
        <v>498.72999999999956</v>
      </c>
      <c r="Y22" s="2"/>
      <c r="Z22" s="7">
        <f t="shared" si="7"/>
        <v>3.7608096980372846E-2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181.44</v>
      </c>
      <c r="E23" s="2"/>
      <c r="F23" s="7">
        <f t="shared" si="0"/>
        <v>0</v>
      </c>
      <c r="G23" s="2"/>
      <c r="H23" s="6">
        <v>153.61000000000001</v>
      </c>
      <c r="I23" s="2"/>
      <c r="J23" s="7">
        <f t="shared" si="1"/>
        <v>0</v>
      </c>
      <c r="K23" s="2"/>
      <c r="L23" s="6">
        <f t="shared" si="2"/>
        <v>27.829999999999984</v>
      </c>
      <c r="M23" s="2"/>
      <c r="N23" s="7">
        <f t="shared" si="3"/>
        <v>0.18117310070958911</v>
      </c>
      <c r="O23" s="11"/>
      <c r="P23" s="6">
        <v>751.38</v>
      </c>
      <c r="Q23" s="2"/>
      <c r="R23" s="7">
        <f t="shared" si="4"/>
        <v>0</v>
      </c>
      <c r="S23" s="2"/>
      <c r="T23" s="6">
        <v>785.15</v>
      </c>
      <c r="U23" s="2"/>
      <c r="V23" s="7">
        <f t="shared" si="5"/>
        <v>0</v>
      </c>
      <c r="W23" s="2"/>
      <c r="X23" s="6">
        <f t="shared" si="6"/>
        <v>-33.769999999999982</v>
      </c>
      <c r="Y23" s="2"/>
      <c r="Z23" s="7">
        <f t="shared" si="7"/>
        <v>-4.3010889638922474E-2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1069.6500000000001</v>
      </c>
      <c r="E24" s="2"/>
      <c r="F24" s="7">
        <f t="shared" si="0"/>
        <v>0</v>
      </c>
      <c r="G24" s="2"/>
      <c r="H24" s="6">
        <v>953.86</v>
      </c>
      <c r="I24" s="2"/>
      <c r="J24" s="7">
        <f t="shared" si="1"/>
        <v>0</v>
      </c>
      <c r="K24" s="2"/>
      <c r="L24" s="6">
        <f t="shared" si="2"/>
        <v>115.79000000000008</v>
      </c>
      <c r="M24" s="2"/>
      <c r="N24" s="7">
        <f t="shared" si="3"/>
        <v>0.1213909798083577</v>
      </c>
      <c r="O24" s="11"/>
      <c r="P24" s="6">
        <v>5498.07</v>
      </c>
      <c r="Q24" s="2"/>
      <c r="R24" s="7">
        <f t="shared" si="4"/>
        <v>0</v>
      </c>
      <c r="S24" s="2"/>
      <c r="T24" s="6">
        <v>5264.38</v>
      </c>
      <c r="U24" s="2"/>
      <c r="V24" s="7">
        <f t="shared" si="5"/>
        <v>0</v>
      </c>
      <c r="W24" s="2"/>
      <c r="X24" s="6">
        <f t="shared" si="6"/>
        <v>233.6899999999996</v>
      </c>
      <c r="Y24" s="2"/>
      <c r="Z24" s="7">
        <f t="shared" si="7"/>
        <v>4.4390792457991178E-2</v>
      </c>
    </row>
    <row r="25" spans="1:26" s="24" customFormat="1" hidden="1" outlineLevel="2" x14ac:dyDescent="0.25">
      <c r="A25" s="25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302.08</v>
      </c>
      <c r="U25" s="2"/>
      <c r="V25" s="7">
        <f t="shared" si="5"/>
        <v>0</v>
      </c>
      <c r="W25" s="2"/>
      <c r="X25" s="6">
        <f t="shared" si="6"/>
        <v>-302.08</v>
      </c>
      <c r="Y25" s="2"/>
      <c r="Z25" s="7">
        <f t="shared" si="7"/>
        <v>-1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208</v>
      </c>
      <c r="E26" s="2"/>
      <c r="F26" s="7">
        <f t="shared" si="0"/>
        <v>0</v>
      </c>
      <c r="G26" s="2"/>
      <c r="H26" s="6">
        <v>1471.66</v>
      </c>
      <c r="I26" s="2"/>
      <c r="J26" s="7">
        <f t="shared" si="1"/>
        <v>0</v>
      </c>
      <c r="K26" s="2"/>
      <c r="L26" s="6">
        <f t="shared" si="2"/>
        <v>-1263.6600000000001</v>
      </c>
      <c r="M26" s="2"/>
      <c r="N26" s="7">
        <f t="shared" si="3"/>
        <v>-0.85866300640093496</v>
      </c>
      <c r="O26" s="11"/>
      <c r="P26" s="6">
        <v>2514.4299999999998</v>
      </c>
      <c r="Q26" s="2"/>
      <c r="R26" s="7">
        <f t="shared" si="4"/>
        <v>0</v>
      </c>
      <c r="S26" s="2"/>
      <c r="T26" s="6">
        <v>5227.45</v>
      </c>
      <c r="U26" s="2"/>
      <c r="V26" s="7">
        <f t="shared" si="5"/>
        <v>0</v>
      </c>
      <c r="W26" s="2"/>
      <c r="X26" s="6">
        <f t="shared" si="6"/>
        <v>-2713.02</v>
      </c>
      <c r="Y26" s="2"/>
      <c r="Z26" s="7">
        <f t="shared" si="7"/>
        <v>-0.51899492104180811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389.2</v>
      </c>
      <c r="E27" s="2"/>
      <c r="F27" s="7">
        <f t="shared" si="0"/>
        <v>0</v>
      </c>
      <c r="G27" s="2"/>
      <c r="H27" s="6">
        <v>2095.63</v>
      </c>
      <c r="I27" s="2"/>
      <c r="J27" s="7">
        <f t="shared" si="1"/>
        <v>0</v>
      </c>
      <c r="K27" s="2"/>
      <c r="L27" s="6">
        <f t="shared" si="2"/>
        <v>-1706.43</v>
      </c>
      <c r="M27" s="2"/>
      <c r="N27" s="7">
        <f t="shared" si="3"/>
        <v>-0.8142801925912494</v>
      </c>
      <c r="O27" s="11"/>
      <c r="P27" s="6">
        <v>3701.69</v>
      </c>
      <c r="Q27" s="2"/>
      <c r="R27" s="7">
        <f t="shared" si="4"/>
        <v>0</v>
      </c>
      <c r="S27" s="2"/>
      <c r="T27" s="6">
        <v>5563.32</v>
      </c>
      <c r="U27" s="2"/>
      <c r="V27" s="7">
        <f t="shared" si="5"/>
        <v>0</v>
      </c>
      <c r="W27" s="2"/>
      <c r="X27" s="6">
        <f t="shared" si="6"/>
        <v>-1861.6299999999997</v>
      </c>
      <c r="Y27" s="2"/>
      <c r="Z27" s="7">
        <f t="shared" si="7"/>
        <v>-0.3346257270838276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349.74</v>
      </c>
      <c r="E28" s="2"/>
      <c r="F28" s="7">
        <f t="shared" si="0"/>
        <v>0</v>
      </c>
      <c r="G28" s="2"/>
      <c r="H28" s="6">
        <v>297.63</v>
      </c>
      <c r="I28" s="2"/>
      <c r="J28" s="7">
        <f t="shared" si="1"/>
        <v>0</v>
      </c>
      <c r="K28" s="2"/>
      <c r="L28" s="6">
        <f t="shared" si="2"/>
        <v>52.110000000000014</v>
      </c>
      <c r="M28" s="2"/>
      <c r="N28" s="7">
        <f t="shared" si="3"/>
        <v>0.17508315693982465</v>
      </c>
      <c r="O28" s="11"/>
      <c r="P28" s="6">
        <v>2253.84</v>
      </c>
      <c r="Q28" s="2"/>
      <c r="R28" s="7">
        <f t="shared" si="4"/>
        <v>0</v>
      </c>
      <c r="S28" s="2"/>
      <c r="T28" s="6">
        <v>1686.4</v>
      </c>
      <c r="U28" s="2"/>
      <c r="V28" s="7">
        <f t="shared" si="5"/>
        <v>0</v>
      </c>
      <c r="W28" s="2"/>
      <c r="X28" s="6">
        <f t="shared" si="6"/>
        <v>567.44000000000005</v>
      </c>
      <c r="Y28" s="2"/>
      <c r="Z28" s="7">
        <f t="shared" si="7"/>
        <v>0.33648007590132828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83601.61</v>
      </c>
      <c r="E29" s="1"/>
      <c r="F29" s="5">
        <f t="shared" ref="F29:F34" si="8">IF(D$12=0,0,D29/D$12)</f>
        <v>0</v>
      </c>
      <c r="G29" s="1"/>
      <c r="H29" s="1">
        <f>SUM(OSRRefH22_1x_0)</f>
        <v>71520.040000000008</v>
      </c>
      <c r="I29" s="1"/>
      <c r="J29" s="5">
        <f t="shared" ref="J29:J34" si="9">IF(H$12=0,0,H29/H$12)</f>
        <v>0</v>
      </c>
      <c r="K29" s="1"/>
      <c r="L29" s="1">
        <f t="shared" ref="L29:L34" si="10">+D29-H29</f>
        <v>12081.569999999992</v>
      </c>
      <c r="M29" s="1"/>
      <c r="N29" s="5">
        <f t="shared" ref="N29:N34" si="11">IF(H29=0,0,L29/H29)</f>
        <v>0.16892566055611813</v>
      </c>
      <c r="O29" s="13"/>
      <c r="P29" s="1">
        <f>SUM(OSRRefP22_1x_0)</f>
        <v>292348.16000000003</v>
      </c>
      <c r="Q29" s="1"/>
      <c r="R29" s="5">
        <f t="shared" ref="R29:R34" si="12">IF(P$12=0,0,P29/P$12)</f>
        <v>0</v>
      </c>
      <c r="S29" s="1"/>
      <c r="T29" s="1">
        <f>SUM(OSRRefT22_1x_0)</f>
        <v>294032.77999999997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-1684.6199999999371</v>
      </c>
      <c r="Y29" s="1"/>
      <c r="Z29" s="5">
        <f t="shared" ref="Z29:Z34" si="15">IF(T29=0,0,X29/T29)</f>
        <v>-5.7293611957140878E-3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10338.84</v>
      </c>
      <c r="E30" s="2"/>
      <c r="F30" s="7">
        <f t="shared" si="8"/>
        <v>0</v>
      </c>
      <c r="G30" s="2"/>
      <c r="H30" s="6">
        <v>9991.24</v>
      </c>
      <c r="I30" s="2"/>
      <c r="J30" s="7">
        <f t="shared" si="9"/>
        <v>0</v>
      </c>
      <c r="K30" s="2"/>
      <c r="L30" s="6">
        <f t="shared" si="10"/>
        <v>347.60000000000036</v>
      </c>
      <c r="M30" s="2"/>
      <c r="N30" s="7">
        <f t="shared" si="11"/>
        <v>3.47904764573767E-2</v>
      </c>
      <c r="O30" s="11"/>
      <c r="P30" s="6">
        <v>60806.400000000001</v>
      </c>
      <c r="Q30" s="2"/>
      <c r="R30" s="7">
        <f t="shared" si="12"/>
        <v>0</v>
      </c>
      <c r="S30" s="2"/>
      <c r="T30" s="6">
        <v>55522.47</v>
      </c>
      <c r="U30" s="2"/>
      <c r="V30" s="7">
        <f t="shared" si="13"/>
        <v>0</v>
      </c>
      <c r="W30" s="2"/>
      <c r="X30" s="6">
        <f t="shared" si="14"/>
        <v>5283.93</v>
      </c>
      <c r="Y30" s="2"/>
      <c r="Z30" s="7">
        <f t="shared" si="15"/>
        <v>9.5167416002926386E-2</v>
      </c>
    </row>
    <row r="31" spans="1:26" s="24" customFormat="1" hidden="1" outlineLevel="2" x14ac:dyDescent="0.25">
      <c r="A31" s="25"/>
      <c r="B31" s="11" t="str">
        <f>CONCATENATE("          ", "6005", " - ", "TEMPORARY WAGES-HOURLY")</f>
        <v xml:space="preserve">          6005 - TEMPORARY WAGES-HOURLY</v>
      </c>
      <c r="C31" s="11"/>
      <c r="D31" s="6">
        <v>3030.83</v>
      </c>
      <c r="E31" s="2"/>
      <c r="F31" s="7">
        <f t="shared" si="8"/>
        <v>0</v>
      </c>
      <c r="G31" s="2"/>
      <c r="H31" s="6">
        <v>4948.5</v>
      </c>
      <c r="I31" s="2"/>
      <c r="J31" s="7">
        <f t="shared" si="9"/>
        <v>0</v>
      </c>
      <c r="K31" s="2"/>
      <c r="L31" s="6">
        <f t="shared" si="10"/>
        <v>-1917.67</v>
      </c>
      <c r="M31" s="2"/>
      <c r="N31" s="7">
        <f t="shared" si="11"/>
        <v>-0.38752551278165104</v>
      </c>
      <c r="O31" s="11"/>
      <c r="P31" s="6">
        <v>14120.21</v>
      </c>
      <c r="Q31" s="2"/>
      <c r="R31" s="7">
        <f t="shared" si="12"/>
        <v>0</v>
      </c>
      <c r="S31" s="2"/>
      <c r="T31" s="6">
        <v>24310.31</v>
      </c>
      <c r="U31" s="2"/>
      <c r="V31" s="7">
        <f t="shared" si="13"/>
        <v>0</v>
      </c>
      <c r="W31" s="2"/>
      <c r="X31" s="6">
        <f t="shared" si="14"/>
        <v>-10190.100000000002</v>
      </c>
      <c r="Y31" s="2"/>
      <c r="Z31" s="7">
        <f t="shared" si="15"/>
        <v>-0.41916783455250062</v>
      </c>
    </row>
    <row r="32" spans="1:26" s="24" customFormat="1" hidden="1" outlineLevel="2" x14ac:dyDescent="0.25">
      <c r="A32" s="25"/>
      <c r="B32" s="11" t="str">
        <f>CONCATENATE("          ", "6006", " - ", "TEMPORARY PART TIME")</f>
        <v xml:space="preserve">          6006 - TEMPORARY PART TIME</v>
      </c>
      <c r="C32" s="11"/>
      <c r="D32" s="6">
        <v>891.81</v>
      </c>
      <c r="E32" s="2"/>
      <c r="F32" s="7">
        <f t="shared" si="8"/>
        <v>0</v>
      </c>
      <c r="G32" s="2"/>
      <c r="H32" s="6">
        <v>2372.5</v>
      </c>
      <c r="I32" s="2"/>
      <c r="J32" s="7">
        <f t="shared" si="9"/>
        <v>0</v>
      </c>
      <c r="K32" s="2"/>
      <c r="L32" s="6">
        <f t="shared" si="10"/>
        <v>-1480.69</v>
      </c>
      <c r="M32" s="2"/>
      <c r="N32" s="7">
        <f t="shared" si="11"/>
        <v>-0.62410537407797684</v>
      </c>
      <c r="O32" s="11"/>
      <c r="P32" s="6">
        <v>9977.18</v>
      </c>
      <c r="Q32" s="2"/>
      <c r="R32" s="7">
        <f t="shared" si="12"/>
        <v>0</v>
      </c>
      <c r="S32" s="2"/>
      <c r="T32" s="6">
        <v>19107.390000000003</v>
      </c>
      <c r="U32" s="2"/>
      <c r="V32" s="7">
        <f t="shared" si="13"/>
        <v>0</v>
      </c>
      <c r="W32" s="2"/>
      <c r="X32" s="6">
        <f t="shared" si="14"/>
        <v>-9130.2100000000028</v>
      </c>
      <c r="Y32" s="2"/>
      <c r="Z32" s="7">
        <f t="shared" si="15"/>
        <v>-0.47783658573986304</v>
      </c>
    </row>
    <row r="33" spans="1:26" s="24" customFormat="1" hidden="1" outlineLevel="2" x14ac:dyDescent="0.25">
      <c r="A33" s="25"/>
      <c r="B33" s="11" t="str">
        <f>CONCATENATE("          ", "6007", " - ", "STUDENT HOURLY")</f>
        <v xml:space="preserve">          6007 - STUDENT HOURLY</v>
      </c>
      <c r="C33" s="11"/>
      <c r="D33" s="6">
        <v>65830.490000000005</v>
      </c>
      <c r="E33" s="2"/>
      <c r="F33" s="7">
        <f t="shared" si="8"/>
        <v>0</v>
      </c>
      <c r="G33" s="2"/>
      <c r="H33" s="6">
        <v>51858.3</v>
      </c>
      <c r="I33" s="2"/>
      <c r="J33" s="7">
        <f t="shared" si="9"/>
        <v>0</v>
      </c>
      <c r="K33" s="2"/>
      <c r="L33" s="6">
        <f t="shared" si="10"/>
        <v>13972.190000000002</v>
      </c>
      <c r="M33" s="2"/>
      <c r="N33" s="7">
        <f t="shared" si="11"/>
        <v>0.26943015872097625</v>
      </c>
      <c r="O33" s="11"/>
      <c r="P33" s="6">
        <v>198238.47999999998</v>
      </c>
      <c r="Q33" s="2"/>
      <c r="R33" s="7">
        <f t="shared" si="12"/>
        <v>0</v>
      </c>
      <c r="S33" s="2"/>
      <c r="T33" s="6">
        <v>180607.61</v>
      </c>
      <c r="U33" s="2"/>
      <c r="V33" s="7">
        <f t="shared" si="13"/>
        <v>0</v>
      </c>
      <c r="W33" s="2"/>
      <c r="X33" s="6">
        <f t="shared" si="14"/>
        <v>17630.869999999995</v>
      </c>
      <c r="Y33" s="2"/>
      <c r="Z33" s="7">
        <f t="shared" si="15"/>
        <v>9.7619751460085197E-2</v>
      </c>
    </row>
    <row r="34" spans="1:26" s="24" customFormat="1" hidden="1" outlineLevel="2" x14ac:dyDescent="0.25">
      <c r="A34" s="25"/>
      <c r="B34" s="11" t="str">
        <f>CONCATENATE("          ", "6008", " - ", "STUDENT HOURLY-FICA EXEMPT")</f>
        <v xml:space="preserve">          6008 - STUDENT HOURLY-FICA EXEMPT</v>
      </c>
      <c r="C34" s="11"/>
      <c r="D34" s="6">
        <v>3509.64</v>
      </c>
      <c r="E34" s="2"/>
      <c r="F34" s="7">
        <f t="shared" si="8"/>
        <v>0</v>
      </c>
      <c r="G34" s="2"/>
      <c r="H34" s="6">
        <v>2349.5</v>
      </c>
      <c r="I34" s="2"/>
      <c r="J34" s="7">
        <f t="shared" si="9"/>
        <v>0</v>
      </c>
      <c r="K34" s="2"/>
      <c r="L34" s="6">
        <f t="shared" si="10"/>
        <v>1160.1399999999999</v>
      </c>
      <c r="M34" s="2"/>
      <c r="N34" s="7">
        <f t="shared" si="11"/>
        <v>0.49378165567141941</v>
      </c>
      <c r="O34" s="11"/>
      <c r="P34" s="6">
        <v>9205.89</v>
      </c>
      <c r="Q34" s="2"/>
      <c r="R34" s="7">
        <f t="shared" si="12"/>
        <v>0</v>
      </c>
      <c r="S34" s="2"/>
      <c r="T34" s="6">
        <v>14485</v>
      </c>
      <c r="U34" s="2"/>
      <c r="V34" s="7">
        <f t="shared" si="13"/>
        <v>0</v>
      </c>
      <c r="W34" s="2"/>
      <c r="X34" s="6">
        <f t="shared" si="14"/>
        <v>-5279.1100000000006</v>
      </c>
      <c r="Y34" s="2"/>
      <c r="Z34" s="7">
        <f t="shared" si="15"/>
        <v>-0.36445357266137385</v>
      </c>
    </row>
    <row r="35" spans="1:26" s="26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174</v>
      </c>
      <c r="E35" s="1"/>
      <c r="F35" s="5">
        <f t="shared" ref="F35:F47" si="16">IF(D$12=0,0,D35/D$12)</f>
        <v>0</v>
      </c>
      <c r="G35" s="1"/>
      <c r="H35" s="1">
        <f>SUM(OSRRefH22_2x_0)</f>
        <v>0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174</v>
      </c>
      <c r="M35" s="1"/>
      <c r="N35" s="5">
        <f t="shared" ref="N35:N47" si="19">IF(H35=0,0,L35/H35)</f>
        <v>0</v>
      </c>
      <c r="O35" s="13"/>
      <c r="P35" s="1">
        <f>SUM(OSRRefP22_2x_0)</f>
        <v>360</v>
      </c>
      <c r="Q35" s="1"/>
      <c r="R35" s="5">
        <f t="shared" ref="R35:R47" si="20">IF(P$12=0,0,P35/P$12)</f>
        <v>0</v>
      </c>
      <c r="S35" s="1"/>
      <c r="T35" s="1">
        <f>SUM(OSRRefT22_2x_0)</f>
        <v>762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-402</v>
      </c>
      <c r="Y35" s="1"/>
      <c r="Z35" s="5">
        <f t="shared" ref="Z35:Z47" si="23">IF(T35=0,0,X35/T35)</f>
        <v>-0.52755905511811019</v>
      </c>
    </row>
    <row r="36" spans="1:26" s="24" customFormat="1" hidden="1" outlineLevel="2" x14ac:dyDescent="0.25">
      <c r="A36" s="25"/>
      <c r="B36" s="11" t="str">
        <f>CONCATENATE("          ", "6362", " - ", "ADVERTISING EXPENSE")</f>
        <v xml:space="preserve">          6362 - ADVERTISING EXPENSE</v>
      </c>
      <c r="C36" s="11"/>
      <c r="D36" s="6">
        <v>174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174</v>
      </c>
      <c r="M36" s="2"/>
      <c r="N36" s="7">
        <f t="shared" si="19"/>
        <v>0</v>
      </c>
      <c r="O36" s="11"/>
      <c r="P36" s="6">
        <v>360</v>
      </c>
      <c r="Q36" s="2"/>
      <c r="R36" s="7">
        <f t="shared" si="20"/>
        <v>0</v>
      </c>
      <c r="S36" s="2"/>
      <c r="T36" s="6">
        <v>762</v>
      </c>
      <c r="U36" s="2"/>
      <c r="V36" s="7">
        <f t="shared" si="21"/>
        <v>0</v>
      </c>
      <c r="W36" s="2"/>
      <c r="X36" s="6">
        <f t="shared" si="22"/>
        <v>-402</v>
      </c>
      <c r="Y36" s="2"/>
      <c r="Z36" s="7">
        <f t="shared" si="23"/>
        <v>-0.52755905511811019</v>
      </c>
    </row>
    <row r="37" spans="1:26" s="26" customFormat="1" outlineLevel="1" collapsed="1" x14ac:dyDescent="0.25">
      <c r="A37" s="27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5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6" customFormat="1" outlineLevel="1" collapsed="1" x14ac:dyDescent="0.25">
      <c r="A39" s="27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91.26</v>
      </c>
      <c r="E39" s="1"/>
      <c r="F39" s="5">
        <f t="shared" si="16"/>
        <v>0</v>
      </c>
      <c r="G39" s="1"/>
      <c r="H39" s="1">
        <f>SUM(OSRRefH22_4x_0)</f>
        <v>166.24</v>
      </c>
      <c r="I39" s="1"/>
      <c r="J39" s="5">
        <f t="shared" si="17"/>
        <v>0</v>
      </c>
      <c r="K39" s="1"/>
      <c r="L39" s="1">
        <f t="shared" si="18"/>
        <v>-74.98</v>
      </c>
      <c r="M39" s="1"/>
      <c r="N39" s="5">
        <f t="shared" si="19"/>
        <v>-0.45103464870067372</v>
      </c>
      <c r="O39" s="13"/>
      <c r="P39" s="1">
        <f>SUM(OSRRefP22_4x_0)</f>
        <v>701.68</v>
      </c>
      <c r="Q39" s="1"/>
      <c r="R39" s="5">
        <f t="shared" si="20"/>
        <v>0</v>
      </c>
      <c r="S39" s="1"/>
      <c r="T39" s="1">
        <f>SUM(OSRRefT22_4x_0)</f>
        <v>831.2</v>
      </c>
      <c r="U39" s="1"/>
      <c r="V39" s="5">
        <f t="shared" si="21"/>
        <v>0</v>
      </c>
      <c r="W39" s="1"/>
      <c r="X39" s="1">
        <f t="shared" si="22"/>
        <v>-129.5200000000001</v>
      </c>
      <c r="Y39" s="1"/>
      <c r="Z39" s="5">
        <f t="shared" si="23"/>
        <v>-0.15582290664100107</v>
      </c>
    </row>
    <row r="40" spans="1:26" s="24" customFormat="1" hidden="1" outlineLevel="2" x14ac:dyDescent="0.25">
      <c r="A40" s="25"/>
      <c r="B40" s="11" t="str">
        <f>CONCATENATE("          ", "6351", " - ", "EQUIPMENT RENTAL")</f>
        <v xml:space="preserve">          6351 - EQUIPMENT RENTAL</v>
      </c>
      <c r="C40" s="11"/>
      <c r="D40" s="6">
        <v>91.26</v>
      </c>
      <c r="E40" s="2"/>
      <c r="F40" s="7">
        <f t="shared" si="16"/>
        <v>0</v>
      </c>
      <c r="G40" s="2"/>
      <c r="H40" s="6">
        <v>166.24</v>
      </c>
      <c r="I40" s="2"/>
      <c r="J40" s="7">
        <f t="shared" si="17"/>
        <v>0</v>
      </c>
      <c r="K40" s="2"/>
      <c r="L40" s="6">
        <f t="shared" si="18"/>
        <v>-74.98</v>
      </c>
      <c r="M40" s="2"/>
      <c r="N40" s="7">
        <f t="shared" si="19"/>
        <v>-0.45103464870067372</v>
      </c>
      <c r="O40" s="11"/>
      <c r="P40" s="6">
        <v>701.68</v>
      </c>
      <c r="Q40" s="2"/>
      <c r="R40" s="7">
        <f t="shared" si="20"/>
        <v>0</v>
      </c>
      <c r="S40" s="2"/>
      <c r="T40" s="6">
        <v>831.2</v>
      </c>
      <c r="U40" s="2"/>
      <c r="V40" s="7">
        <f t="shared" si="21"/>
        <v>0</v>
      </c>
      <c r="W40" s="2"/>
      <c r="X40" s="6">
        <f t="shared" si="22"/>
        <v>-129.5200000000001</v>
      </c>
      <c r="Y40" s="2"/>
      <c r="Z40" s="7">
        <f t="shared" si="23"/>
        <v>-0.15582290664100107</v>
      </c>
    </row>
    <row r="41" spans="1:26" s="26" customFormat="1" outlineLevel="1" collapsed="1" x14ac:dyDescent="0.25">
      <c r="A41" s="27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565.95000000000005</v>
      </c>
      <c r="E41" s="1"/>
      <c r="F41" s="5">
        <f t="shared" si="16"/>
        <v>0</v>
      </c>
      <c r="G41" s="1"/>
      <c r="H41" s="1">
        <f>SUM(OSRRefH22_5x_0)</f>
        <v>62.63</v>
      </c>
      <c r="I41" s="1"/>
      <c r="J41" s="5">
        <f t="shared" si="17"/>
        <v>0</v>
      </c>
      <c r="K41" s="1"/>
      <c r="L41" s="1">
        <f t="shared" si="18"/>
        <v>503.32000000000005</v>
      </c>
      <c r="M41" s="1"/>
      <c r="N41" s="5">
        <f t="shared" si="19"/>
        <v>8.0364042790994734</v>
      </c>
      <c r="O41" s="13"/>
      <c r="P41" s="1">
        <f>SUM(OSRRefP22_5x_0)</f>
        <v>965.95</v>
      </c>
      <c r="Q41" s="1"/>
      <c r="R41" s="5">
        <f t="shared" si="20"/>
        <v>0</v>
      </c>
      <c r="S41" s="1"/>
      <c r="T41" s="1">
        <f>SUM(OSRRefT22_5x_0)</f>
        <v>62.63</v>
      </c>
      <c r="U41" s="1"/>
      <c r="V41" s="5">
        <f t="shared" si="21"/>
        <v>0</v>
      </c>
      <c r="W41" s="1"/>
      <c r="X41" s="1">
        <f t="shared" si="22"/>
        <v>903.32</v>
      </c>
      <c r="Y41" s="1"/>
      <c r="Z41" s="5">
        <f t="shared" si="23"/>
        <v>14.423119910585982</v>
      </c>
    </row>
    <row r="42" spans="1:26" s="24" customFormat="1" hidden="1" outlineLevel="2" x14ac:dyDescent="0.25">
      <c r="A42" s="25"/>
      <c r="B42" s="11" t="str">
        <f>CONCATENATE("          ", "6307", " - ", "POSTAGE")</f>
        <v xml:space="preserve">          6307 - POSTAGE</v>
      </c>
      <c r="C42" s="11"/>
      <c r="D42" s="6">
        <v>565.95000000000005</v>
      </c>
      <c r="E42" s="2"/>
      <c r="F42" s="7">
        <f t="shared" si="16"/>
        <v>0</v>
      </c>
      <c r="G42" s="2"/>
      <c r="H42" s="6">
        <v>62.63</v>
      </c>
      <c r="I42" s="2"/>
      <c r="J42" s="7">
        <f t="shared" si="17"/>
        <v>0</v>
      </c>
      <c r="K42" s="2"/>
      <c r="L42" s="6">
        <f t="shared" si="18"/>
        <v>503.32000000000005</v>
      </c>
      <c r="M42" s="2"/>
      <c r="N42" s="7">
        <f t="shared" si="19"/>
        <v>8.0364042790994734</v>
      </c>
      <c r="O42" s="11"/>
      <c r="P42" s="6">
        <v>965.95</v>
      </c>
      <c r="Q42" s="2"/>
      <c r="R42" s="7">
        <f t="shared" si="20"/>
        <v>0</v>
      </c>
      <c r="S42" s="2"/>
      <c r="T42" s="6">
        <v>62.63</v>
      </c>
      <c r="U42" s="2"/>
      <c r="V42" s="7">
        <f t="shared" si="21"/>
        <v>0</v>
      </c>
      <c r="W42" s="2"/>
      <c r="X42" s="6">
        <f t="shared" si="22"/>
        <v>903.32</v>
      </c>
      <c r="Y42" s="2"/>
      <c r="Z42" s="7">
        <f t="shared" si="23"/>
        <v>14.423119910585982</v>
      </c>
    </row>
    <row r="43" spans="1:26" s="26" customFormat="1" outlineLevel="1" collapsed="1" x14ac:dyDescent="0.25">
      <c r="A43" s="27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5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89.45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89.45</v>
      </c>
      <c r="Y44" s="2"/>
      <c r="Z44" s="7">
        <f t="shared" si="23"/>
        <v>0</v>
      </c>
    </row>
    <row r="45" spans="1:26" s="26" customFormat="1" outlineLevel="1" collapsed="1" x14ac:dyDescent="0.25">
      <c r="A45" s="27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41.02</v>
      </c>
      <c r="I45" s="1"/>
      <c r="J45" s="5">
        <f t="shared" si="17"/>
        <v>0</v>
      </c>
      <c r="K45" s="1"/>
      <c r="L45" s="1">
        <f t="shared" si="18"/>
        <v>-41.02</v>
      </c>
      <c r="M45" s="1"/>
      <c r="N45" s="5">
        <f t="shared" si="19"/>
        <v>-1</v>
      </c>
      <c r="O45" s="13"/>
      <c r="P45" s="1">
        <f>SUM(OSRRefP22_7x_0)</f>
        <v>251.55</v>
      </c>
      <c r="Q45" s="1"/>
      <c r="R45" s="5">
        <f t="shared" si="20"/>
        <v>0</v>
      </c>
      <c r="S45" s="1"/>
      <c r="T45" s="1">
        <f>SUM(OSRRefT22_7x_0)</f>
        <v>431.8</v>
      </c>
      <c r="U45" s="1"/>
      <c r="V45" s="5">
        <f t="shared" si="21"/>
        <v>0</v>
      </c>
      <c r="W45" s="1"/>
      <c r="X45" s="1">
        <f t="shared" si="22"/>
        <v>-180.25</v>
      </c>
      <c r="Y45" s="1"/>
      <c r="Z45" s="5">
        <f t="shared" si="23"/>
        <v>-0.41743862899490503</v>
      </c>
    </row>
    <row r="46" spans="1:26" s="24" customFormat="1" hidden="1" outlineLevel="2" x14ac:dyDescent="0.25">
      <c r="A46" s="25"/>
      <c r="B46" s="11" t="str">
        <f>CONCATENATE("          ", "6373", " - ", "MAINTENANCE CONTRACTS")</f>
        <v xml:space="preserve">          6373 - MAINTENANCE CONTRACTS</v>
      </c>
      <c r="C46" s="11"/>
      <c r="D46" s="6"/>
      <c r="E46" s="2"/>
      <c r="F46" s="7">
        <f t="shared" si="16"/>
        <v>0</v>
      </c>
      <c r="G46" s="2"/>
      <c r="H46" s="6">
        <v>41.02</v>
      </c>
      <c r="I46" s="2"/>
      <c r="J46" s="7">
        <f t="shared" si="17"/>
        <v>0</v>
      </c>
      <c r="K46" s="2"/>
      <c r="L46" s="6">
        <f t="shared" si="18"/>
        <v>-41.02</v>
      </c>
      <c r="M46" s="2"/>
      <c r="N46" s="7">
        <f t="shared" si="19"/>
        <v>-1</v>
      </c>
      <c r="O46" s="11"/>
      <c r="P46" s="6">
        <v>59.22</v>
      </c>
      <c r="Q46" s="2"/>
      <c r="R46" s="7">
        <f t="shared" si="20"/>
        <v>0</v>
      </c>
      <c r="S46" s="2"/>
      <c r="T46" s="6">
        <v>431.8</v>
      </c>
      <c r="U46" s="2"/>
      <c r="V46" s="7">
        <f t="shared" si="21"/>
        <v>0</v>
      </c>
      <c r="W46" s="2"/>
      <c r="X46" s="6">
        <f t="shared" si="22"/>
        <v>-372.58000000000004</v>
      </c>
      <c r="Y46" s="2"/>
      <c r="Z46" s="7">
        <f t="shared" si="23"/>
        <v>-0.86285317276516915</v>
      </c>
    </row>
    <row r="47" spans="1:26" s="24" customFormat="1" hidden="1" outlineLevel="2" x14ac:dyDescent="0.25">
      <c r="A47" s="25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192.33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192.33</v>
      </c>
      <c r="Y47" s="2"/>
      <c r="Z47" s="7">
        <f t="shared" si="23"/>
        <v>0</v>
      </c>
    </row>
    <row r="48" spans="1:26" s="26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668.66</v>
      </c>
      <c r="E48" s="1"/>
      <c r="F48" s="5">
        <f t="shared" ref="F48:F53" si="24">IF(D$12=0,0,D48/D$12)</f>
        <v>0</v>
      </c>
      <c r="G48" s="1"/>
      <c r="H48" s="1">
        <f>SUM(OSRRefH22_8x_0)</f>
        <v>978.94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-310.28000000000009</v>
      </c>
      <c r="M48" s="1"/>
      <c r="N48" s="5">
        <f t="shared" ref="N48:N53" si="27">IF(H48=0,0,L48/H48)</f>
        <v>-0.31695507385539468</v>
      </c>
      <c r="O48" s="13"/>
      <c r="P48" s="1">
        <f>SUM(OSRRefP22_8x_0)</f>
        <v>2881.39</v>
      </c>
      <c r="Q48" s="1"/>
      <c r="R48" s="5">
        <f t="shared" ref="R48:R53" si="28">IF(P$12=0,0,P48/P$12)</f>
        <v>0</v>
      </c>
      <c r="S48" s="1"/>
      <c r="T48" s="1">
        <f>SUM(OSRRefT22_8x_0)</f>
        <v>4617.28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-1735.8899999999999</v>
      </c>
      <c r="Y48" s="1"/>
      <c r="Z48" s="5">
        <f t="shared" ref="Z48:Z53" si="31">IF(T48=0,0,X48/T48)</f>
        <v>-0.37595510776907615</v>
      </c>
    </row>
    <row r="49" spans="1:26" s="24" customFormat="1" hidden="1" outlineLevel="2" x14ac:dyDescent="0.25">
      <c r="A49" s="25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858</v>
      </c>
      <c r="U49" s="2"/>
      <c r="V49" s="7">
        <f t="shared" si="29"/>
        <v>0</v>
      </c>
      <c r="W49" s="2"/>
      <c r="X49" s="6">
        <f t="shared" si="30"/>
        <v>-858</v>
      </c>
      <c r="Y49" s="2"/>
      <c r="Z49" s="7">
        <f t="shared" si="31"/>
        <v>-1</v>
      </c>
    </row>
    <row r="50" spans="1:26" s="24" customFormat="1" hidden="1" outlineLevel="2" x14ac:dyDescent="0.25">
      <c r="A50" s="25"/>
      <c r="B50" s="11" t="str">
        <f>CONCATENATE("          ", "6237", " - ", "JANITORIAL SUPPLIES")</f>
        <v xml:space="preserve">          6237 - JANITORIAL SUPPLIES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226.95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226.95</v>
      </c>
      <c r="Y50" s="2"/>
      <c r="Z50" s="7">
        <f t="shared" si="31"/>
        <v>0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>
        <v>668.66</v>
      </c>
      <c r="E51" s="2"/>
      <c r="F51" s="7">
        <f t="shared" si="24"/>
        <v>0</v>
      </c>
      <c r="G51" s="2"/>
      <c r="H51" s="6">
        <v>978.94</v>
      </c>
      <c r="I51" s="2"/>
      <c r="J51" s="7">
        <f t="shared" si="25"/>
        <v>0</v>
      </c>
      <c r="K51" s="2"/>
      <c r="L51" s="6">
        <f t="shared" si="26"/>
        <v>-310.28000000000009</v>
      </c>
      <c r="M51" s="2"/>
      <c r="N51" s="7">
        <f t="shared" si="27"/>
        <v>-0.31695507385539468</v>
      </c>
      <c r="O51" s="11"/>
      <c r="P51" s="6">
        <v>2019.71</v>
      </c>
      <c r="Q51" s="2"/>
      <c r="R51" s="7">
        <f t="shared" si="28"/>
        <v>0</v>
      </c>
      <c r="S51" s="2"/>
      <c r="T51" s="6">
        <v>2877.79</v>
      </c>
      <c r="U51" s="2"/>
      <c r="V51" s="7">
        <f t="shared" si="29"/>
        <v>0</v>
      </c>
      <c r="W51" s="2"/>
      <c r="X51" s="6">
        <f t="shared" si="30"/>
        <v>-858.07999999999993</v>
      </c>
      <c r="Y51" s="2"/>
      <c r="Z51" s="7">
        <f t="shared" si="31"/>
        <v>-0.29817325100163666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95.57</v>
      </c>
      <c r="U52" s="2"/>
      <c r="V52" s="7">
        <f t="shared" si="29"/>
        <v>0</v>
      </c>
      <c r="W52" s="2"/>
      <c r="X52" s="6">
        <f t="shared" si="30"/>
        <v>-95.57</v>
      </c>
      <c r="Y52" s="2"/>
      <c r="Z52" s="7">
        <f t="shared" si="31"/>
        <v>-1</v>
      </c>
    </row>
    <row r="53" spans="1:26" s="24" customFormat="1" hidden="1" outlineLevel="2" x14ac:dyDescent="0.25">
      <c r="A53" s="25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634.73</v>
      </c>
      <c r="Q53" s="2"/>
      <c r="R53" s="7">
        <f t="shared" si="28"/>
        <v>0</v>
      </c>
      <c r="S53" s="2"/>
      <c r="T53" s="6">
        <v>785.92</v>
      </c>
      <c r="U53" s="2"/>
      <c r="V53" s="7">
        <f t="shared" si="29"/>
        <v>0</v>
      </c>
      <c r="W53" s="2"/>
      <c r="X53" s="6">
        <f t="shared" si="30"/>
        <v>-151.18999999999994</v>
      </c>
      <c r="Y53" s="2"/>
      <c r="Z53" s="7">
        <f t="shared" si="31"/>
        <v>-0.19237326954397388</v>
      </c>
    </row>
    <row r="54" spans="1:26" s="26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150</v>
      </c>
      <c r="E54" s="1"/>
      <c r="F54" s="5">
        <f t="shared" ref="F54:F57" si="32">IF(D$12=0,0,D54/D$12)</f>
        <v>0</v>
      </c>
      <c r="G54" s="1"/>
      <c r="H54" s="1">
        <f>SUM(OSRRefH22_9x_0)</f>
        <v>-8.0500000000000007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158.05000000000001</v>
      </c>
      <c r="M54" s="1"/>
      <c r="N54" s="5">
        <f t="shared" ref="N54:N57" si="35">IF(H54=0,0,L54/H54)</f>
        <v>-19.633540372670808</v>
      </c>
      <c r="O54" s="13"/>
      <c r="P54" s="1">
        <f>SUM(OSRRefP22_9x_0)</f>
        <v>1081.9000000000001</v>
      </c>
      <c r="Q54" s="1"/>
      <c r="R54" s="5">
        <f t="shared" ref="R54:R57" si="36">IF(P$12=0,0,P54/P$12)</f>
        <v>0</v>
      </c>
      <c r="S54" s="1"/>
      <c r="T54" s="1">
        <f>SUM(OSRRefT22_9x_0)</f>
        <v>922.4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159.50000000000011</v>
      </c>
      <c r="Y54" s="1"/>
      <c r="Z54" s="5">
        <f t="shared" ref="Z54:Z57" si="39">IF(T54=0,0,X54/T54)</f>
        <v>0.17291847354726814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150</v>
      </c>
      <c r="E55" s="2"/>
      <c r="F55" s="7">
        <f t="shared" si="32"/>
        <v>0</v>
      </c>
      <c r="G55" s="2"/>
      <c r="H55" s="6">
        <v>-8.0500000000000007</v>
      </c>
      <c r="I55" s="2"/>
      <c r="J55" s="7">
        <f t="shared" si="33"/>
        <v>0</v>
      </c>
      <c r="K55" s="2"/>
      <c r="L55" s="6">
        <f t="shared" si="34"/>
        <v>158.05000000000001</v>
      </c>
      <c r="M55" s="2"/>
      <c r="N55" s="7">
        <f t="shared" si="35"/>
        <v>-19.633540372670808</v>
      </c>
      <c r="O55" s="11"/>
      <c r="P55" s="6">
        <v>1081.9000000000001</v>
      </c>
      <c r="Q55" s="2"/>
      <c r="R55" s="7">
        <f t="shared" si="36"/>
        <v>0</v>
      </c>
      <c r="S55" s="2"/>
      <c r="T55" s="6">
        <v>922.4</v>
      </c>
      <c r="U55" s="2"/>
      <c r="V55" s="7">
        <f t="shared" si="37"/>
        <v>0</v>
      </c>
      <c r="W55" s="2"/>
      <c r="X55" s="6">
        <f t="shared" si="38"/>
        <v>159.50000000000011</v>
      </c>
      <c r="Y55" s="2"/>
      <c r="Z55" s="7">
        <f t="shared" si="39"/>
        <v>0.17291847354726814</v>
      </c>
    </row>
    <row r="56" spans="1:26" s="26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998.09</v>
      </c>
      <c r="U56" s="1"/>
      <c r="V56" s="5">
        <f t="shared" si="37"/>
        <v>0</v>
      </c>
      <c r="W56" s="1"/>
      <c r="X56" s="1">
        <f t="shared" si="38"/>
        <v>-918.09</v>
      </c>
      <c r="Y56" s="1"/>
      <c r="Z56" s="5">
        <f t="shared" si="39"/>
        <v>-0.91984690759350363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80</v>
      </c>
      <c r="Q57" s="2"/>
      <c r="R57" s="7">
        <f t="shared" si="36"/>
        <v>0</v>
      </c>
      <c r="S57" s="2"/>
      <c r="T57" s="6">
        <v>998.09</v>
      </c>
      <c r="U57" s="2"/>
      <c r="V57" s="7">
        <f t="shared" si="37"/>
        <v>0</v>
      </c>
      <c r="W57" s="2"/>
      <c r="X57" s="6">
        <f t="shared" si="38"/>
        <v>-918.09</v>
      </c>
      <c r="Y57" s="2"/>
      <c r="Z57" s="7">
        <f t="shared" si="39"/>
        <v>-0.91984690759350363</v>
      </c>
    </row>
    <row r="58" spans="1:26" s="59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1">
        <f>+D16-D18+D59</f>
        <v>-91836.680000000008</v>
      </c>
      <c r="E61" s="14"/>
      <c r="F61" s="22">
        <f>IF(D$12=0,0,D61/D$12)</f>
        <v>0</v>
      </c>
      <c r="G61" s="14"/>
      <c r="H61" s="21">
        <f>+H16-H18+H59</f>
        <v>-81611.49000000002</v>
      </c>
      <c r="I61" s="14"/>
      <c r="J61" s="22">
        <f>IF(H$12=0,0,H61/H$12)</f>
        <v>0</v>
      </c>
      <c r="K61" s="16"/>
      <c r="L61" s="21">
        <f>+D61-H61</f>
        <v>-10225.189999999988</v>
      </c>
      <c r="M61" s="16"/>
      <c r="N61" s="22">
        <f>IF(H61=0,0,L61/H61)</f>
        <v>0.12529105889379039</v>
      </c>
      <c r="O61" s="29"/>
      <c r="P61" s="21">
        <f>+P16-P18+P59</f>
        <v>-342972.46</v>
      </c>
      <c r="Q61" s="14"/>
      <c r="R61" s="22">
        <f>IF(P$12=0,0,P61/P$12)</f>
        <v>0</v>
      </c>
      <c r="S61" s="14"/>
      <c r="T61" s="21">
        <f>+T16-T18+T59</f>
        <v>-350888.31</v>
      </c>
      <c r="U61" s="14"/>
      <c r="V61" s="22">
        <f>IF(T$12=0,0,T61/T$12)</f>
        <v>0</v>
      </c>
      <c r="W61" s="16"/>
      <c r="X61" s="21">
        <f>+P61-T61</f>
        <v>7915.8499999999767</v>
      </c>
      <c r="Y61" s="16"/>
      <c r="Z61" s="22">
        <f>IF(T61=0,0,X61/T61)</f>
        <v>-2.2559457737420709E-2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4">
        <f>+D61-D63</f>
        <v>-91836.680000000008</v>
      </c>
      <c r="E65" s="14"/>
      <c r="F65" s="31">
        <f>IF(D$12=0,0,D65/D$12)</f>
        <v>0</v>
      </c>
      <c r="G65" s="14"/>
      <c r="H65" s="34">
        <f>+H61-H63</f>
        <v>-81611.49000000002</v>
      </c>
      <c r="I65" s="14"/>
      <c r="J65" s="31">
        <f>IF(H$12=0,0,H65/H$12)</f>
        <v>0</v>
      </c>
      <c r="K65" s="16"/>
      <c r="L65" s="34">
        <f>D65-H65</f>
        <v>-10225.189999999988</v>
      </c>
      <c r="M65" s="16"/>
      <c r="N65" s="31">
        <f>IF(H65=0,0,L65/H65)</f>
        <v>0.12529105889379039</v>
      </c>
      <c r="O65" s="29"/>
      <c r="P65" s="34">
        <f>+P61-P63</f>
        <v>-342972.46</v>
      </c>
      <c r="Q65" s="14"/>
      <c r="R65" s="31">
        <f>IF(P$12=0,0,P65/P$12)</f>
        <v>0</v>
      </c>
      <c r="S65" s="14"/>
      <c r="T65" s="34">
        <f>+T61-T63</f>
        <v>-350888.31</v>
      </c>
      <c r="U65" s="14"/>
      <c r="V65" s="31">
        <f>IF(T$12=0,0,T65/T$12)</f>
        <v>0</v>
      </c>
      <c r="W65" s="16"/>
      <c r="X65" s="34">
        <f>P65-T65</f>
        <v>7915.8499999999767</v>
      </c>
      <c r="Y65" s="16"/>
      <c r="Z65" s="31">
        <f>IF(T65=0,0,X65/T65)</f>
        <v>-2.2559457737420709E-2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0">
        <f>SUM(D65:D67)</f>
        <v>-91836.680000000008</v>
      </c>
      <c r="E68" s="14"/>
      <c r="F68" s="33">
        <f>IF(D$12=0,0,D68/D$12)</f>
        <v>0</v>
      </c>
      <c r="G68" s="14"/>
      <c r="H68" s="30">
        <f>SUM(H65:H67)</f>
        <v>-81611.49000000002</v>
      </c>
      <c r="I68" s="14"/>
      <c r="J68" s="33">
        <f>IF(H$12=0,0,H68/H$12)</f>
        <v>0</v>
      </c>
      <c r="K68" s="16"/>
      <c r="L68" s="30">
        <f>+D68-H68</f>
        <v>-10225.189999999988</v>
      </c>
      <c r="M68" s="16"/>
      <c r="N68" s="33">
        <f>IF(H68=0,0,L68/H68)</f>
        <v>0.12529105889379039</v>
      </c>
      <c r="O68" s="29"/>
      <c r="P68" s="30">
        <f>SUM(P65:P67)</f>
        <v>-342972.46</v>
      </c>
      <c r="Q68" s="14"/>
      <c r="R68" s="33">
        <f>IF(P$12=0,0,P68/P$12)</f>
        <v>0</v>
      </c>
      <c r="S68" s="14"/>
      <c r="T68" s="30">
        <f>SUM(T65:T67)</f>
        <v>-350888.31</v>
      </c>
      <c r="U68" s="14"/>
      <c r="V68" s="33">
        <f>IF(T$12=0,0,T68/T$12)</f>
        <v>0</v>
      </c>
      <c r="W68" s="16"/>
      <c r="X68" s="30">
        <f>+P68-T68</f>
        <v>7915.8499999999767</v>
      </c>
      <c r="Y68" s="16"/>
      <c r="Z68" s="33">
        <f>IF(T68=0,0,X68/T68)</f>
        <v>-2.2559457737420709E-2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1">
        <v>43879.553765196761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5" t="s">
        <v>313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8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","335", " - ", "Customer Service")</f>
        <v>Department 335 - Customer Service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0</v>
      </c>
      <c r="E18" s="20"/>
      <c r="F18" s="32">
        <f t="shared" ref="F18:F20" si="0">IF(D$12=0,0,D18/D$12)</f>
        <v>0</v>
      </c>
      <c r="G18" s="20"/>
      <c r="H18" s="20">
        <f>SUM(OSRRefH22x_0)</f>
        <v>-100</v>
      </c>
      <c r="I18" s="20"/>
      <c r="J18" s="32">
        <f t="shared" ref="J18:J20" si="1">IF(H$12=0,0,H18/H$12)</f>
        <v>0</v>
      </c>
      <c r="K18" s="4"/>
      <c r="L18" s="20">
        <f t="shared" ref="L18:L20" si="2">+D18-H18</f>
        <v>100</v>
      </c>
      <c r="M18" s="4"/>
      <c r="N18" s="32">
        <f t="shared" ref="N18:N20" si="3">IF(H18=0,0,L18/H18)</f>
        <v>-1</v>
      </c>
      <c r="O18" s="10"/>
      <c r="P18" s="20">
        <f>SUM(OSRRefP22x_0)</f>
        <v>0</v>
      </c>
      <c r="Q18" s="20"/>
      <c r="R18" s="32">
        <f t="shared" ref="R18:R20" si="4">IF(P$12=0,0,P18/P$12)</f>
        <v>0</v>
      </c>
      <c r="S18" s="20"/>
      <c r="T18" s="20">
        <f>SUM(OSRRefT22x_0)</f>
        <v>0</v>
      </c>
      <c r="U18" s="20"/>
      <c r="V18" s="32">
        <f t="shared" ref="V18:V20" si="5">IF(T$12=0,0,T18/T$12)</f>
        <v>0</v>
      </c>
      <c r="W18" s="4"/>
      <c r="X18" s="20">
        <f t="shared" ref="X18:X20" si="6">+P18-T18</f>
        <v>0</v>
      </c>
      <c r="Y18" s="4"/>
      <c r="Z18" s="32">
        <f t="shared" ref="Z18:Z20" si="7">IF(T18=0,0,X18/T18)</f>
        <v>0</v>
      </c>
    </row>
    <row r="19" spans="1:26" s="26" customFormat="1" outlineLevel="1" collapsed="1" x14ac:dyDescent="0.25">
      <c r="A19" s="27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-100</v>
      </c>
      <c r="I19" s="1"/>
      <c r="J19" s="5">
        <f t="shared" si="1"/>
        <v>0</v>
      </c>
      <c r="K19" s="1"/>
      <c r="L19" s="1">
        <f t="shared" si="2"/>
        <v>100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5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>
        <v>-100</v>
      </c>
      <c r="I20" s="2"/>
      <c r="J20" s="7">
        <f t="shared" si="1"/>
        <v>0</v>
      </c>
      <c r="K20" s="2"/>
      <c r="L20" s="6">
        <f t="shared" si="2"/>
        <v>100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59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3</v>
      </c>
      <c r="C24" s="28"/>
      <c r="D24" s="21">
        <f>+D16-D18+D22</f>
        <v>0</v>
      </c>
      <c r="E24" s="14"/>
      <c r="F24" s="22">
        <f>IF(D$12=0,0,D24/D$12)</f>
        <v>0</v>
      </c>
      <c r="G24" s="14"/>
      <c r="H24" s="21">
        <f>+H16-H18+H22</f>
        <v>100</v>
      </c>
      <c r="I24" s="14"/>
      <c r="J24" s="22">
        <f>IF(H$12=0,0,H24/H$12)</f>
        <v>0</v>
      </c>
      <c r="K24" s="16"/>
      <c r="L24" s="21">
        <f>+D24-H24</f>
        <v>-100</v>
      </c>
      <c r="M24" s="16"/>
      <c r="N24" s="22">
        <f>IF(H24=0,0,L24/H24)</f>
        <v>-1</v>
      </c>
      <c r="O24" s="29"/>
      <c r="P24" s="21">
        <f>+P16-P18+P22</f>
        <v>0</v>
      </c>
      <c r="Q24" s="14"/>
      <c r="R24" s="22">
        <f>IF(P$12=0,0,P24/P$12)</f>
        <v>0</v>
      </c>
      <c r="S24" s="14"/>
      <c r="T24" s="21">
        <f>+T16-T18+T22</f>
        <v>0</v>
      </c>
      <c r="U24" s="14"/>
      <c r="V24" s="22">
        <f>IF(T$12=0,0,T24/T$12)</f>
        <v>0</v>
      </c>
      <c r="W24" s="16"/>
      <c r="X24" s="21">
        <f>+P24-T24</f>
        <v>0</v>
      </c>
      <c r="Y24" s="16"/>
      <c r="Z24" s="22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4</v>
      </c>
      <c r="C28" s="28"/>
      <c r="D28" s="34">
        <f>+D24-D26</f>
        <v>0</v>
      </c>
      <c r="E28" s="14"/>
      <c r="F28" s="31">
        <f>IF(D$12=0,0,D28/D$12)</f>
        <v>0</v>
      </c>
      <c r="G28" s="14"/>
      <c r="H28" s="34">
        <f>+H24-H26</f>
        <v>100</v>
      </c>
      <c r="I28" s="14"/>
      <c r="J28" s="31">
        <f>IF(H$12=0,0,H28/H$12)</f>
        <v>0</v>
      </c>
      <c r="K28" s="16"/>
      <c r="L28" s="34">
        <f>D28-H28</f>
        <v>-100</v>
      </c>
      <c r="M28" s="16"/>
      <c r="N28" s="31">
        <f>IF(H28=0,0,L28/H28)</f>
        <v>-1</v>
      </c>
      <c r="O28" s="29"/>
      <c r="P28" s="34">
        <f>+P24-P26</f>
        <v>0</v>
      </c>
      <c r="Q28" s="14"/>
      <c r="R28" s="31">
        <f>IF(P$12=0,0,P28/P$12)</f>
        <v>0</v>
      </c>
      <c r="S28" s="14"/>
      <c r="T28" s="34">
        <f>+T24-T26</f>
        <v>0</v>
      </c>
      <c r="U28" s="14"/>
      <c r="V28" s="31">
        <f>IF(T$12=0,0,T28/T$12)</f>
        <v>0</v>
      </c>
      <c r="W28" s="16"/>
      <c r="X28" s="34">
        <f>P28-T28</f>
        <v>0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SUM(D28:D30)</f>
        <v>0</v>
      </c>
      <c r="E31" s="14"/>
      <c r="F31" s="33">
        <f>IF(D$12=0,0,D31/D$12)</f>
        <v>0</v>
      </c>
      <c r="G31" s="14"/>
      <c r="H31" s="30">
        <f>SUM(H28:H30)</f>
        <v>100</v>
      </c>
      <c r="I31" s="14"/>
      <c r="J31" s="33">
        <f>IF(H$12=0,0,H31/H$12)</f>
        <v>0</v>
      </c>
      <c r="K31" s="16"/>
      <c r="L31" s="30">
        <f>+D31-H31</f>
        <v>-100</v>
      </c>
      <c r="M31" s="16"/>
      <c r="N31" s="33">
        <f>IF(H31=0,0,L31/H31)</f>
        <v>-1</v>
      </c>
      <c r="O31" s="29"/>
      <c r="P31" s="30">
        <f>SUM(P28:P30)</f>
        <v>0</v>
      </c>
      <c r="Q31" s="14"/>
      <c r="R31" s="33">
        <f>IF(P$12=0,0,P31/P$12)</f>
        <v>0</v>
      </c>
      <c r="S31" s="14"/>
      <c r="T31" s="30">
        <f>SUM(T28:T30)</f>
        <v>0</v>
      </c>
      <c r="U31" s="14"/>
      <c r="V31" s="33">
        <f>IF(T$12=0,0,T31/T$12)</f>
        <v>0</v>
      </c>
      <c r="W31" s="16"/>
      <c r="X31" s="30">
        <f>+P31-T31</f>
        <v>0</v>
      </c>
      <c r="Y31" s="16"/>
      <c r="Z31" s="33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43879.554084525465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137907.52000000002</v>
      </c>
      <c r="E12" s="4"/>
      <c r="F12" s="12"/>
      <c r="G12" s="4"/>
      <c r="H12" s="4">
        <f>SUM(OSRRefH13x_0)</f>
        <v>125449.78999999996</v>
      </c>
      <c r="I12" s="4"/>
      <c r="J12" s="12"/>
      <c r="K12" s="4"/>
      <c r="L12" s="4">
        <f t="shared" ref="L12:L50" si="0">+D12-H12</f>
        <v>12457.730000000054</v>
      </c>
      <c r="M12" s="4"/>
      <c r="N12" s="12">
        <f t="shared" ref="N12:N50" si="1">IF(H12=0,0,L12/H12)</f>
        <v>9.9304510593441864E-2</v>
      </c>
      <c r="O12" s="10"/>
      <c r="P12" s="4">
        <f>SUM(OSRRefP13x_0)</f>
        <v>653884.83000000019</v>
      </c>
      <c r="Q12" s="4"/>
      <c r="R12" s="12"/>
      <c r="S12" s="4"/>
      <c r="T12" s="4">
        <f>SUM(OSRRefT13x_0)</f>
        <v>631900.1</v>
      </c>
      <c r="U12" s="4"/>
      <c r="V12" s="12"/>
      <c r="W12" s="4"/>
      <c r="X12" s="4">
        <f t="shared" ref="X12:X50" si="2">+P12-T12</f>
        <v>21984.730000000214</v>
      </c>
      <c r="Y12" s="4"/>
      <c r="Z12" s="12">
        <f t="shared" ref="Z12:Z50" si="3">IF(T12=0,0,X12/T12)</f>
        <v>3.4791464663481167E-2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--12.98</f>
        <v>12.98</v>
      </c>
      <c r="E14" s="2"/>
      <c r="F14" s="19"/>
      <c r="G14" s="2"/>
      <c r="H14" s="2">
        <f>--19.37</f>
        <v>19.37</v>
      </c>
      <c r="I14" s="2"/>
      <c r="J14" s="19"/>
      <c r="K14" s="2"/>
      <c r="L14" s="2">
        <f t="shared" si="0"/>
        <v>-6.3900000000000006</v>
      </c>
      <c r="M14" s="2"/>
      <c r="N14" s="19">
        <f t="shared" si="1"/>
        <v>-0.32989158492514198</v>
      </c>
      <c r="O14" s="11"/>
      <c r="P14" s="2">
        <f>--255.12</f>
        <v>255.12</v>
      </c>
      <c r="Q14" s="2"/>
      <c r="R14" s="19"/>
      <c r="S14" s="2"/>
      <c r="T14" s="2">
        <f>--670.39</f>
        <v>670.39</v>
      </c>
      <c r="U14" s="2"/>
      <c r="V14" s="19"/>
      <c r="W14" s="2"/>
      <c r="X14" s="2">
        <f t="shared" si="2"/>
        <v>-415.27</v>
      </c>
      <c r="Y14" s="2"/>
      <c r="Z14" s="19">
        <f t="shared" si="3"/>
        <v>-0.61944539745521265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>--6.49</f>
        <v>6.49</v>
      </c>
      <c r="I15" s="2"/>
      <c r="J15" s="19"/>
      <c r="K15" s="2"/>
      <c r="L15" s="2">
        <f t="shared" si="0"/>
        <v>-6.49</v>
      </c>
      <c r="M15" s="2"/>
      <c r="N15" s="19">
        <f t="shared" si="1"/>
        <v>-1</v>
      </c>
      <c r="O15" s="11"/>
      <c r="P15" s="2">
        <f>--33.88</f>
        <v>33.880000000000003</v>
      </c>
      <c r="Q15" s="2"/>
      <c r="R15" s="19"/>
      <c r="S15" s="2"/>
      <c r="T15" s="2">
        <f>--66.94</f>
        <v>66.94</v>
      </c>
      <c r="U15" s="2"/>
      <c r="V15" s="19"/>
      <c r="W15" s="2"/>
      <c r="X15" s="2">
        <f t="shared" si="2"/>
        <v>-33.059999999999995</v>
      </c>
      <c r="Y15" s="2"/>
      <c r="Z15" s="19">
        <f t="shared" si="3"/>
        <v>-0.49387511204063334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--5293.73</f>
        <v>5293.73</v>
      </c>
      <c r="E16" s="2"/>
      <c r="F16" s="19"/>
      <c r="G16" s="2"/>
      <c r="H16" s="2">
        <f>--4685.73</f>
        <v>4685.7299999999996</v>
      </c>
      <c r="I16" s="2"/>
      <c r="J16" s="19"/>
      <c r="K16" s="2"/>
      <c r="L16" s="2">
        <f t="shared" si="0"/>
        <v>608</v>
      </c>
      <c r="M16" s="2"/>
      <c r="N16" s="19">
        <f t="shared" si="1"/>
        <v>0.12975566240479072</v>
      </c>
      <c r="O16" s="11"/>
      <c r="P16" s="2">
        <f>--40426.83</f>
        <v>40426.83</v>
      </c>
      <c r="Q16" s="2"/>
      <c r="R16" s="19"/>
      <c r="S16" s="2"/>
      <c r="T16" s="2">
        <f>--38562.48</f>
        <v>38562.480000000003</v>
      </c>
      <c r="U16" s="2"/>
      <c r="V16" s="19"/>
      <c r="W16" s="2"/>
      <c r="X16" s="2">
        <f t="shared" si="2"/>
        <v>1864.3499999999985</v>
      </c>
      <c r="Y16" s="2"/>
      <c r="Z16" s="19">
        <f t="shared" si="3"/>
        <v>4.8346216322186705E-2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--13736.34</f>
        <v>13736.34</v>
      </c>
      <c r="E17" s="2"/>
      <c r="F17" s="19"/>
      <c r="G17" s="2"/>
      <c r="H17" s="2">
        <f>--10459.08</f>
        <v>10459.08</v>
      </c>
      <c r="I17" s="2"/>
      <c r="J17" s="19"/>
      <c r="K17" s="2"/>
      <c r="L17" s="2">
        <f t="shared" si="0"/>
        <v>3277.26</v>
      </c>
      <c r="M17" s="2"/>
      <c r="N17" s="19">
        <f t="shared" si="1"/>
        <v>0.31334113516676421</v>
      </c>
      <c r="O17" s="11"/>
      <c r="P17" s="2">
        <f>--63514.86</f>
        <v>63514.86</v>
      </c>
      <c r="Q17" s="2"/>
      <c r="R17" s="19"/>
      <c r="S17" s="2"/>
      <c r="T17" s="2">
        <f>--52225.34</f>
        <v>52225.34</v>
      </c>
      <c r="U17" s="2"/>
      <c r="V17" s="19"/>
      <c r="W17" s="2"/>
      <c r="X17" s="2">
        <f t="shared" si="2"/>
        <v>11289.520000000004</v>
      </c>
      <c r="Y17" s="2"/>
      <c r="Z17" s="19">
        <f t="shared" si="3"/>
        <v>0.21616939209969729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--66198.12</f>
        <v>66198.12</v>
      </c>
      <c r="E18" s="2"/>
      <c r="F18" s="19"/>
      <c r="G18" s="2"/>
      <c r="H18" s="2">
        <f>--61050.46</f>
        <v>61050.46</v>
      </c>
      <c r="I18" s="2"/>
      <c r="J18" s="19"/>
      <c r="K18" s="2"/>
      <c r="L18" s="2">
        <f t="shared" si="0"/>
        <v>5147.6599999999962</v>
      </c>
      <c r="M18" s="2"/>
      <c r="N18" s="19">
        <f t="shared" si="1"/>
        <v>8.4318119797950689E-2</v>
      </c>
      <c r="O18" s="11"/>
      <c r="P18" s="2">
        <f>--231507.68</f>
        <v>231507.68</v>
      </c>
      <c r="Q18" s="2"/>
      <c r="R18" s="19"/>
      <c r="S18" s="2"/>
      <c r="T18" s="2">
        <f>--211947.98</f>
        <v>211947.98</v>
      </c>
      <c r="U18" s="2"/>
      <c r="V18" s="19"/>
      <c r="W18" s="2"/>
      <c r="X18" s="2">
        <f t="shared" si="2"/>
        <v>19559.699999999983</v>
      </c>
      <c r="Y18" s="2"/>
      <c r="Z18" s="19">
        <f t="shared" si="3"/>
        <v>9.228538059197347E-2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--43035.21</f>
        <v>43035.21</v>
      </c>
      <c r="E19" s="2"/>
      <c r="F19" s="19"/>
      <c r="G19" s="2"/>
      <c r="H19" s="2">
        <f>--40129.85</f>
        <v>40129.85</v>
      </c>
      <c r="I19" s="2"/>
      <c r="J19" s="19"/>
      <c r="K19" s="2"/>
      <c r="L19" s="2">
        <f t="shared" si="0"/>
        <v>2905.3600000000006</v>
      </c>
      <c r="M19" s="2"/>
      <c r="N19" s="19">
        <f t="shared" si="1"/>
        <v>7.2398974827964743E-2</v>
      </c>
      <c r="O19" s="11"/>
      <c r="P19" s="2">
        <f>--232672.78</f>
        <v>232672.78</v>
      </c>
      <c r="Q19" s="2"/>
      <c r="R19" s="19"/>
      <c r="S19" s="2"/>
      <c r="T19" s="2">
        <f>--236358.8</f>
        <v>236358.8</v>
      </c>
      <c r="U19" s="2"/>
      <c r="V19" s="19"/>
      <c r="W19" s="2"/>
      <c r="X19" s="2">
        <f t="shared" si="2"/>
        <v>-3686.0199999999895</v>
      </c>
      <c r="Y19" s="2"/>
      <c r="Z19" s="19">
        <f t="shared" si="3"/>
        <v>-1.559501909808304E-2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--43.03</f>
        <v>43.03</v>
      </c>
      <c r="E20" s="2"/>
      <c r="F20" s="19"/>
      <c r="G20" s="2"/>
      <c r="H20" s="2">
        <f>--38.84</f>
        <v>38.840000000000003</v>
      </c>
      <c r="I20" s="2"/>
      <c r="J20" s="19"/>
      <c r="K20" s="2"/>
      <c r="L20" s="2">
        <f t="shared" si="0"/>
        <v>4.1899999999999977</v>
      </c>
      <c r="M20" s="2"/>
      <c r="N20" s="19">
        <f t="shared" si="1"/>
        <v>0.10787847579814618</v>
      </c>
      <c r="O20" s="11"/>
      <c r="P20" s="2">
        <f>--349.97</f>
        <v>349.97</v>
      </c>
      <c r="Q20" s="2"/>
      <c r="R20" s="19"/>
      <c r="S20" s="2"/>
      <c r="T20" s="2">
        <f>--362.36</f>
        <v>362.36</v>
      </c>
      <c r="U20" s="2"/>
      <c r="V20" s="19"/>
      <c r="W20" s="2"/>
      <c r="X20" s="2">
        <f t="shared" si="2"/>
        <v>-12.389999999999986</v>
      </c>
      <c r="Y20" s="2"/>
      <c r="Z20" s="19">
        <f t="shared" si="3"/>
        <v>-3.4192515730213008E-2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--242.25</f>
        <v>242.25</v>
      </c>
      <c r="E21" s="2"/>
      <c r="F21" s="19"/>
      <c r="G21" s="2"/>
      <c r="H21" s="2">
        <f>--14.31</f>
        <v>14.31</v>
      </c>
      <c r="I21" s="2"/>
      <c r="J21" s="19"/>
      <c r="K21" s="2"/>
      <c r="L21" s="2">
        <f t="shared" si="0"/>
        <v>227.94</v>
      </c>
      <c r="M21" s="2"/>
      <c r="N21" s="19">
        <f t="shared" si="1"/>
        <v>15.928721174004192</v>
      </c>
      <c r="O21" s="11"/>
      <c r="P21" s="2">
        <f>--1108.59</f>
        <v>1108.5899999999999</v>
      </c>
      <c r="Q21" s="2"/>
      <c r="R21" s="19"/>
      <c r="S21" s="2"/>
      <c r="T21" s="2">
        <f>--257.92</f>
        <v>257.92</v>
      </c>
      <c r="U21" s="2"/>
      <c r="V21" s="19"/>
      <c r="W21" s="2"/>
      <c r="X21" s="2">
        <f t="shared" si="2"/>
        <v>850.66999999999985</v>
      </c>
      <c r="Y21" s="2"/>
      <c r="Z21" s="19">
        <f t="shared" si="3"/>
        <v>3.2981932382133987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--15.13</f>
        <v>15.13</v>
      </c>
      <c r="E22" s="2"/>
      <c r="F22" s="19"/>
      <c r="G22" s="2"/>
      <c r="H22" s="2">
        <f>--15.65</f>
        <v>15.65</v>
      </c>
      <c r="I22" s="2"/>
      <c r="J22" s="19"/>
      <c r="K22" s="2"/>
      <c r="L22" s="2">
        <f t="shared" si="0"/>
        <v>-0.51999999999999957</v>
      </c>
      <c r="M22" s="2"/>
      <c r="N22" s="19">
        <f t="shared" si="1"/>
        <v>-3.3226837060702848E-2</v>
      </c>
      <c r="O22" s="11"/>
      <c r="P22" s="2">
        <f>--146.15</f>
        <v>146.15</v>
      </c>
      <c r="Q22" s="2"/>
      <c r="R22" s="19"/>
      <c r="S22" s="2"/>
      <c r="T22" s="2">
        <f>--128.1</f>
        <v>128.1</v>
      </c>
      <c r="U22" s="2"/>
      <c r="V22" s="19"/>
      <c r="W22" s="2"/>
      <c r="X22" s="2">
        <f t="shared" si="2"/>
        <v>18.050000000000011</v>
      </c>
      <c r="Y22" s="2"/>
      <c r="Z22" s="19">
        <f t="shared" si="3"/>
        <v>0.14090554254488691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--479.73</f>
        <v>479.73</v>
      </c>
      <c r="E23" s="2"/>
      <c r="F23" s="19"/>
      <c r="G23" s="2"/>
      <c r="H23" s="2">
        <f>--446.64</f>
        <v>446.64</v>
      </c>
      <c r="I23" s="2"/>
      <c r="J23" s="19"/>
      <c r="K23" s="2"/>
      <c r="L23" s="2">
        <f t="shared" si="0"/>
        <v>33.090000000000032</v>
      </c>
      <c r="M23" s="2"/>
      <c r="N23" s="19">
        <f t="shared" si="1"/>
        <v>7.408651262761963E-2</v>
      </c>
      <c r="O23" s="11"/>
      <c r="P23" s="2">
        <f>--5751.24</f>
        <v>5751.24</v>
      </c>
      <c r="Q23" s="2"/>
      <c r="R23" s="19"/>
      <c r="S23" s="2"/>
      <c r="T23" s="2">
        <f>--4805.57</f>
        <v>4805.57</v>
      </c>
      <c r="U23" s="2"/>
      <c r="V23" s="19"/>
      <c r="W23" s="2"/>
      <c r="X23" s="2">
        <f t="shared" si="2"/>
        <v>945.67000000000007</v>
      </c>
      <c r="Y23" s="2"/>
      <c r="Z23" s="19">
        <f t="shared" si="3"/>
        <v>0.196786229313068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--171.4</f>
        <v>171.4</v>
      </c>
      <c r="E24" s="2"/>
      <c r="F24" s="19"/>
      <c r="G24" s="2"/>
      <c r="H24" s="2">
        <f>--185.14</f>
        <v>185.14</v>
      </c>
      <c r="I24" s="2"/>
      <c r="J24" s="19"/>
      <c r="K24" s="2"/>
      <c r="L24" s="2">
        <f t="shared" si="0"/>
        <v>-13.739999999999981</v>
      </c>
      <c r="M24" s="2"/>
      <c r="N24" s="19">
        <f t="shared" si="1"/>
        <v>-7.421410824241105E-2</v>
      </c>
      <c r="O24" s="11"/>
      <c r="P24" s="2">
        <f>--1438.49</f>
        <v>1438.49</v>
      </c>
      <c r="Q24" s="2"/>
      <c r="R24" s="19"/>
      <c r="S24" s="2"/>
      <c r="T24" s="2">
        <f>--1774.77</f>
        <v>1774.77</v>
      </c>
      <c r="U24" s="2"/>
      <c r="V24" s="19"/>
      <c r="W24" s="2"/>
      <c r="X24" s="2">
        <f t="shared" si="2"/>
        <v>-336.28</v>
      </c>
      <c r="Y24" s="2"/>
      <c r="Z24" s="19">
        <f t="shared" si="3"/>
        <v>-0.18947807321512081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--17.84</f>
        <v>17.84</v>
      </c>
      <c r="E25" s="2"/>
      <c r="F25" s="19"/>
      <c r="G25" s="2"/>
      <c r="H25" s="2">
        <f>--55.84</f>
        <v>55.84</v>
      </c>
      <c r="I25" s="2"/>
      <c r="J25" s="19"/>
      <c r="K25" s="2"/>
      <c r="L25" s="2">
        <f t="shared" si="0"/>
        <v>-38</v>
      </c>
      <c r="M25" s="2"/>
      <c r="N25" s="19">
        <f t="shared" si="1"/>
        <v>-0.68051575931232089</v>
      </c>
      <c r="O25" s="11"/>
      <c r="P25" s="2">
        <f>--414.1</f>
        <v>414.1</v>
      </c>
      <c r="Q25" s="2"/>
      <c r="R25" s="19"/>
      <c r="S25" s="2"/>
      <c r="T25" s="2">
        <f>--473.67</f>
        <v>473.67</v>
      </c>
      <c r="U25" s="2"/>
      <c r="V25" s="19"/>
      <c r="W25" s="2"/>
      <c r="X25" s="2">
        <f t="shared" si="2"/>
        <v>-59.569999999999993</v>
      </c>
      <c r="Y25" s="2"/>
      <c r="Z25" s="19">
        <f t="shared" si="3"/>
        <v>-0.12576266176874193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--32.95</f>
        <v>32.950000000000003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32.950000000000003</v>
      </c>
      <c r="M26" s="2"/>
      <c r="N26" s="19">
        <f t="shared" si="1"/>
        <v>0</v>
      </c>
      <c r="O26" s="11"/>
      <c r="P26" s="2">
        <f>--32.95</f>
        <v>32.950000000000003</v>
      </c>
      <c r="Q26" s="2"/>
      <c r="R26" s="19"/>
      <c r="S26" s="2"/>
      <c r="T26" s="2">
        <f>--554.23</f>
        <v>554.23</v>
      </c>
      <c r="U26" s="2"/>
      <c r="V26" s="19"/>
      <c r="W26" s="2"/>
      <c r="X26" s="2">
        <f t="shared" si="2"/>
        <v>-521.28</v>
      </c>
      <c r="Y26" s="2"/>
      <c r="Z26" s="19">
        <f t="shared" si="3"/>
        <v>-0.94054814788084362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--266.85</f>
        <v>266.85000000000002</v>
      </c>
      <c r="E27" s="2"/>
      <c r="F27" s="19"/>
      <c r="G27" s="2"/>
      <c r="H27" s="2">
        <f>--178.83</f>
        <v>178.83</v>
      </c>
      <c r="I27" s="2"/>
      <c r="J27" s="19"/>
      <c r="K27" s="2"/>
      <c r="L27" s="2">
        <f t="shared" si="0"/>
        <v>88.02000000000001</v>
      </c>
      <c r="M27" s="2"/>
      <c r="N27" s="19">
        <f t="shared" si="1"/>
        <v>0.49219929542023155</v>
      </c>
      <c r="O27" s="11"/>
      <c r="P27" s="2">
        <f>--2801.28</f>
        <v>2801.28</v>
      </c>
      <c r="Q27" s="2"/>
      <c r="R27" s="19"/>
      <c r="S27" s="2"/>
      <c r="T27" s="2">
        <f>--3047.73</f>
        <v>3047.73</v>
      </c>
      <c r="U27" s="2"/>
      <c r="V27" s="19"/>
      <c r="W27" s="2"/>
      <c r="X27" s="2">
        <f t="shared" si="2"/>
        <v>-246.44999999999982</v>
      </c>
      <c r="Y27" s="2"/>
      <c r="Z27" s="19">
        <f t="shared" si="3"/>
        <v>-8.0863462314575044E-2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--38</f>
        <v>38</v>
      </c>
      <c r="E28" s="2"/>
      <c r="F28" s="19"/>
      <c r="G28" s="2"/>
      <c r="H28" s="2">
        <f>--241</f>
        <v>241</v>
      </c>
      <c r="I28" s="2"/>
      <c r="J28" s="19"/>
      <c r="K28" s="2"/>
      <c r="L28" s="2">
        <f t="shared" si="0"/>
        <v>-203</v>
      </c>
      <c r="M28" s="2"/>
      <c r="N28" s="19">
        <f t="shared" si="1"/>
        <v>-0.84232365145228216</v>
      </c>
      <c r="O28" s="11"/>
      <c r="P28" s="2">
        <f>--219</f>
        <v>219</v>
      </c>
      <c r="Q28" s="2"/>
      <c r="R28" s="19"/>
      <c r="S28" s="2"/>
      <c r="T28" s="2">
        <f>--790</f>
        <v>790</v>
      </c>
      <c r="U28" s="2"/>
      <c r="V28" s="19"/>
      <c r="W28" s="2"/>
      <c r="X28" s="2">
        <f t="shared" si="2"/>
        <v>-571</v>
      </c>
      <c r="Y28" s="2"/>
      <c r="Z28" s="19">
        <f t="shared" si="3"/>
        <v>-0.72278481012658224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--149.91</f>
        <v>149.91</v>
      </c>
      <c r="E29" s="2"/>
      <c r="F29" s="19"/>
      <c r="G29" s="2"/>
      <c r="H29" s="2">
        <f>--39.96</f>
        <v>39.96</v>
      </c>
      <c r="I29" s="2"/>
      <c r="J29" s="19"/>
      <c r="K29" s="2"/>
      <c r="L29" s="2">
        <f t="shared" si="0"/>
        <v>109.94999999999999</v>
      </c>
      <c r="M29" s="2"/>
      <c r="N29" s="19">
        <f t="shared" si="1"/>
        <v>2.751501501501501</v>
      </c>
      <c r="O29" s="11"/>
      <c r="P29" s="2">
        <f>--849.39</f>
        <v>849.39</v>
      </c>
      <c r="Q29" s="2"/>
      <c r="R29" s="19"/>
      <c r="S29" s="2"/>
      <c r="T29" s="2">
        <f>--884.29</f>
        <v>884.29</v>
      </c>
      <c r="U29" s="2"/>
      <c r="V29" s="19"/>
      <c r="W29" s="2"/>
      <c r="X29" s="2">
        <f t="shared" si="2"/>
        <v>-34.899999999999977</v>
      </c>
      <c r="Y29" s="2"/>
      <c r="Z29" s="19">
        <f t="shared" si="3"/>
        <v>-3.9466690791482406E-2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--76.99</f>
        <v>76.989999999999995</v>
      </c>
      <c r="E30" s="2"/>
      <c r="F30" s="19"/>
      <c r="G30" s="2"/>
      <c r="H30" s="2">
        <f>--142.17</f>
        <v>142.16999999999999</v>
      </c>
      <c r="I30" s="2"/>
      <c r="J30" s="19"/>
      <c r="K30" s="2"/>
      <c r="L30" s="2">
        <f t="shared" si="0"/>
        <v>-65.179999999999993</v>
      </c>
      <c r="M30" s="2"/>
      <c r="N30" s="19">
        <f t="shared" si="1"/>
        <v>-0.45846521769712317</v>
      </c>
      <c r="O30" s="11"/>
      <c r="P30" s="2">
        <f>--775.76</f>
        <v>775.76</v>
      </c>
      <c r="Q30" s="2"/>
      <c r="R30" s="19"/>
      <c r="S30" s="2"/>
      <c r="T30" s="2">
        <f>--1415.49</f>
        <v>1415.49</v>
      </c>
      <c r="U30" s="2"/>
      <c r="V30" s="19"/>
      <c r="W30" s="2"/>
      <c r="X30" s="2">
        <f t="shared" si="2"/>
        <v>-639.73</v>
      </c>
      <c r="Y30" s="2"/>
      <c r="Z30" s="19">
        <f t="shared" si="3"/>
        <v>-0.45194950158602321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>--98.5</f>
        <v>98.5</v>
      </c>
      <c r="E31" s="2"/>
      <c r="F31" s="19"/>
      <c r="G31" s="2"/>
      <c r="H31" s="2">
        <f>--99.83</f>
        <v>99.83</v>
      </c>
      <c r="I31" s="2"/>
      <c r="J31" s="19"/>
      <c r="K31" s="2"/>
      <c r="L31" s="2">
        <f t="shared" si="0"/>
        <v>-1.3299999999999983</v>
      </c>
      <c r="M31" s="2"/>
      <c r="N31" s="19">
        <f t="shared" si="1"/>
        <v>-1.3322648502454156E-2</v>
      </c>
      <c r="O31" s="11"/>
      <c r="P31" s="2">
        <f>--222.68</f>
        <v>222.68</v>
      </c>
      <c r="Q31" s="2"/>
      <c r="R31" s="19"/>
      <c r="S31" s="2"/>
      <c r="T31" s="2">
        <f>--271.87</f>
        <v>271.87</v>
      </c>
      <c r="U31" s="2"/>
      <c r="V31" s="19"/>
      <c r="W31" s="2"/>
      <c r="X31" s="2">
        <f t="shared" si="2"/>
        <v>-49.19</v>
      </c>
      <c r="Y31" s="2"/>
      <c r="Z31" s="19">
        <f t="shared" si="3"/>
        <v>-0.18093206311840215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--1047.53</f>
        <v>1047.53</v>
      </c>
      <c r="E32" s="2"/>
      <c r="F32" s="19"/>
      <c r="G32" s="2"/>
      <c r="H32" s="2">
        <f>--1102.77</f>
        <v>1102.77</v>
      </c>
      <c r="I32" s="2"/>
      <c r="J32" s="19"/>
      <c r="K32" s="2"/>
      <c r="L32" s="2">
        <f t="shared" si="0"/>
        <v>-55.240000000000009</v>
      </c>
      <c r="M32" s="2"/>
      <c r="N32" s="19">
        <f t="shared" si="1"/>
        <v>-5.0092040951422334E-2</v>
      </c>
      <c r="O32" s="11"/>
      <c r="P32" s="2">
        <f>--2556.64</f>
        <v>2556.64</v>
      </c>
      <c r="Q32" s="2"/>
      <c r="R32" s="19"/>
      <c r="S32" s="2"/>
      <c r="T32" s="2">
        <f>--3108.2</f>
        <v>3108.2</v>
      </c>
      <c r="U32" s="2"/>
      <c r="V32" s="19"/>
      <c r="W32" s="2"/>
      <c r="X32" s="2">
        <f t="shared" si="2"/>
        <v>-551.55999999999995</v>
      </c>
      <c r="Y32" s="2"/>
      <c r="Z32" s="19">
        <f t="shared" si="3"/>
        <v>-0.17745318834051862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--1531.2</f>
        <v>1531.2</v>
      </c>
      <c r="E33" s="2"/>
      <c r="F33" s="19"/>
      <c r="G33" s="2"/>
      <c r="H33" s="2">
        <f>--1570.59</f>
        <v>1570.59</v>
      </c>
      <c r="I33" s="2"/>
      <c r="J33" s="19"/>
      <c r="K33" s="2"/>
      <c r="L33" s="2">
        <f t="shared" si="0"/>
        <v>-39.389999999999873</v>
      </c>
      <c r="M33" s="2"/>
      <c r="N33" s="19">
        <f t="shared" si="1"/>
        <v>-2.507974710140767E-2</v>
      </c>
      <c r="O33" s="11"/>
      <c r="P33" s="2">
        <f>--4134.6</f>
        <v>4134.6000000000004</v>
      </c>
      <c r="Q33" s="2"/>
      <c r="R33" s="19"/>
      <c r="S33" s="2"/>
      <c r="T33" s="2">
        <f>--11017.12</f>
        <v>11017.12</v>
      </c>
      <c r="U33" s="2"/>
      <c r="V33" s="19"/>
      <c r="W33" s="2"/>
      <c r="X33" s="2">
        <f t="shared" si="2"/>
        <v>-6882.52</v>
      </c>
      <c r="Y33" s="2"/>
      <c r="Z33" s="19">
        <f t="shared" si="3"/>
        <v>-0.62471135832232016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>--182.3</f>
        <v>182.3</v>
      </c>
      <c r="E34" s="2"/>
      <c r="F34" s="19"/>
      <c r="G34" s="2"/>
      <c r="H34" s="2">
        <f>--119.98</f>
        <v>119.98</v>
      </c>
      <c r="I34" s="2"/>
      <c r="J34" s="19"/>
      <c r="K34" s="2"/>
      <c r="L34" s="2">
        <f t="shared" si="0"/>
        <v>62.320000000000007</v>
      </c>
      <c r="M34" s="2"/>
      <c r="N34" s="19">
        <f t="shared" si="1"/>
        <v>0.51941990331721954</v>
      </c>
      <c r="O34" s="11"/>
      <c r="P34" s="2">
        <f>--531.02</f>
        <v>531.02</v>
      </c>
      <c r="Q34" s="2"/>
      <c r="R34" s="19"/>
      <c r="S34" s="2"/>
      <c r="T34" s="2">
        <f>--776.97</f>
        <v>776.97</v>
      </c>
      <c r="U34" s="2"/>
      <c r="V34" s="19"/>
      <c r="W34" s="2"/>
      <c r="X34" s="2">
        <f t="shared" si="2"/>
        <v>-245.95000000000005</v>
      </c>
      <c r="Y34" s="2"/>
      <c r="Z34" s="19">
        <f t="shared" si="3"/>
        <v>-0.31655018855296863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--3944.61</f>
        <v>3944.61</v>
      </c>
      <c r="E35" s="2"/>
      <c r="F35" s="19"/>
      <c r="G35" s="2"/>
      <c r="H35" s="2">
        <f>--4307.81</f>
        <v>4307.8100000000004</v>
      </c>
      <c r="I35" s="2"/>
      <c r="J35" s="19"/>
      <c r="K35" s="2"/>
      <c r="L35" s="2">
        <f t="shared" si="0"/>
        <v>-363.20000000000027</v>
      </c>
      <c r="M35" s="2"/>
      <c r="N35" s="19">
        <f t="shared" si="1"/>
        <v>-8.4311982190486634E-2</v>
      </c>
      <c r="O35" s="11"/>
      <c r="P35" s="2">
        <f>--43030.34</f>
        <v>43030.34</v>
      </c>
      <c r="Q35" s="2"/>
      <c r="R35" s="19"/>
      <c r="S35" s="2"/>
      <c r="T35" s="2">
        <f>--43367.53</f>
        <v>43367.53</v>
      </c>
      <c r="U35" s="2"/>
      <c r="V35" s="19"/>
      <c r="W35" s="2"/>
      <c r="X35" s="2">
        <f t="shared" si="2"/>
        <v>-337.19000000000233</v>
      </c>
      <c r="Y35" s="2"/>
      <c r="Z35" s="19">
        <f t="shared" si="3"/>
        <v>-7.7751718855097888E-3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--1102.23</f>
        <v>1102.23</v>
      </c>
      <c r="E36" s="2"/>
      <c r="F36" s="19"/>
      <c r="G36" s="2"/>
      <c r="H36" s="2">
        <f>--1026.95</f>
        <v>1026.95</v>
      </c>
      <c r="I36" s="2"/>
      <c r="J36" s="19"/>
      <c r="K36" s="2"/>
      <c r="L36" s="2">
        <f t="shared" si="0"/>
        <v>75.279999999999973</v>
      </c>
      <c r="M36" s="2"/>
      <c r="N36" s="19">
        <f t="shared" si="1"/>
        <v>7.3304445201811161E-2</v>
      </c>
      <c r="O36" s="11"/>
      <c r="P36" s="2">
        <f>--12547.43</f>
        <v>12547.43</v>
      </c>
      <c r="Q36" s="2"/>
      <c r="R36" s="19"/>
      <c r="S36" s="2"/>
      <c r="T36" s="2">
        <f>--11024.18</f>
        <v>11024.18</v>
      </c>
      <c r="U36" s="2"/>
      <c r="V36" s="19"/>
      <c r="W36" s="2"/>
      <c r="X36" s="2">
        <f t="shared" si="2"/>
        <v>1523.25</v>
      </c>
      <c r="Y36" s="2"/>
      <c r="Z36" s="19">
        <f t="shared" si="3"/>
        <v>0.13817354215914471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--1436.4</f>
        <v>1436.4</v>
      </c>
      <c r="E37" s="2"/>
      <c r="F37" s="19"/>
      <c r="G37" s="2"/>
      <c r="H37" s="2">
        <f>--1451.09</f>
        <v>1451.09</v>
      </c>
      <c r="I37" s="2"/>
      <c r="J37" s="19"/>
      <c r="K37" s="2"/>
      <c r="L37" s="2">
        <f t="shared" si="0"/>
        <v>-14.689999999999827</v>
      </c>
      <c r="M37" s="2"/>
      <c r="N37" s="19">
        <f t="shared" si="1"/>
        <v>-1.0123424460233224E-2</v>
      </c>
      <c r="O37" s="11"/>
      <c r="P37" s="2">
        <f>--13558.18</f>
        <v>13558.18</v>
      </c>
      <c r="Q37" s="2"/>
      <c r="R37" s="19"/>
      <c r="S37" s="2"/>
      <c r="T37" s="2">
        <f>--11917.8</f>
        <v>11917.8</v>
      </c>
      <c r="U37" s="2"/>
      <c r="V37" s="19"/>
      <c r="W37" s="2"/>
      <c r="X37" s="2">
        <f t="shared" si="2"/>
        <v>1640.380000000001</v>
      </c>
      <c r="Y37" s="2"/>
      <c r="Z37" s="19">
        <f t="shared" si="3"/>
        <v>0.13764117538471876</v>
      </c>
    </row>
    <row r="38" spans="1:26" s="24" customFormat="1" hidden="1" outlineLevel="1" x14ac:dyDescent="0.25">
      <c r="A38" s="44"/>
      <c r="B38" s="11" t="str">
        <f>CONCATENATE("          ", "4134", " - ", "NON-TAXABLE SALES-SODA")</f>
        <v xml:space="preserve">          4134 - NON-TAXABLE SALES-SODA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--109.47</f>
        <v>109.47</v>
      </c>
      <c r="U38" s="2"/>
      <c r="V38" s="19"/>
      <c r="W38" s="2"/>
      <c r="X38" s="2">
        <f t="shared" si="2"/>
        <v>-109.47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"4135", " - ", "NON-TAXABLE SALES")</f>
        <v xml:space="preserve">          4135 - NON-TAXABLE SALES</v>
      </c>
      <c r="C39" s="11"/>
      <c r="D39" s="2">
        <f>--21.54</f>
        <v>21.54</v>
      </c>
      <c r="E39" s="2"/>
      <c r="F39" s="19"/>
      <c r="G39" s="2"/>
      <c r="H39" s="2">
        <f>--32.31</f>
        <v>32.31</v>
      </c>
      <c r="I39" s="2"/>
      <c r="J39" s="19"/>
      <c r="K39" s="2"/>
      <c r="L39" s="2">
        <f t="shared" si="0"/>
        <v>-10.770000000000003</v>
      </c>
      <c r="M39" s="2"/>
      <c r="N39" s="19">
        <f t="shared" si="1"/>
        <v>-0.33333333333333343</v>
      </c>
      <c r="O39" s="11"/>
      <c r="P39" s="2">
        <f>--139.86</f>
        <v>139.86000000000001</v>
      </c>
      <c r="Q39" s="2"/>
      <c r="R39" s="19"/>
      <c r="S39" s="2"/>
      <c r="T39" s="2">
        <f>--204.91</f>
        <v>204.91</v>
      </c>
      <c r="U39" s="2"/>
      <c r="V39" s="19"/>
      <c r="W39" s="2"/>
      <c r="X39" s="2">
        <f t="shared" si="2"/>
        <v>-65.049999999999983</v>
      </c>
      <c r="Y39" s="2"/>
      <c r="Z39" s="19">
        <f t="shared" si="3"/>
        <v>-0.31745644429261621</v>
      </c>
    </row>
    <row r="40" spans="1:26" s="24" customFormat="1" hidden="1" outlineLevel="1" x14ac:dyDescent="0.25">
      <c r="A40" s="44"/>
      <c r="B40" s="11" t="str">
        <f>CONCATENATE("          ", "4137", " - ", "NON-TAXABLE SALES-WATER")</f>
        <v xml:space="preserve">          4137 - NON-TAXABLE SALES-WATER</v>
      </c>
      <c r="C40" s="11"/>
      <c r="D40" s="2">
        <f>--625.39</f>
        <v>625.39</v>
      </c>
      <c r="E40" s="2"/>
      <c r="F40" s="19"/>
      <c r="G40" s="2"/>
      <c r="H40" s="2">
        <f>--529.9</f>
        <v>529.9</v>
      </c>
      <c r="I40" s="2"/>
      <c r="J40" s="19"/>
      <c r="K40" s="2"/>
      <c r="L40" s="2">
        <f t="shared" si="0"/>
        <v>95.490000000000009</v>
      </c>
      <c r="M40" s="2"/>
      <c r="N40" s="19">
        <f t="shared" si="1"/>
        <v>0.18020381204000757</v>
      </c>
      <c r="O40" s="11"/>
      <c r="P40" s="2">
        <f>--6445.46</f>
        <v>6445.46</v>
      </c>
      <c r="Q40" s="2"/>
      <c r="R40" s="19"/>
      <c r="S40" s="2"/>
      <c r="T40" s="2">
        <f>--6002.01</f>
        <v>6002.01</v>
      </c>
      <c r="U40" s="2"/>
      <c r="V40" s="19"/>
      <c r="W40" s="2"/>
      <c r="X40" s="2">
        <f t="shared" si="2"/>
        <v>443.44999999999982</v>
      </c>
      <c r="Y40" s="2"/>
      <c r="Z40" s="19">
        <f t="shared" si="3"/>
        <v>7.3883582333251666E-2</v>
      </c>
    </row>
    <row r="41" spans="1:26" s="24" customFormat="1" hidden="1" outlineLevel="1" x14ac:dyDescent="0.25">
      <c r="A41" s="44"/>
      <c r="B41" s="11" t="str">
        <f>CONCATENATE("          ", "4186", " - ", "NON-TAXABLE SALES-COMPUTER SUP")</f>
        <v xml:space="preserve">          4186 - NON-TAXABLE SALES-COMPUTER SUP</v>
      </c>
      <c r="C41" s="11"/>
      <c r="D41" s="2">
        <f t="shared" ref="D41:D42" si="4">0</f>
        <v>0</v>
      </c>
      <c r="E41" s="2"/>
      <c r="F41" s="19"/>
      <c r="G41" s="2"/>
      <c r="H41" s="2">
        <f>-12.74</f>
        <v>-12.74</v>
      </c>
      <c r="I41" s="2"/>
      <c r="J41" s="19"/>
      <c r="K41" s="2"/>
      <c r="L41" s="2">
        <f t="shared" si="0"/>
        <v>12.74</v>
      </c>
      <c r="M41" s="2"/>
      <c r="N41" s="19">
        <f t="shared" si="1"/>
        <v>-1</v>
      </c>
      <c r="O41" s="11"/>
      <c r="P41" s="2">
        <f>-30.97</f>
        <v>-30.97</v>
      </c>
      <c r="Q41" s="2"/>
      <c r="R41" s="19"/>
      <c r="S41" s="2"/>
      <c r="T41" s="2">
        <f>-140.68</f>
        <v>-140.68</v>
      </c>
      <c r="U41" s="2"/>
      <c r="V41" s="19"/>
      <c r="W41" s="2"/>
      <c r="X41" s="2">
        <f t="shared" si="2"/>
        <v>109.71000000000001</v>
      </c>
      <c r="Y41" s="2"/>
      <c r="Z41" s="19">
        <f t="shared" si="3"/>
        <v>-0.77985499004833669</v>
      </c>
    </row>
    <row r="42" spans="1:26" s="24" customFormat="1" hidden="1" outlineLevel="1" x14ac:dyDescent="0.25">
      <c r="A42" s="44"/>
      <c r="B42" s="11" t="str">
        <f>CONCATENATE("          ", "4217", " - ", "NON-TAXABLE SALES-DORM/HOUSEWA")</f>
        <v xml:space="preserve">          4217 - NON-TAXABLE SALES-DORM/HOUSEWA</v>
      </c>
      <c r="C42" s="11"/>
      <c r="D42" s="2">
        <f t="shared" si="4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-2.98</f>
        <v>-2.98</v>
      </c>
      <c r="Q42" s="2"/>
      <c r="R42" s="19"/>
      <c r="S42" s="2"/>
      <c r="T42" s="2">
        <f>-1.5</f>
        <v>-1.5</v>
      </c>
      <c r="U42" s="2"/>
      <c r="V42" s="19"/>
      <c r="W42" s="2"/>
      <c r="X42" s="2">
        <f t="shared" si="2"/>
        <v>-1.48</v>
      </c>
      <c r="Y42" s="2"/>
      <c r="Z42" s="19">
        <f t="shared" si="3"/>
        <v>0.98666666666666669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-14.74</f>
        <v>-14.74</v>
      </c>
      <c r="E43" s="2"/>
      <c r="F43" s="19"/>
      <c r="G43" s="2"/>
      <c r="H43" s="2">
        <f>-22.32</f>
        <v>-22.32</v>
      </c>
      <c r="I43" s="2"/>
      <c r="J43" s="19"/>
      <c r="K43" s="2"/>
      <c r="L43" s="2">
        <f t="shared" si="0"/>
        <v>7.58</v>
      </c>
      <c r="M43" s="2"/>
      <c r="N43" s="19">
        <f t="shared" si="1"/>
        <v>-0.3396057347670251</v>
      </c>
      <c r="O43" s="11"/>
      <c r="P43" s="2">
        <f>-95.71</f>
        <v>-95.71</v>
      </c>
      <c r="Q43" s="2"/>
      <c r="R43" s="19"/>
      <c r="S43" s="2"/>
      <c r="T43" s="2">
        <f>-84.74</f>
        <v>-84.74</v>
      </c>
      <c r="U43" s="2"/>
      <c r="V43" s="19"/>
      <c r="W43" s="2"/>
      <c r="X43" s="2">
        <f t="shared" si="2"/>
        <v>-10.969999999999999</v>
      </c>
      <c r="Y43" s="2"/>
      <c r="Z43" s="19">
        <f t="shared" si="3"/>
        <v>0.129454802926599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-149.55</f>
        <v>-149.55000000000001</v>
      </c>
      <c r="E44" s="2"/>
      <c r="F44" s="19"/>
      <c r="G44" s="2"/>
      <c r="H44" s="2">
        <f>-27.76</f>
        <v>-27.76</v>
      </c>
      <c r="I44" s="2"/>
      <c r="J44" s="19"/>
      <c r="K44" s="2"/>
      <c r="L44" s="2">
        <f t="shared" si="0"/>
        <v>-121.79</v>
      </c>
      <c r="M44" s="2"/>
      <c r="N44" s="19">
        <f t="shared" si="1"/>
        <v>4.3872478386167151</v>
      </c>
      <c r="O44" s="11"/>
      <c r="P44" s="2">
        <f>-546.11</f>
        <v>-546.11</v>
      </c>
      <c r="Q44" s="2"/>
      <c r="R44" s="19"/>
      <c r="S44" s="2"/>
      <c r="T44" s="2">
        <f>-307.23</f>
        <v>-307.23</v>
      </c>
      <c r="U44" s="2"/>
      <c r="V44" s="19"/>
      <c r="W44" s="2"/>
      <c r="X44" s="2">
        <f t="shared" si="2"/>
        <v>-238.88</v>
      </c>
      <c r="Y44" s="2"/>
      <c r="Z44" s="19">
        <f t="shared" si="3"/>
        <v>0.77752823617485267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-962.28</f>
        <v>-962.28</v>
      </c>
      <c r="E45" s="2"/>
      <c r="F45" s="19"/>
      <c r="G45" s="2"/>
      <c r="H45" s="2">
        <f>-1186.6</f>
        <v>-1186.5999999999999</v>
      </c>
      <c r="I45" s="2"/>
      <c r="J45" s="19"/>
      <c r="K45" s="2"/>
      <c r="L45" s="2">
        <f t="shared" si="0"/>
        <v>224.31999999999994</v>
      </c>
      <c r="M45" s="2"/>
      <c r="N45" s="19">
        <f t="shared" si="1"/>
        <v>-0.18904432833305237</v>
      </c>
      <c r="O45" s="11"/>
      <c r="P45" s="2">
        <f>-6910.86</f>
        <v>-6910.86</v>
      </c>
      <c r="Q45" s="2"/>
      <c r="R45" s="19"/>
      <c r="S45" s="2"/>
      <c r="T45" s="2">
        <f>-3875.98</f>
        <v>-3875.98</v>
      </c>
      <c r="U45" s="2"/>
      <c r="V45" s="19"/>
      <c r="W45" s="2"/>
      <c r="X45" s="2">
        <f t="shared" si="2"/>
        <v>-3034.8799999999997</v>
      </c>
      <c r="Y45" s="2"/>
      <c r="Z45" s="19">
        <f t="shared" si="3"/>
        <v>0.78299681628904161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-766.07</f>
        <v>-766.07</v>
      </c>
      <c r="E46" s="2"/>
      <c r="F46" s="19"/>
      <c r="G46" s="2"/>
      <c r="H46" s="2">
        <f>-1234.7</f>
        <v>-1234.7</v>
      </c>
      <c r="I46" s="2"/>
      <c r="J46" s="19"/>
      <c r="K46" s="2"/>
      <c r="L46" s="2">
        <f t="shared" si="0"/>
        <v>468.63</v>
      </c>
      <c r="M46" s="2"/>
      <c r="N46" s="19">
        <f t="shared" si="1"/>
        <v>-0.37954968818336438</v>
      </c>
      <c r="O46" s="11"/>
      <c r="P46" s="2">
        <f>-3914.69</f>
        <v>-3914.69</v>
      </c>
      <c r="Q46" s="2"/>
      <c r="R46" s="19"/>
      <c r="S46" s="2"/>
      <c r="T46" s="2">
        <f>-5833.5</f>
        <v>-5833.5</v>
      </c>
      <c r="U46" s="2"/>
      <c r="V46" s="19"/>
      <c r="W46" s="2"/>
      <c r="X46" s="2">
        <f t="shared" si="2"/>
        <v>1918.81</v>
      </c>
      <c r="Y46" s="2"/>
      <c r="Z46" s="19">
        <f t="shared" si="3"/>
        <v>-0.32892945915830973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ref="D47:D50" si="5">0</f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>
        <f>-1.89</f>
        <v>-1.89</v>
      </c>
      <c r="U47" s="2"/>
      <c r="V47" s="19"/>
      <c r="W47" s="2"/>
      <c r="X47" s="2">
        <f t="shared" si="2"/>
        <v>0.59999999999999987</v>
      </c>
      <c r="Y47" s="2"/>
      <c r="Z47" s="19">
        <f t="shared" si="3"/>
        <v>-0.31746031746031739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5"/>
        <v>0</v>
      </c>
      <c r="E48" s="2"/>
      <c r="F48" s="19"/>
      <c r="G48" s="2"/>
      <c r="H48" s="2">
        <f>-9.99</f>
        <v>-9.99</v>
      </c>
      <c r="I48" s="2"/>
      <c r="J48" s="19"/>
      <c r="K48" s="2"/>
      <c r="L48" s="2">
        <f t="shared" si="0"/>
        <v>9.99</v>
      </c>
      <c r="M48" s="2"/>
      <c r="N48" s="19">
        <f t="shared" si="1"/>
        <v>-1</v>
      </c>
      <c r="O48" s="11"/>
      <c r="P48" s="2">
        <f>-54.97</f>
        <v>-54.97</v>
      </c>
      <c r="Q48" s="2"/>
      <c r="R48" s="19"/>
      <c r="S48" s="2"/>
      <c r="T48" s="2">
        <f>-34.98</f>
        <v>-34.979999999999997</v>
      </c>
      <c r="U48" s="2"/>
      <c r="V48" s="19"/>
      <c r="W48" s="2"/>
      <c r="X48" s="2">
        <f t="shared" si="2"/>
        <v>-19.990000000000002</v>
      </c>
      <c r="Y48" s="2"/>
      <c r="Z48" s="19">
        <f t="shared" si="3"/>
        <v>0.57146941109205274</v>
      </c>
    </row>
    <row r="49" spans="1:26" s="24" customFormat="1" hidden="1" outlineLevel="1" x14ac:dyDescent="0.25">
      <c r="A49" s="44"/>
      <c r="B49" s="11" t="str">
        <f>CONCATENATE("          ", "4326", " - ", "SALES RETURN NON TAXABLE-WRITI")</f>
        <v xml:space="preserve">          4326 - SALES RETURN NON TAXABLE-WRITI</v>
      </c>
      <c r="C49" s="11"/>
      <c r="D49" s="2">
        <f t="shared" si="5"/>
        <v>0</v>
      </c>
      <c r="E49" s="2"/>
      <c r="F49" s="19"/>
      <c r="G49" s="2"/>
      <c r="H49" s="2">
        <f>-6.69</f>
        <v>-6.69</v>
      </c>
      <c r="I49" s="2"/>
      <c r="J49" s="19"/>
      <c r="K49" s="2"/>
      <c r="L49" s="2">
        <f t="shared" si="0"/>
        <v>6.69</v>
      </c>
      <c r="M49" s="2"/>
      <c r="N49" s="19">
        <f t="shared" si="1"/>
        <v>-1</v>
      </c>
      <c r="O49" s="11"/>
      <c r="P49" s="2">
        <f>0</f>
        <v>0</v>
      </c>
      <c r="Q49" s="2"/>
      <c r="R49" s="19"/>
      <c r="S49" s="2"/>
      <c r="T49" s="2">
        <f>-14.77</f>
        <v>-14.77</v>
      </c>
      <c r="U49" s="2"/>
      <c r="V49" s="19"/>
      <c r="W49" s="2"/>
      <c r="X49" s="2">
        <f t="shared" si="2"/>
        <v>14.77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"4327", " - ", "SALES RETURN NON TAXABLE-SCHOO")</f>
        <v xml:space="preserve">          4327 - SALES RETURN NON TAXABLE-SCHOO</v>
      </c>
      <c r="C50" s="11"/>
      <c r="D50" s="2">
        <f t="shared" si="5"/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-21.87</f>
        <v>-21.87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-21.87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70170.920000000027</v>
      </c>
      <c r="E52" s="4"/>
      <c r="F52" s="12">
        <f t="shared" ref="F52:F75" si="6">IF(D$12=0,0,D52/D$12)</f>
        <v>0.50882591464192828</v>
      </c>
      <c r="G52" s="4"/>
      <c r="H52" s="4">
        <f>SUM(OSRRefH16x_0)</f>
        <v>66151.719999999987</v>
      </c>
      <c r="I52" s="4"/>
      <c r="J52" s="12">
        <f t="shared" ref="J52:J75" si="7">IF(H$12=0,0,H52/H$12)</f>
        <v>0.52731630718552824</v>
      </c>
      <c r="K52" s="4"/>
      <c r="L52" s="4">
        <f t="shared" ref="L52:L75" si="8">+D52-H52</f>
        <v>4019.2000000000407</v>
      </c>
      <c r="M52" s="4"/>
      <c r="N52" s="12">
        <f t="shared" ref="N52:N75" si="9">IF(H52=0,0,L52/H52)</f>
        <v>6.0757301548622494E-2</v>
      </c>
      <c r="O52" s="10"/>
      <c r="P52" s="4">
        <f>SUM(OSRRefP16x_0)</f>
        <v>326763.63</v>
      </c>
      <c r="Q52" s="4"/>
      <c r="R52" s="12">
        <f t="shared" ref="R52:R75" si="10">IF(P$12=0,0,P52/P$12)</f>
        <v>0.49972658029090522</v>
      </c>
      <c r="S52" s="4"/>
      <c r="T52" s="4">
        <f>SUM(OSRRefT16x_0)</f>
        <v>329612.12999999995</v>
      </c>
      <c r="U52" s="4"/>
      <c r="V52" s="12">
        <f t="shared" ref="V52:V75" si="11">IF(T$12=0,0,T52/T$12)</f>
        <v>0.52162063275508264</v>
      </c>
      <c r="W52" s="4"/>
      <c r="X52" s="4">
        <f t="shared" ref="X52:X75" si="12">+P52-T52</f>
        <v>-2848.4999999999418</v>
      </c>
      <c r="Y52" s="4"/>
      <c r="Z52" s="12">
        <f t="shared" ref="Z52:Z75" si="13">IF(T52=0,0,X52/T52)</f>
        <v>-8.6419756457383479E-3</v>
      </c>
    </row>
    <row r="53" spans="1:26" s="24" customFormat="1" hidden="1" outlineLevel="1" x14ac:dyDescent="0.2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14.46</v>
      </c>
      <c r="Q53" s="2"/>
      <c r="R53" s="19">
        <f t="shared" si="10"/>
        <v>2.2113986036348322E-5</v>
      </c>
      <c r="S53" s="2"/>
      <c r="T53" s="2"/>
      <c r="U53" s="2"/>
      <c r="V53" s="19">
        <f t="shared" si="11"/>
        <v>0</v>
      </c>
      <c r="W53" s="2"/>
      <c r="X53" s="2">
        <f t="shared" si="12"/>
        <v>14.46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"5017", " - ", "PURCHASES @ COST-DORM/HOUSEWAR")</f>
        <v xml:space="preserve">          5017 - PURCHASES @ COST-DORM/HOUSEWAR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>
        <v>239.9</v>
      </c>
      <c r="U54" s="2"/>
      <c r="V54" s="19">
        <f t="shared" si="11"/>
        <v>3.7964861850789389E-4</v>
      </c>
      <c r="W54" s="2"/>
      <c r="X54" s="2">
        <f t="shared" si="12"/>
        <v>-239.9</v>
      </c>
      <c r="Y54" s="2"/>
      <c r="Z54" s="19">
        <f t="shared" si="13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873.94</v>
      </c>
      <c r="E55" s="2"/>
      <c r="F55" s="19">
        <f t="shared" si="6"/>
        <v>6.3371453565403829E-3</v>
      </c>
      <c r="G55" s="2"/>
      <c r="H55" s="2">
        <v>1306.72</v>
      </c>
      <c r="I55" s="2"/>
      <c r="J55" s="19">
        <f t="shared" si="7"/>
        <v>1.0416278895325376E-2</v>
      </c>
      <c r="K55" s="2"/>
      <c r="L55" s="2">
        <f t="shared" si="8"/>
        <v>-432.78</v>
      </c>
      <c r="M55" s="2"/>
      <c r="N55" s="19">
        <f t="shared" si="9"/>
        <v>-0.33119566548304147</v>
      </c>
      <c r="O55" s="11"/>
      <c r="P55" s="2">
        <v>22972.329999999998</v>
      </c>
      <c r="Q55" s="2"/>
      <c r="R55" s="19">
        <f t="shared" si="10"/>
        <v>3.5132073640552257E-2</v>
      </c>
      <c r="S55" s="2"/>
      <c r="T55" s="2">
        <v>16292.670000000002</v>
      </c>
      <c r="U55" s="2"/>
      <c r="V55" s="19">
        <f t="shared" si="11"/>
        <v>2.5783616745748264E-2</v>
      </c>
      <c r="W55" s="2"/>
      <c r="X55" s="2">
        <f t="shared" si="12"/>
        <v>6679.6599999999962</v>
      </c>
      <c r="Y55" s="2"/>
      <c r="Z55" s="19">
        <f t="shared" si="13"/>
        <v>0.40997945701962879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7905</v>
      </c>
      <c r="E56" s="2"/>
      <c r="F56" s="19">
        <f t="shared" si="6"/>
        <v>5.7321022087845529E-2</v>
      </c>
      <c r="G56" s="2"/>
      <c r="H56" s="2">
        <v>9726.6</v>
      </c>
      <c r="I56" s="2"/>
      <c r="J56" s="19">
        <f t="shared" si="7"/>
        <v>7.7533808546032659E-2</v>
      </c>
      <c r="K56" s="2"/>
      <c r="L56" s="2">
        <f t="shared" si="8"/>
        <v>-1821.6000000000004</v>
      </c>
      <c r="M56" s="2"/>
      <c r="N56" s="19">
        <f t="shared" si="9"/>
        <v>-0.18728024181111594</v>
      </c>
      <c r="O56" s="11"/>
      <c r="P56" s="2">
        <v>42221.009999999995</v>
      </c>
      <c r="Q56" s="2"/>
      <c r="R56" s="19">
        <f t="shared" si="10"/>
        <v>6.4569490012484285E-2</v>
      </c>
      <c r="S56" s="2"/>
      <c r="T56" s="2">
        <v>41058.54</v>
      </c>
      <c r="U56" s="2"/>
      <c r="V56" s="19">
        <f t="shared" si="11"/>
        <v>6.4976315085248454E-2</v>
      </c>
      <c r="W56" s="2"/>
      <c r="X56" s="2">
        <f t="shared" si="12"/>
        <v>1162.4699999999939</v>
      </c>
      <c r="Y56" s="2"/>
      <c r="Z56" s="19">
        <f t="shared" si="13"/>
        <v>2.8312502100659057E-2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42558.76</v>
      </c>
      <c r="E57" s="2"/>
      <c r="F57" s="19">
        <f t="shared" si="6"/>
        <v>0.30860362074526465</v>
      </c>
      <c r="G57" s="2"/>
      <c r="H57" s="2">
        <v>15547.390000000001</v>
      </c>
      <c r="I57" s="2"/>
      <c r="J57" s="19">
        <f t="shared" si="7"/>
        <v>0.12393316880004347</v>
      </c>
      <c r="K57" s="2"/>
      <c r="L57" s="2">
        <f t="shared" si="8"/>
        <v>27011.370000000003</v>
      </c>
      <c r="M57" s="2"/>
      <c r="N57" s="19">
        <f t="shared" si="9"/>
        <v>1.7373572027201993</v>
      </c>
      <c r="O57" s="11"/>
      <c r="P57" s="2">
        <v>120507.47</v>
      </c>
      <c r="Q57" s="2"/>
      <c r="R57" s="19">
        <f t="shared" si="10"/>
        <v>0.18429464099970017</v>
      </c>
      <c r="S57" s="2"/>
      <c r="T57" s="2">
        <v>112937.35</v>
      </c>
      <c r="U57" s="2"/>
      <c r="V57" s="19">
        <f t="shared" si="11"/>
        <v>0.17872658985178197</v>
      </c>
      <c r="W57" s="2"/>
      <c r="X57" s="2">
        <f t="shared" si="12"/>
        <v>7570.1199999999953</v>
      </c>
      <c r="Y57" s="2"/>
      <c r="Z57" s="19">
        <f t="shared" si="13"/>
        <v>6.7029375135860672E-2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32126.68</v>
      </c>
      <c r="E58" s="2"/>
      <c r="F58" s="19">
        <f t="shared" si="6"/>
        <v>0.23295814470450921</v>
      </c>
      <c r="G58" s="2"/>
      <c r="H58" s="2">
        <v>38426.899999999994</v>
      </c>
      <c r="I58" s="2"/>
      <c r="J58" s="19">
        <f t="shared" si="7"/>
        <v>0.30631298784956118</v>
      </c>
      <c r="K58" s="2"/>
      <c r="L58" s="2">
        <f t="shared" si="8"/>
        <v>-6300.2199999999939</v>
      </c>
      <c r="M58" s="2"/>
      <c r="N58" s="19">
        <f t="shared" si="9"/>
        <v>-0.16395337641079544</v>
      </c>
      <c r="O58" s="11"/>
      <c r="P58" s="2">
        <v>135127.5</v>
      </c>
      <c r="Q58" s="2"/>
      <c r="R58" s="19">
        <f t="shared" si="10"/>
        <v>0.20665336432411188</v>
      </c>
      <c r="S58" s="2"/>
      <c r="T58" s="2">
        <v>136220.42000000001</v>
      </c>
      <c r="U58" s="2"/>
      <c r="V58" s="19">
        <f t="shared" si="11"/>
        <v>0.21557271473766187</v>
      </c>
      <c r="W58" s="2"/>
      <c r="X58" s="2">
        <f t="shared" si="12"/>
        <v>-1092.9200000000128</v>
      </c>
      <c r="Y58" s="2"/>
      <c r="Z58" s="19">
        <f t="shared" si="13"/>
        <v>-8.0231730308863575E-3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2390.66</v>
      </c>
      <c r="E59" s="2"/>
      <c r="F59" s="19">
        <f t="shared" si="6"/>
        <v>1.7335240311768346E-2</v>
      </c>
      <c r="G59" s="2"/>
      <c r="H59" s="2">
        <v>3763.6</v>
      </c>
      <c r="I59" s="2"/>
      <c r="J59" s="19">
        <f t="shared" si="7"/>
        <v>3.0000847350960102E-2</v>
      </c>
      <c r="K59" s="2"/>
      <c r="L59" s="2">
        <f t="shared" si="8"/>
        <v>-1372.94</v>
      </c>
      <c r="M59" s="2"/>
      <c r="N59" s="19">
        <f t="shared" si="9"/>
        <v>-0.36479434583909026</v>
      </c>
      <c r="O59" s="11"/>
      <c r="P59" s="2">
        <v>24900.390000000003</v>
      </c>
      <c r="Q59" s="2"/>
      <c r="R59" s="19">
        <f t="shared" si="10"/>
        <v>3.8080696871343529E-2</v>
      </c>
      <c r="S59" s="2"/>
      <c r="T59" s="2">
        <v>22897.390000000003</v>
      </c>
      <c r="U59" s="2"/>
      <c r="V59" s="19">
        <f t="shared" si="11"/>
        <v>3.6235775243586767E-2</v>
      </c>
      <c r="W59" s="2"/>
      <c r="X59" s="2">
        <f t="shared" si="12"/>
        <v>2003</v>
      </c>
      <c r="Y59" s="2"/>
      <c r="Z59" s="19">
        <f t="shared" si="13"/>
        <v>8.7477219019285596E-2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371.03</v>
      </c>
      <c r="E60" s="2"/>
      <c r="F60" s="19">
        <f t="shared" si="6"/>
        <v>2.6904261638524131E-3</v>
      </c>
      <c r="G60" s="2"/>
      <c r="H60" s="2">
        <v>423.28</v>
      </c>
      <c r="I60" s="2"/>
      <c r="J60" s="19">
        <f t="shared" si="7"/>
        <v>3.3740989124015279E-3</v>
      </c>
      <c r="K60" s="2"/>
      <c r="L60" s="2">
        <f t="shared" si="8"/>
        <v>-52.25</v>
      </c>
      <c r="M60" s="2"/>
      <c r="N60" s="19">
        <f t="shared" si="9"/>
        <v>-0.12344074844074845</v>
      </c>
      <c r="O60" s="11"/>
      <c r="P60" s="2">
        <v>5392.51</v>
      </c>
      <c r="Q60" s="2"/>
      <c r="R60" s="19">
        <f t="shared" si="10"/>
        <v>8.246880417764087E-3</v>
      </c>
      <c r="S60" s="2"/>
      <c r="T60" s="2">
        <v>5993.53</v>
      </c>
      <c r="U60" s="2"/>
      <c r="V60" s="19">
        <f t="shared" si="11"/>
        <v>9.4849328240334194E-3</v>
      </c>
      <c r="W60" s="2"/>
      <c r="X60" s="2">
        <f t="shared" si="12"/>
        <v>-601.01999999999953</v>
      </c>
      <c r="Y60" s="2"/>
      <c r="Z60" s="19">
        <f t="shared" si="13"/>
        <v>-0.10027813325369182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805.69</v>
      </c>
      <c r="E61" s="2"/>
      <c r="F61" s="19">
        <f t="shared" si="6"/>
        <v>5.842248486521982E-3</v>
      </c>
      <c r="G61" s="2"/>
      <c r="H61" s="2">
        <v>1164.18</v>
      </c>
      <c r="I61" s="2"/>
      <c r="J61" s="19">
        <f t="shared" si="7"/>
        <v>9.2800474197685025E-3</v>
      </c>
      <c r="K61" s="2"/>
      <c r="L61" s="2">
        <f t="shared" si="8"/>
        <v>-358.49</v>
      </c>
      <c r="M61" s="2"/>
      <c r="N61" s="19">
        <f t="shared" si="9"/>
        <v>-0.3079334810768094</v>
      </c>
      <c r="O61" s="11"/>
      <c r="P61" s="2">
        <v>7003.62</v>
      </c>
      <c r="Q61" s="2"/>
      <c r="R61" s="19">
        <f t="shared" si="10"/>
        <v>1.0710785261679795E-2</v>
      </c>
      <c r="S61" s="2"/>
      <c r="T61" s="2">
        <v>5746.05</v>
      </c>
      <c r="U61" s="2"/>
      <c r="V61" s="19">
        <f t="shared" si="11"/>
        <v>9.0932886385047262E-3</v>
      </c>
      <c r="W61" s="2"/>
      <c r="X61" s="2">
        <f t="shared" si="12"/>
        <v>1257.5699999999997</v>
      </c>
      <c r="Y61" s="2"/>
      <c r="Z61" s="19">
        <f t="shared" si="13"/>
        <v>0.21885817213564096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6"/>
        <v>0</v>
      </c>
      <c r="G62" s="2"/>
      <c r="H62" s="2">
        <v>257.14</v>
      </c>
      <c r="I62" s="2"/>
      <c r="J62" s="19">
        <f t="shared" si="7"/>
        <v>2.0497443638606335E-3</v>
      </c>
      <c r="K62" s="2"/>
      <c r="L62" s="2">
        <f t="shared" si="8"/>
        <v>-257.14</v>
      </c>
      <c r="M62" s="2"/>
      <c r="N62" s="19">
        <f t="shared" si="9"/>
        <v>-1</v>
      </c>
      <c r="O62" s="11"/>
      <c r="P62" s="2">
        <v>2124.16</v>
      </c>
      <c r="Q62" s="2"/>
      <c r="R62" s="19">
        <f t="shared" si="10"/>
        <v>3.2485231382413308E-3</v>
      </c>
      <c r="S62" s="2"/>
      <c r="T62" s="2">
        <v>2287.1799999999998</v>
      </c>
      <c r="U62" s="2"/>
      <c r="V62" s="19">
        <f t="shared" si="11"/>
        <v>3.6195278335926831E-3</v>
      </c>
      <c r="W62" s="2"/>
      <c r="X62" s="2">
        <f t="shared" si="12"/>
        <v>-163.01999999999998</v>
      </c>
      <c r="Y62" s="2"/>
      <c r="Z62" s="19">
        <f t="shared" si="13"/>
        <v>-7.1275544557052789E-2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32.82</v>
      </c>
      <c r="E63" s="2"/>
      <c r="F63" s="19">
        <f t="shared" si="6"/>
        <v>2.3798557178027706E-4</v>
      </c>
      <c r="G63" s="2"/>
      <c r="H63" s="2">
        <v>74.38</v>
      </c>
      <c r="I63" s="2"/>
      <c r="J63" s="19">
        <f t="shared" si="7"/>
        <v>5.9290653256573818E-4</v>
      </c>
      <c r="K63" s="2"/>
      <c r="L63" s="2">
        <f t="shared" si="8"/>
        <v>-41.559999999999995</v>
      </c>
      <c r="M63" s="2"/>
      <c r="N63" s="19">
        <f t="shared" si="9"/>
        <v>-0.55875235278300617</v>
      </c>
      <c r="O63" s="11"/>
      <c r="P63" s="2">
        <v>857.2</v>
      </c>
      <c r="Q63" s="2"/>
      <c r="R63" s="19">
        <f t="shared" si="10"/>
        <v>1.3109342206333182E-3</v>
      </c>
      <c r="S63" s="2"/>
      <c r="T63" s="2">
        <v>674.73</v>
      </c>
      <c r="U63" s="2"/>
      <c r="V63" s="19">
        <f t="shared" si="11"/>
        <v>1.0677795430005471E-3</v>
      </c>
      <c r="W63" s="2"/>
      <c r="X63" s="2">
        <f t="shared" si="12"/>
        <v>182.47000000000003</v>
      </c>
      <c r="Y63" s="2"/>
      <c r="Z63" s="19">
        <f t="shared" si="13"/>
        <v>0.27043409956575226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6"/>
        <v>0</v>
      </c>
      <c r="G64" s="2"/>
      <c r="H64" s="2">
        <v>216.7</v>
      </c>
      <c r="I64" s="2"/>
      <c r="J64" s="19">
        <f t="shared" si="7"/>
        <v>1.7273843184592024E-3</v>
      </c>
      <c r="K64" s="2"/>
      <c r="L64" s="2">
        <f t="shared" si="8"/>
        <v>-216.7</v>
      </c>
      <c r="M64" s="2"/>
      <c r="N64" s="19">
        <f t="shared" si="9"/>
        <v>-1</v>
      </c>
      <c r="O64" s="11"/>
      <c r="P64" s="2">
        <v>3729.51</v>
      </c>
      <c r="Q64" s="2"/>
      <c r="R64" s="19">
        <f t="shared" si="10"/>
        <v>5.7036190914537639E-3</v>
      </c>
      <c r="S64" s="2"/>
      <c r="T64" s="2">
        <v>4062.04</v>
      </c>
      <c r="U64" s="2"/>
      <c r="V64" s="19">
        <f t="shared" si="11"/>
        <v>6.4282945990988133E-3</v>
      </c>
      <c r="W64" s="2"/>
      <c r="X64" s="2">
        <f t="shared" si="12"/>
        <v>-332.52999999999975</v>
      </c>
      <c r="Y64" s="2"/>
      <c r="Z64" s="19">
        <f t="shared" si="13"/>
        <v>-8.1862807850242678E-2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119.66</v>
      </c>
      <c r="E65" s="2"/>
      <c r="F65" s="19">
        <f t="shared" si="6"/>
        <v>8.6768292258464208E-4</v>
      </c>
      <c r="G65" s="2"/>
      <c r="H65" s="2">
        <v>224.16</v>
      </c>
      <c r="I65" s="2"/>
      <c r="J65" s="19">
        <f t="shared" si="7"/>
        <v>1.7868503406821173E-3</v>
      </c>
      <c r="K65" s="2"/>
      <c r="L65" s="2">
        <f t="shared" si="8"/>
        <v>-104.5</v>
      </c>
      <c r="M65" s="2"/>
      <c r="N65" s="19">
        <f t="shared" si="9"/>
        <v>-0.46618486795146324</v>
      </c>
      <c r="O65" s="11"/>
      <c r="P65" s="2">
        <v>1891.21</v>
      </c>
      <c r="Q65" s="2"/>
      <c r="R65" s="19">
        <f t="shared" si="10"/>
        <v>2.8922677407885416E-3</v>
      </c>
      <c r="S65" s="2"/>
      <c r="T65" s="2">
        <v>2153.04</v>
      </c>
      <c r="U65" s="2"/>
      <c r="V65" s="19">
        <f t="shared" si="11"/>
        <v>3.4072474430689283E-3</v>
      </c>
      <c r="W65" s="2"/>
      <c r="X65" s="2">
        <f t="shared" si="12"/>
        <v>-261.82999999999993</v>
      </c>
      <c r="Y65" s="2"/>
      <c r="Z65" s="19">
        <f t="shared" si="13"/>
        <v>-0.12160944524950765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6"/>
        <v>0</v>
      </c>
      <c r="G66" s="2"/>
      <c r="H66" s="2">
        <v>174</v>
      </c>
      <c r="I66" s="2"/>
      <c r="J66" s="19">
        <f t="shared" si="7"/>
        <v>1.3870090974245556E-3</v>
      </c>
      <c r="K66" s="2"/>
      <c r="L66" s="2">
        <f t="shared" si="8"/>
        <v>-174</v>
      </c>
      <c r="M66" s="2"/>
      <c r="N66" s="19">
        <f t="shared" si="9"/>
        <v>-1</v>
      </c>
      <c r="O66" s="11"/>
      <c r="P66" s="2">
        <v>349.6</v>
      </c>
      <c r="Q66" s="2"/>
      <c r="R66" s="19">
        <f t="shared" si="10"/>
        <v>5.3465072740714896E-4</v>
      </c>
      <c r="S66" s="2"/>
      <c r="T66" s="2">
        <v>857</v>
      </c>
      <c r="U66" s="2"/>
      <c r="V66" s="19">
        <f t="shared" si="11"/>
        <v>1.356227036520488E-3</v>
      </c>
      <c r="W66" s="2"/>
      <c r="X66" s="2">
        <f t="shared" si="12"/>
        <v>-507.4</v>
      </c>
      <c r="Y66" s="2"/>
      <c r="Z66" s="19">
        <f t="shared" si="13"/>
        <v>-0.59206534422403734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>
        <v>32.96</v>
      </c>
      <c r="E67" s="2"/>
      <c r="F67" s="19">
        <f t="shared" si="6"/>
        <v>2.3900074484698149E-4</v>
      </c>
      <c r="G67" s="2"/>
      <c r="H67" s="2">
        <v>146.15</v>
      </c>
      <c r="I67" s="2"/>
      <c r="J67" s="19">
        <f t="shared" si="7"/>
        <v>1.1650079286701081E-3</v>
      </c>
      <c r="K67" s="2"/>
      <c r="L67" s="2">
        <f t="shared" si="8"/>
        <v>-113.19</v>
      </c>
      <c r="M67" s="2"/>
      <c r="N67" s="19">
        <f t="shared" si="9"/>
        <v>-0.77447827574409844</v>
      </c>
      <c r="O67" s="11"/>
      <c r="P67" s="2">
        <v>372.36</v>
      </c>
      <c r="Q67" s="2"/>
      <c r="R67" s="19">
        <f t="shared" si="10"/>
        <v>5.6945808025550906E-4</v>
      </c>
      <c r="S67" s="2"/>
      <c r="T67" s="2">
        <v>664.19</v>
      </c>
      <c r="U67" s="2"/>
      <c r="V67" s="19">
        <f t="shared" si="11"/>
        <v>1.051099691232839E-3</v>
      </c>
      <c r="W67" s="2"/>
      <c r="X67" s="2">
        <f t="shared" si="12"/>
        <v>-291.83000000000004</v>
      </c>
      <c r="Y67" s="2"/>
      <c r="Z67" s="19">
        <f t="shared" si="13"/>
        <v>-0.43937728661979253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36.979999999999997</v>
      </c>
      <c r="E68" s="2"/>
      <c r="F68" s="19">
        <f t="shared" si="6"/>
        <v>2.6815071433377956E-4</v>
      </c>
      <c r="G68" s="2"/>
      <c r="H68" s="2">
        <v>62.91</v>
      </c>
      <c r="I68" s="2"/>
      <c r="J68" s="19">
        <f t="shared" si="7"/>
        <v>5.0147553056884367E-4</v>
      </c>
      <c r="K68" s="2"/>
      <c r="L68" s="2">
        <f t="shared" si="8"/>
        <v>-25.93</v>
      </c>
      <c r="M68" s="2"/>
      <c r="N68" s="19">
        <f t="shared" si="9"/>
        <v>-0.41217612462247655</v>
      </c>
      <c r="O68" s="11"/>
      <c r="P68" s="2">
        <v>416.24</v>
      </c>
      <c r="Q68" s="2"/>
      <c r="R68" s="19">
        <f t="shared" si="10"/>
        <v>6.3656469901588006E-4</v>
      </c>
      <c r="S68" s="2"/>
      <c r="T68" s="2">
        <v>698.09</v>
      </c>
      <c r="U68" s="2"/>
      <c r="V68" s="19">
        <f t="shared" si="11"/>
        <v>1.1047474118139877E-3</v>
      </c>
      <c r="W68" s="2"/>
      <c r="X68" s="2">
        <f t="shared" si="12"/>
        <v>-281.85000000000002</v>
      </c>
      <c r="Y68" s="2"/>
      <c r="Z68" s="19">
        <f t="shared" si="13"/>
        <v>-0.40374450285779773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-87797</v>
      </c>
      <c r="E69" s="2"/>
      <c r="F69" s="19">
        <f t="shared" si="6"/>
        <v>-0.63663678383890876</v>
      </c>
      <c r="G69" s="2"/>
      <c r="H69" s="2">
        <v>-72408</v>
      </c>
      <c r="I69" s="2"/>
      <c r="J69" s="19">
        <f t="shared" si="7"/>
        <v>-0.57718709612825991</v>
      </c>
      <c r="K69" s="2"/>
      <c r="L69" s="2">
        <f t="shared" si="8"/>
        <v>-15389</v>
      </c>
      <c r="M69" s="2"/>
      <c r="N69" s="19">
        <f t="shared" si="9"/>
        <v>0.21253176444591756</v>
      </c>
      <c r="O69" s="11"/>
      <c r="P69" s="2">
        <v>-371317</v>
      </c>
      <c r="Q69" s="2"/>
      <c r="R69" s="19">
        <f t="shared" si="10"/>
        <v>-0.56786299813684293</v>
      </c>
      <c r="S69" s="2"/>
      <c r="T69" s="2">
        <v>-359721</v>
      </c>
      <c r="U69" s="2"/>
      <c r="V69" s="19">
        <f t="shared" si="11"/>
        <v>-0.56926878156847893</v>
      </c>
      <c r="W69" s="2"/>
      <c r="X69" s="2">
        <f t="shared" si="12"/>
        <v>-11596</v>
      </c>
      <c r="Y69" s="2"/>
      <c r="Z69" s="19">
        <f t="shared" si="13"/>
        <v>3.223609408402623E-2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70171</v>
      </c>
      <c r="E70" s="2"/>
      <c r="F70" s="19">
        <f t="shared" si="6"/>
        <v>0.50882649474082331</v>
      </c>
      <c r="G70" s="2"/>
      <c r="H70" s="2">
        <v>66153</v>
      </c>
      <c r="I70" s="2"/>
      <c r="J70" s="19">
        <f t="shared" si="7"/>
        <v>0.52732651047084267</v>
      </c>
      <c r="K70" s="2"/>
      <c r="L70" s="2">
        <f t="shared" si="8"/>
        <v>4018</v>
      </c>
      <c r="M70" s="2"/>
      <c r="N70" s="19">
        <f t="shared" si="9"/>
        <v>6.0737986183544208E-2</v>
      </c>
      <c r="O70" s="11"/>
      <c r="P70" s="2">
        <v>326681</v>
      </c>
      <c r="Q70" s="2"/>
      <c r="R70" s="19">
        <f t="shared" si="10"/>
        <v>0.49960021247166708</v>
      </c>
      <c r="S70" s="2"/>
      <c r="T70" s="2">
        <v>329610</v>
      </c>
      <c r="U70" s="2"/>
      <c r="V70" s="19">
        <f t="shared" si="11"/>
        <v>0.5216172619690993</v>
      </c>
      <c r="W70" s="2"/>
      <c r="X70" s="2">
        <f t="shared" si="12"/>
        <v>-2929</v>
      </c>
      <c r="Y70" s="2"/>
      <c r="Z70" s="19">
        <f t="shared" si="13"/>
        <v>-8.8862595188252784E-3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6"/>
        <v>0</v>
      </c>
      <c r="G71" s="2"/>
      <c r="H71" s="2"/>
      <c r="I71" s="2"/>
      <c r="J71" s="19">
        <f t="shared" si="7"/>
        <v>0</v>
      </c>
      <c r="K71" s="2"/>
      <c r="L71" s="2">
        <f t="shared" si="8"/>
        <v>0</v>
      </c>
      <c r="M71" s="2"/>
      <c r="N71" s="19">
        <f t="shared" si="9"/>
        <v>0</v>
      </c>
      <c r="O71" s="11"/>
      <c r="P71" s="2">
        <v>86</v>
      </c>
      <c r="Q71" s="2"/>
      <c r="R71" s="19">
        <f t="shared" si="10"/>
        <v>1.3152163202807438E-4</v>
      </c>
      <c r="S71" s="2"/>
      <c r="T71" s="2"/>
      <c r="U71" s="2"/>
      <c r="V71" s="19">
        <f t="shared" si="11"/>
        <v>0</v>
      </c>
      <c r="W71" s="2"/>
      <c r="X71" s="2">
        <f t="shared" si="12"/>
        <v>86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6"/>
        <v>0</v>
      </c>
      <c r="G72" s="2"/>
      <c r="H72" s="2">
        <v>232.99</v>
      </c>
      <c r="I72" s="2"/>
      <c r="J72" s="19">
        <f t="shared" si="7"/>
        <v>1.8572370667180875E-3</v>
      </c>
      <c r="K72" s="2"/>
      <c r="L72" s="2">
        <f t="shared" si="8"/>
        <v>-232.99</v>
      </c>
      <c r="M72" s="2"/>
      <c r="N72" s="19">
        <f t="shared" si="9"/>
        <v>-1</v>
      </c>
      <c r="O72" s="11"/>
      <c r="P72" s="2">
        <v>622.41</v>
      </c>
      <c r="Q72" s="2"/>
      <c r="R72" s="19">
        <f t="shared" si="10"/>
        <v>9.5186487198364856E-4</v>
      </c>
      <c r="S72" s="2"/>
      <c r="T72" s="2">
        <v>283.91000000000003</v>
      </c>
      <c r="U72" s="2"/>
      <c r="V72" s="19">
        <f t="shared" si="11"/>
        <v>4.4929570354554469E-4</v>
      </c>
      <c r="W72" s="2"/>
      <c r="X72" s="2">
        <f t="shared" si="12"/>
        <v>338.49999999999994</v>
      </c>
      <c r="Y72" s="2"/>
      <c r="Z72" s="19">
        <f t="shared" si="13"/>
        <v>1.1922792434222109</v>
      </c>
    </row>
    <row r="73" spans="1:26" s="24" customFormat="1" hidden="1" outlineLevel="1" x14ac:dyDescent="0.25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6"/>
        <v>0</v>
      </c>
      <c r="G73" s="2"/>
      <c r="H73" s="2">
        <v>16.86</v>
      </c>
      <c r="I73" s="2"/>
      <c r="J73" s="19">
        <f t="shared" si="7"/>
        <v>1.3439639875044833E-4</v>
      </c>
      <c r="K73" s="2"/>
      <c r="L73" s="2">
        <f t="shared" si="8"/>
        <v>-16.86</v>
      </c>
      <c r="M73" s="2"/>
      <c r="N73" s="19">
        <f t="shared" si="9"/>
        <v>-1</v>
      </c>
      <c r="O73" s="11"/>
      <c r="P73" s="2">
        <v>260.35000000000002</v>
      </c>
      <c r="Q73" s="2"/>
      <c r="R73" s="19">
        <f t="shared" si="10"/>
        <v>3.9815880114545544E-4</v>
      </c>
      <c r="S73" s="2"/>
      <c r="T73" s="2">
        <v>131.16</v>
      </c>
      <c r="U73" s="2"/>
      <c r="V73" s="19">
        <f t="shared" si="11"/>
        <v>2.0756445520423244E-4</v>
      </c>
      <c r="W73" s="2"/>
      <c r="X73" s="2">
        <f t="shared" si="12"/>
        <v>129.19000000000003</v>
      </c>
      <c r="Y73" s="2"/>
      <c r="Z73" s="19">
        <f t="shared" si="13"/>
        <v>0.98498017688319628</v>
      </c>
    </row>
    <row r="74" spans="1:26" s="24" customFormat="1" hidden="1" outlineLevel="1" x14ac:dyDescent="0.25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>
        <v>321.92</v>
      </c>
      <c r="E74" s="2"/>
      <c r="F74" s="19">
        <f t="shared" si="6"/>
        <v>2.3343179545248873E-3</v>
      </c>
      <c r="G74" s="2"/>
      <c r="H74" s="2">
        <v>105.31</v>
      </c>
      <c r="I74" s="2"/>
      <c r="J74" s="19">
        <f t="shared" si="7"/>
        <v>8.3945935660793077E-4</v>
      </c>
      <c r="K74" s="2"/>
      <c r="L74" s="2">
        <f t="shared" si="8"/>
        <v>216.61</v>
      </c>
      <c r="M74" s="2"/>
      <c r="N74" s="19">
        <f t="shared" si="9"/>
        <v>2.0568796885386003</v>
      </c>
      <c r="O74" s="11"/>
      <c r="P74" s="2">
        <v>1219.8399999999999</v>
      </c>
      <c r="Q74" s="2"/>
      <c r="R74" s="19">
        <f t="shared" si="10"/>
        <v>1.8655272978270493E-3</v>
      </c>
      <c r="S74" s="2"/>
      <c r="T74" s="2">
        <v>1330.96</v>
      </c>
      <c r="U74" s="2"/>
      <c r="V74" s="19">
        <f t="shared" si="11"/>
        <v>2.1062823063329158E-3</v>
      </c>
      <c r="W74" s="2"/>
      <c r="X74" s="2">
        <f t="shared" si="12"/>
        <v>-111.12000000000012</v>
      </c>
      <c r="Y74" s="2"/>
      <c r="Z74" s="19">
        <f t="shared" si="13"/>
        <v>-8.3488609725311136E-2</v>
      </c>
    </row>
    <row r="75" spans="1:26" s="24" customFormat="1" hidden="1" outlineLevel="1" x14ac:dyDescent="0.25">
      <c r="A75" s="44"/>
      <c r="B75" s="11" t="str">
        <f>CONCATENATE("          ", "5528", " - ", "FREIGHT-IN-ART/TECH")</f>
        <v xml:space="preserve">          5528 - FREIGHT-IN-ART/TECH</v>
      </c>
      <c r="C75" s="11"/>
      <c r="D75" s="2">
        <v>220.82</v>
      </c>
      <c r="E75" s="2"/>
      <c r="F75" s="19">
        <f t="shared" si="6"/>
        <v>1.6012179756404869E-3</v>
      </c>
      <c r="G75" s="2"/>
      <c r="H75" s="2">
        <v>537.45000000000005</v>
      </c>
      <c r="I75" s="2"/>
      <c r="J75" s="19">
        <f t="shared" si="7"/>
        <v>4.2841841345449853E-3</v>
      </c>
      <c r="K75" s="2"/>
      <c r="L75" s="2">
        <f t="shared" si="8"/>
        <v>-316.63000000000005</v>
      </c>
      <c r="M75" s="2"/>
      <c r="N75" s="19">
        <f t="shared" si="9"/>
        <v>-0.58913387291841102</v>
      </c>
      <c r="O75" s="11"/>
      <c r="P75" s="2">
        <v>1331.46</v>
      </c>
      <c r="Q75" s="2"/>
      <c r="R75" s="19">
        <f t="shared" si="10"/>
        <v>2.0362301416290687E-3</v>
      </c>
      <c r="S75" s="2"/>
      <c r="T75" s="2">
        <v>5194.9799999999996</v>
      </c>
      <c r="U75" s="2"/>
      <c r="V75" s="19">
        <f t="shared" si="11"/>
        <v>8.2212045859780675E-3</v>
      </c>
      <c r="W75" s="2"/>
      <c r="X75" s="2">
        <f t="shared" si="12"/>
        <v>-3863.5199999999995</v>
      </c>
      <c r="Y75" s="2"/>
      <c r="Z75" s="19">
        <f t="shared" si="13"/>
        <v>-0.74370257440837118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6</v>
      </c>
      <c r="C77" s="28"/>
      <c r="D77" s="21">
        <f>D12-D52</f>
        <v>67736.599999999991</v>
      </c>
      <c r="E77" s="14"/>
      <c r="F77" s="22">
        <f>IF(D$12=0,0,D77/D$12)</f>
        <v>0.49117408535807172</v>
      </c>
      <c r="G77" s="14"/>
      <c r="H77" s="21">
        <f>H12-H52</f>
        <v>59298.069999999978</v>
      </c>
      <c r="I77" s="14"/>
      <c r="J77" s="22">
        <f>IF(H$12=0,0,H77/H$12)</f>
        <v>0.47268369281447181</v>
      </c>
      <c r="K77" s="16"/>
      <c r="L77" s="21">
        <f>+D77-H77</f>
        <v>8438.5300000000134</v>
      </c>
      <c r="M77" s="16"/>
      <c r="N77" s="22">
        <f>IF(H77=0,0,L77/H77)</f>
        <v>0.14230699245354894</v>
      </c>
      <c r="O77" s="29"/>
      <c r="P77" s="21">
        <f>P12-P52</f>
        <v>327121.20000000019</v>
      </c>
      <c r="Q77" s="14"/>
      <c r="R77" s="22">
        <f>IF(P$12=0,0,P77/P$12)</f>
        <v>0.50027341970909478</v>
      </c>
      <c r="S77" s="14"/>
      <c r="T77" s="21">
        <f>T12-T52</f>
        <v>302287.97000000003</v>
      </c>
      <c r="U77" s="14"/>
      <c r="V77" s="22">
        <f>IF(T$12=0,0,T77/T$12)</f>
        <v>0.47837936724491742</v>
      </c>
      <c r="W77" s="16"/>
      <c r="X77" s="21">
        <f>+P77-T77</f>
        <v>24833.230000000156</v>
      </c>
      <c r="Y77" s="16"/>
      <c r="Z77" s="22">
        <f>IF(T77=0,0,X77/T77)</f>
        <v>8.215090398734741E-2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9</v>
      </c>
      <c r="C79" s="10"/>
      <c r="D79" s="20">
        <f>SUM(OSRRefD22x_0)</f>
        <v>26692.71</v>
      </c>
      <c r="E79" s="20"/>
      <c r="F79" s="32">
        <f t="shared" ref="F79:F88" si="14">IF(D$12=0,0,D79/D$12)</f>
        <v>0.19355514478108224</v>
      </c>
      <c r="G79" s="20"/>
      <c r="H79" s="20">
        <f>SUM(OSRRefH22x_0)</f>
        <v>26133.260000000006</v>
      </c>
      <c r="I79" s="20"/>
      <c r="J79" s="32">
        <f t="shared" ref="J79:J88" si="15">IF(H$12=0,0,H79/H$12)</f>
        <v>0.20831649060552443</v>
      </c>
      <c r="K79" s="4"/>
      <c r="L79" s="20">
        <f t="shared" ref="L79:L88" si="16">+D79-H79</f>
        <v>559.44999999999345</v>
      </c>
      <c r="M79" s="4"/>
      <c r="N79" s="32">
        <f t="shared" ref="N79:N88" si="17">IF(H79=0,0,L79/H79)</f>
        <v>2.1407585582510307E-2</v>
      </c>
      <c r="O79" s="10"/>
      <c r="P79" s="20">
        <f>SUM(OSRRefP22x_0)</f>
        <v>156941.86999999997</v>
      </c>
      <c r="Q79" s="20"/>
      <c r="R79" s="32">
        <f t="shared" ref="R79:R88" si="18">IF(P$12=0,0,P79/P$12)</f>
        <v>0.24001454506904515</v>
      </c>
      <c r="S79" s="20"/>
      <c r="T79" s="20">
        <f>SUM(OSRRefT22x_0)</f>
        <v>145122.31000000003</v>
      </c>
      <c r="U79" s="20"/>
      <c r="V79" s="32">
        <f t="shared" ref="V79:V88" si="19">IF(T$12=0,0,T79/T$12)</f>
        <v>0.2296602105301139</v>
      </c>
      <c r="W79" s="4"/>
      <c r="X79" s="20">
        <f t="shared" ref="X79:X88" si="20">+P79-T79</f>
        <v>11819.559999999939</v>
      </c>
      <c r="Y79" s="4"/>
      <c r="Z79" s="32">
        <f t="shared" ref="Z79:Z88" si="21">IF(T79=0,0,X79/T79)</f>
        <v>8.1445506207832113E-2</v>
      </c>
    </row>
    <row r="80" spans="1:26" s="26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4503.6000000000004</v>
      </c>
      <c r="E80" s="1"/>
      <c r="F80" s="5">
        <f t="shared" si="14"/>
        <v>3.2656667308642778E-2</v>
      </c>
      <c r="G80" s="1"/>
      <c r="H80" s="1">
        <f>SUM(OSRRefH22_0x_0)</f>
        <v>3626.25</v>
      </c>
      <c r="I80" s="1"/>
      <c r="J80" s="5">
        <f t="shared" si="15"/>
        <v>2.8905987008826409E-2</v>
      </c>
      <c r="K80" s="1"/>
      <c r="L80" s="1">
        <f t="shared" si="16"/>
        <v>877.35000000000036</v>
      </c>
      <c r="M80" s="1"/>
      <c r="N80" s="5">
        <f t="shared" si="17"/>
        <v>0.24194415718717693</v>
      </c>
      <c r="O80" s="13"/>
      <c r="P80" s="1">
        <f>SUM(OSRRefP22_0x_0)</f>
        <v>26747.590000000004</v>
      </c>
      <c r="Q80" s="1"/>
      <c r="R80" s="5">
        <f t="shared" si="18"/>
        <v>4.0905659181602355E-2</v>
      </c>
      <c r="S80" s="1"/>
      <c r="T80" s="1">
        <f>SUM(OSRRefT22_0x_0)</f>
        <v>25086.179999999997</v>
      </c>
      <c r="U80" s="1"/>
      <c r="V80" s="5">
        <f t="shared" si="19"/>
        <v>3.9699598085203652E-2</v>
      </c>
      <c r="W80" s="1"/>
      <c r="X80" s="1">
        <f t="shared" si="20"/>
        <v>1661.4100000000071</v>
      </c>
      <c r="Y80" s="1"/>
      <c r="Z80" s="5">
        <f t="shared" si="21"/>
        <v>6.622809849885504E-2</v>
      </c>
    </row>
    <row r="81" spans="1:26" s="24" customFormat="1" hidden="1" outlineLevel="2" x14ac:dyDescent="0.25">
      <c r="A81" s="25"/>
      <c r="B81" s="11" t="str">
        <f>CONCATENATE("          ", "6111", " - ", "F.I.C.A.")</f>
        <v xml:space="preserve">          6111 - F.I.C.A.</v>
      </c>
      <c r="C81" s="11"/>
      <c r="D81" s="6">
        <v>508.91</v>
      </c>
      <c r="E81" s="2"/>
      <c r="F81" s="7">
        <f t="shared" si="14"/>
        <v>3.6902266098324441E-3</v>
      </c>
      <c r="G81" s="2"/>
      <c r="H81" s="6">
        <v>432.94</v>
      </c>
      <c r="I81" s="2"/>
      <c r="J81" s="7">
        <f t="shared" si="15"/>
        <v>3.4511018312585466E-3</v>
      </c>
      <c r="K81" s="2"/>
      <c r="L81" s="6">
        <f t="shared" si="16"/>
        <v>75.970000000000027</v>
      </c>
      <c r="M81" s="2"/>
      <c r="N81" s="7">
        <f t="shared" si="17"/>
        <v>0.17547466161592837</v>
      </c>
      <c r="O81" s="11"/>
      <c r="P81" s="6">
        <v>3956.01</v>
      </c>
      <c r="Q81" s="2"/>
      <c r="R81" s="7">
        <f t="shared" si="18"/>
        <v>6.0500103665044489E-3</v>
      </c>
      <c r="S81" s="2"/>
      <c r="T81" s="6">
        <v>4484.8</v>
      </c>
      <c r="U81" s="2"/>
      <c r="V81" s="7">
        <f t="shared" si="19"/>
        <v>7.0973244030187689E-3</v>
      </c>
      <c r="W81" s="2"/>
      <c r="X81" s="6">
        <f t="shared" si="20"/>
        <v>-528.79</v>
      </c>
      <c r="Y81" s="2"/>
      <c r="Z81" s="7">
        <f t="shared" si="21"/>
        <v>-0.11790715305030323</v>
      </c>
    </row>
    <row r="82" spans="1:26" s="24" customFormat="1" hidden="1" outlineLevel="2" x14ac:dyDescent="0.25">
      <c r="A82" s="25"/>
      <c r="B82" s="11" t="str">
        <f>CONCATENATE("          ", "6112", " - ", "COMPENSATION INSURANCE")</f>
        <v xml:space="preserve">          6112 - COMPENSATION INSURANCE</v>
      </c>
      <c r="C82" s="11"/>
      <c r="D82" s="6">
        <v>233.57</v>
      </c>
      <c r="E82" s="2"/>
      <c r="F82" s="7">
        <f t="shared" si="14"/>
        <v>1.6936712370724959E-3</v>
      </c>
      <c r="G82" s="2"/>
      <c r="H82" s="6">
        <v>151.78</v>
      </c>
      <c r="I82" s="2"/>
      <c r="J82" s="7">
        <f t="shared" si="15"/>
        <v>1.2098864414201095E-3</v>
      </c>
      <c r="K82" s="2"/>
      <c r="L82" s="6">
        <f t="shared" si="16"/>
        <v>81.789999999999992</v>
      </c>
      <c r="M82" s="2"/>
      <c r="N82" s="7">
        <f t="shared" si="17"/>
        <v>0.53887205165370922</v>
      </c>
      <c r="O82" s="11"/>
      <c r="P82" s="6">
        <v>1749.42</v>
      </c>
      <c r="Q82" s="2"/>
      <c r="R82" s="7">
        <f t="shared" si="18"/>
        <v>2.6754252732855105E-3</v>
      </c>
      <c r="S82" s="2"/>
      <c r="T82" s="6">
        <v>1220.8599999999999</v>
      </c>
      <c r="U82" s="2"/>
      <c r="V82" s="7">
        <f t="shared" si="19"/>
        <v>1.9320459040914853E-3</v>
      </c>
      <c r="W82" s="2"/>
      <c r="X82" s="6">
        <f t="shared" si="20"/>
        <v>528.56000000000017</v>
      </c>
      <c r="Y82" s="2"/>
      <c r="Z82" s="7">
        <f t="shared" si="21"/>
        <v>0.43294071392297251</v>
      </c>
    </row>
    <row r="83" spans="1:26" s="24" customFormat="1" hidden="1" outlineLevel="2" x14ac:dyDescent="0.25">
      <c r="A83" s="25"/>
      <c r="B83" s="11" t="str">
        <f>CONCATENATE("          ", "6113", " - ", "GROUP INSURANCE")</f>
        <v xml:space="preserve">          6113 - GROUP INSURANCE</v>
      </c>
      <c r="C83" s="11"/>
      <c r="D83" s="6">
        <v>2240.4499999999998</v>
      </c>
      <c r="E83" s="2"/>
      <c r="F83" s="7">
        <f t="shared" si="14"/>
        <v>1.6246032123556419E-2</v>
      </c>
      <c r="G83" s="2"/>
      <c r="H83" s="6">
        <v>1412.76</v>
      </c>
      <c r="I83" s="2"/>
      <c r="J83" s="7">
        <f t="shared" si="15"/>
        <v>1.1261557313089168E-2</v>
      </c>
      <c r="K83" s="2"/>
      <c r="L83" s="6">
        <f t="shared" si="16"/>
        <v>827.68999999999983</v>
      </c>
      <c r="M83" s="2"/>
      <c r="N83" s="7">
        <f t="shared" si="17"/>
        <v>0.58586738016365114</v>
      </c>
      <c r="O83" s="11"/>
      <c r="P83" s="6">
        <v>12320.69</v>
      </c>
      <c r="Q83" s="2"/>
      <c r="R83" s="7">
        <f t="shared" si="18"/>
        <v>1.8842293680371814E-2</v>
      </c>
      <c r="S83" s="2"/>
      <c r="T83" s="6">
        <v>9865.06</v>
      </c>
      <c r="U83" s="2"/>
      <c r="V83" s="7">
        <f t="shared" si="19"/>
        <v>1.5611739893695221E-2</v>
      </c>
      <c r="W83" s="2"/>
      <c r="X83" s="6">
        <f t="shared" si="20"/>
        <v>2455.630000000001</v>
      </c>
      <c r="Y83" s="2"/>
      <c r="Z83" s="7">
        <f t="shared" si="21"/>
        <v>0.2489219528315085</v>
      </c>
    </row>
    <row r="84" spans="1:26" s="24" customFormat="1" hidden="1" outlineLevel="2" x14ac:dyDescent="0.25">
      <c r="A84" s="25"/>
      <c r="B84" s="11" t="str">
        <f>CONCATENATE("          ", "6114", " - ", "STATE UNEMPLOYMENT INSURANCE")</f>
        <v xml:space="preserve">          6114 - STATE UNEMPLOYMENT INSURANCE</v>
      </c>
      <c r="C84" s="11"/>
      <c r="D84" s="6">
        <v>31.97</v>
      </c>
      <c r="E84" s="2"/>
      <c r="F84" s="7">
        <f t="shared" si="14"/>
        <v>2.3182202101814314E-4</v>
      </c>
      <c r="G84" s="2"/>
      <c r="H84" s="6">
        <v>33.159999999999997</v>
      </c>
      <c r="I84" s="2"/>
      <c r="J84" s="7">
        <f t="shared" si="15"/>
        <v>2.6432886017585208E-4</v>
      </c>
      <c r="K84" s="2"/>
      <c r="L84" s="6">
        <f t="shared" si="16"/>
        <v>-1.1899999999999977</v>
      </c>
      <c r="M84" s="2"/>
      <c r="N84" s="7">
        <f t="shared" si="17"/>
        <v>-3.5886610373944444E-2</v>
      </c>
      <c r="O84" s="11"/>
      <c r="P84" s="6">
        <v>281.37</v>
      </c>
      <c r="Q84" s="2"/>
      <c r="R84" s="7">
        <f t="shared" si="18"/>
        <v>4.3030513492720105E-4</v>
      </c>
      <c r="S84" s="2"/>
      <c r="T84" s="6">
        <v>266.75</v>
      </c>
      <c r="U84" s="2"/>
      <c r="V84" s="7">
        <f t="shared" si="19"/>
        <v>4.2213951224252062E-4</v>
      </c>
      <c r="W84" s="2"/>
      <c r="X84" s="6">
        <f t="shared" si="20"/>
        <v>14.620000000000005</v>
      </c>
      <c r="Y84" s="2"/>
      <c r="Z84" s="7">
        <f t="shared" si="21"/>
        <v>5.4807872539831319E-2</v>
      </c>
    </row>
    <row r="85" spans="1:26" s="24" customFormat="1" hidden="1" outlineLevel="2" x14ac:dyDescent="0.25">
      <c r="A85" s="25"/>
      <c r="B85" s="11" t="str">
        <f>CONCATENATE("          ", "6115", " - ", "P.E.R.S.")</f>
        <v xml:space="preserve">          6115 - P.E.R.S.</v>
      </c>
      <c r="C85" s="11"/>
      <c r="D85" s="6">
        <v>593.26</v>
      </c>
      <c r="E85" s="2"/>
      <c r="F85" s="7">
        <f t="shared" si="14"/>
        <v>4.3018683825218514E-3</v>
      </c>
      <c r="G85" s="2"/>
      <c r="H85" s="6">
        <v>552.6</v>
      </c>
      <c r="I85" s="2"/>
      <c r="J85" s="7">
        <f t="shared" si="15"/>
        <v>4.4049495818207444E-3</v>
      </c>
      <c r="K85" s="2"/>
      <c r="L85" s="6">
        <f t="shared" si="16"/>
        <v>40.659999999999968</v>
      </c>
      <c r="M85" s="2"/>
      <c r="N85" s="7">
        <f t="shared" si="17"/>
        <v>7.3579442634817166E-2</v>
      </c>
      <c r="O85" s="11"/>
      <c r="P85" s="6">
        <v>2863.9</v>
      </c>
      <c r="Q85" s="2"/>
      <c r="R85" s="7">
        <f t="shared" si="18"/>
        <v>4.3798232786651427E-3</v>
      </c>
      <c r="S85" s="2"/>
      <c r="T85" s="6">
        <v>3182.84</v>
      </c>
      <c r="U85" s="2"/>
      <c r="V85" s="7">
        <f t="shared" si="19"/>
        <v>5.0369354269765116E-3</v>
      </c>
      <c r="W85" s="2"/>
      <c r="X85" s="6">
        <f t="shared" si="20"/>
        <v>-318.94000000000005</v>
      </c>
      <c r="Y85" s="2"/>
      <c r="Z85" s="7">
        <f t="shared" si="21"/>
        <v>-0.100206105239346</v>
      </c>
    </row>
    <row r="86" spans="1:26" s="24" customFormat="1" hidden="1" outlineLevel="2" x14ac:dyDescent="0.25">
      <c r="A86" s="25"/>
      <c r="B86" s="11" t="str">
        <f>CONCATENATE("          ", "6118", " - ", "VACATION")</f>
        <v xml:space="preserve">          6118 - VACATION</v>
      </c>
      <c r="C86" s="11"/>
      <c r="D86" s="6">
        <v>281.82</v>
      </c>
      <c r="E86" s="2"/>
      <c r="F86" s="7">
        <f t="shared" si="14"/>
        <v>2.0435433832759805E-3</v>
      </c>
      <c r="G86" s="2"/>
      <c r="H86" s="6">
        <v>414.04</v>
      </c>
      <c r="I86" s="2"/>
      <c r="J86" s="7">
        <f t="shared" si="15"/>
        <v>3.3004439465382936E-3</v>
      </c>
      <c r="K86" s="2"/>
      <c r="L86" s="6">
        <f t="shared" si="16"/>
        <v>-132.22000000000003</v>
      </c>
      <c r="M86" s="2"/>
      <c r="N86" s="7">
        <f t="shared" si="17"/>
        <v>-0.31934112646121154</v>
      </c>
      <c r="O86" s="11"/>
      <c r="P86" s="6">
        <v>2529</v>
      </c>
      <c r="Q86" s="2"/>
      <c r="R86" s="7">
        <f t="shared" si="18"/>
        <v>3.8676535744069781E-3</v>
      </c>
      <c r="S86" s="2"/>
      <c r="T86" s="6">
        <v>2433.7800000000002</v>
      </c>
      <c r="U86" s="2"/>
      <c r="V86" s="7">
        <f t="shared" si="19"/>
        <v>3.8515265308551152E-3</v>
      </c>
      <c r="W86" s="2"/>
      <c r="X86" s="6">
        <f t="shared" si="20"/>
        <v>95.2199999999998</v>
      </c>
      <c r="Y86" s="2"/>
      <c r="Z86" s="7">
        <f t="shared" si="21"/>
        <v>3.9124325123881282E-2</v>
      </c>
    </row>
    <row r="87" spans="1:26" s="24" customFormat="1" hidden="1" outlineLevel="2" x14ac:dyDescent="0.25">
      <c r="A87" s="25"/>
      <c r="B87" s="11" t="str">
        <f>CONCATENATE("          ", "6119", " - ", "SICK LEAVE")</f>
        <v xml:space="preserve">          6119 - SICK LEAVE</v>
      </c>
      <c r="C87" s="11"/>
      <c r="D87" s="6">
        <v>263.62</v>
      </c>
      <c r="E87" s="2"/>
      <c r="F87" s="7">
        <f t="shared" si="14"/>
        <v>1.9115708846044071E-3</v>
      </c>
      <c r="G87" s="2"/>
      <c r="H87" s="6">
        <v>479.77</v>
      </c>
      <c r="I87" s="2"/>
      <c r="J87" s="7">
        <f t="shared" si="15"/>
        <v>3.8243985900653968E-3</v>
      </c>
      <c r="K87" s="2"/>
      <c r="L87" s="6">
        <f t="shared" si="16"/>
        <v>-216.14999999999998</v>
      </c>
      <c r="M87" s="2"/>
      <c r="N87" s="7">
        <f t="shared" si="17"/>
        <v>-0.45052837818121177</v>
      </c>
      <c r="O87" s="11"/>
      <c r="P87" s="6">
        <v>1745.14</v>
      </c>
      <c r="Q87" s="2"/>
      <c r="R87" s="7">
        <f t="shared" si="18"/>
        <v>2.6688797781101599E-3</v>
      </c>
      <c r="S87" s="2"/>
      <c r="T87" s="6">
        <v>2584.15</v>
      </c>
      <c r="U87" s="2"/>
      <c r="V87" s="7">
        <f t="shared" si="19"/>
        <v>4.0894913610553313E-3</v>
      </c>
      <c r="W87" s="2"/>
      <c r="X87" s="6">
        <f t="shared" si="20"/>
        <v>-839.01</v>
      </c>
      <c r="Y87" s="2"/>
      <c r="Z87" s="7">
        <f t="shared" si="21"/>
        <v>-0.32467542518816633</v>
      </c>
    </row>
    <row r="88" spans="1:26" s="24" customFormat="1" hidden="1" outlineLevel="2" x14ac:dyDescent="0.25">
      <c r="A88" s="25"/>
      <c r="B88" s="11" t="str">
        <f>CONCATENATE("          ", "6156", " - ", "EMPLOYEE MEALS")</f>
        <v xml:space="preserve">          6156 - EMPLOYEE MEALS</v>
      </c>
      <c r="C88" s="11"/>
      <c r="D88" s="6">
        <v>350</v>
      </c>
      <c r="E88" s="2"/>
      <c r="F88" s="7">
        <f t="shared" si="14"/>
        <v>2.5379326667610289E-3</v>
      </c>
      <c r="G88" s="2"/>
      <c r="H88" s="6">
        <v>149.19999999999999</v>
      </c>
      <c r="I88" s="2"/>
      <c r="J88" s="7">
        <f t="shared" si="15"/>
        <v>1.189320444458297E-3</v>
      </c>
      <c r="K88" s="2"/>
      <c r="L88" s="6">
        <f t="shared" si="16"/>
        <v>200.8</v>
      </c>
      <c r="M88" s="2"/>
      <c r="N88" s="7">
        <f t="shared" si="17"/>
        <v>1.345844504021448</v>
      </c>
      <c r="O88" s="11"/>
      <c r="P88" s="6">
        <v>1302.06</v>
      </c>
      <c r="Q88" s="2"/>
      <c r="R88" s="7">
        <f t="shared" si="18"/>
        <v>1.9912680953310989E-3</v>
      </c>
      <c r="S88" s="2"/>
      <c r="T88" s="6">
        <v>1047.94</v>
      </c>
      <c r="U88" s="2"/>
      <c r="V88" s="7">
        <f t="shared" si="19"/>
        <v>1.6583950532687052E-3</v>
      </c>
      <c r="W88" s="2"/>
      <c r="X88" s="6">
        <f t="shared" si="20"/>
        <v>254.11999999999989</v>
      </c>
      <c r="Y88" s="2"/>
      <c r="Z88" s="7">
        <f t="shared" si="21"/>
        <v>0.24249479932057166</v>
      </c>
    </row>
    <row r="89" spans="1:26" s="26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18220.940000000002</v>
      </c>
      <c r="E89" s="1"/>
      <c r="F89" s="5">
        <f t="shared" ref="F89:F94" si="22">IF(D$12=0,0,D89/D$12)</f>
        <v>0.13212433955740774</v>
      </c>
      <c r="G89" s="1"/>
      <c r="H89" s="1">
        <f>SUM(OSRRefH22_1x_0)</f>
        <v>15325.55</v>
      </c>
      <c r="I89" s="1"/>
      <c r="J89" s="5">
        <f t="shared" ref="J89:J94" si="23">IF(H$12=0,0,H89/H$12)</f>
        <v>0.12216481191399367</v>
      </c>
      <c r="K89" s="1"/>
      <c r="L89" s="1">
        <f t="shared" ref="L89:L94" si="24">+D89-H89</f>
        <v>2895.3900000000031</v>
      </c>
      <c r="M89" s="1"/>
      <c r="N89" s="5">
        <f t="shared" ref="N89:N94" si="25">IF(H89=0,0,L89/H89)</f>
        <v>0.18892568292818224</v>
      </c>
      <c r="O89" s="13"/>
      <c r="P89" s="1">
        <f>SUM(OSRRefP22_1x_0)</f>
        <v>107768.93000000001</v>
      </c>
      <c r="Q89" s="1"/>
      <c r="R89" s="5">
        <f t="shared" ref="R89:R94" si="26">IF(P$12=0,0,P89/P$12)</f>
        <v>0.16481332041301519</v>
      </c>
      <c r="S89" s="1"/>
      <c r="T89" s="1">
        <f>SUM(OSRRefT22_1x_0)</f>
        <v>88976.18</v>
      </c>
      <c r="U89" s="1"/>
      <c r="V89" s="5">
        <f t="shared" ref="V89:V94" si="27">IF(T$12=0,0,T89/T$12)</f>
        <v>0.140807352301416</v>
      </c>
      <c r="W89" s="1"/>
      <c r="X89" s="1">
        <f t="shared" ref="X89:X94" si="28">+P89-T89</f>
        <v>18792.750000000015</v>
      </c>
      <c r="Y89" s="1"/>
      <c r="Z89" s="5">
        <f t="shared" ref="Z89:Z94" si="29">IF(T89=0,0,X89/T89)</f>
        <v>0.21121102299514338</v>
      </c>
    </row>
    <row r="90" spans="1:26" s="24" customFormat="1" hidden="1" outlineLevel="2" x14ac:dyDescent="0.25">
      <c r="A90" s="25"/>
      <c r="B90" s="11" t="str">
        <f>CONCATENATE("          ", "6002", " - ", "STAFF SALARIES")</f>
        <v xml:space="preserve">          6002 - STAFF SALARIES</v>
      </c>
      <c r="C90" s="11"/>
      <c r="D90" s="6">
        <v>7374.5</v>
      </c>
      <c r="E90" s="2"/>
      <c r="F90" s="7">
        <f t="shared" si="22"/>
        <v>5.3474241288654883E-2</v>
      </c>
      <c r="G90" s="2"/>
      <c r="H90" s="6">
        <v>6404.36</v>
      </c>
      <c r="I90" s="2"/>
      <c r="J90" s="7">
        <f t="shared" si="23"/>
        <v>5.105118151253981E-2</v>
      </c>
      <c r="K90" s="2"/>
      <c r="L90" s="6">
        <f t="shared" si="24"/>
        <v>970.14000000000033</v>
      </c>
      <c r="M90" s="2"/>
      <c r="N90" s="7">
        <f t="shared" si="25"/>
        <v>0.15148117844718292</v>
      </c>
      <c r="O90" s="11"/>
      <c r="P90" s="6">
        <v>37436.230000000003</v>
      </c>
      <c r="Q90" s="2"/>
      <c r="R90" s="7">
        <f t="shared" si="26"/>
        <v>5.7252024029980926E-2</v>
      </c>
      <c r="S90" s="2"/>
      <c r="T90" s="6">
        <v>38706.92</v>
      </c>
      <c r="U90" s="2"/>
      <c r="V90" s="7">
        <f t="shared" si="27"/>
        <v>6.1254809106692655E-2</v>
      </c>
      <c r="W90" s="2"/>
      <c r="X90" s="6">
        <f t="shared" si="28"/>
        <v>-1270.6899999999951</v>
      </c>
      <c r="Y90" s="2"/>
      <c r="Z90" s="7">
        <f t="shared" si="29"/>
        <v>-3.2828496816589774E-2</v>
      </c>
    </row>
    <row r="91" spans="1:26" s="24" customFormat="1" hidden="1" outlineLevel="2" x14ac:dyDescent="0.25">
      <c r="A91" s="25"/>
      <c r="B91" s="11" t="str">
        <f>CONCATENATE("          ", "6004", " - ", "STAFF HOURLY")</f>
        <v xml:space="preserve">          6004 - STAFF HOURLY</v>
      </c>
      <c r="C91" s="11"/>
      <c r="D91" s="6"/>
      <c r="E91" s="2"/>
      <c r="F91" s="7">
        <f t="shared" si="22"/>
        <v>0</v>
      </c>
      <c r="G91" s="2"/>
      <c r="H91" s="6"/>
      <c r="I91" s="2"/>
      <c r="J91" s="7">
        <f t="shared" si="23"/>
        <v>0</v>
      </c>
      <c r="K91" s="2"/>
      <c r="L91" s="6">
        <f t="shared" si="24"/>
        <v>0</v>
      </c>
      <c r="M91" s="2"/>
      <c r="N91" s="7">
        <f t="shared" si="25"/>
        <v>0</v>
      </c>
      <c r="O91" s="11"/>
      <c r="P91" s="6">
        <v>-48</v>
      </c>
      <c r="Q91" s="2"/>
      <c r="R91" s="7">
        <f t="shared" si="26"/>
        <v>-7.3407422527297327E-5</v>
      </c>
      <c r="S91" s="2"/>
      <c r="T91" s="6"/>
      <c r="U91" s="2"/>
      <c r="V91" s="7">
        <f t="shared" si="27"/>
        <v>0</v>
      </c>
      <c r="W91" s="2"/>
      <c r="X91" s="6">
        <f t="shared" si="28"/>
        <v>-48</v>
      </c>
      <c r="Y91" s="2"/>
      <c r="Z91" s="7">
        <f t="shared" si="29"/>
        <v>0</v>
      </c>
    </row>
    <row r="92" spans="1:26" s="24" customFormat="1" hidden="1" outlineLevel="2" x14ac:dyDescent="0.25">
      <c r="A92" s="25"/>
      <c r="B92" s="11" t="str">
        <f>CONCATENATE("          ", "6005", " - ", "TEMPORARY WAGES-HOURLY")</f>
        <v xml:space="preserve">          6005 - TEMPORARY WAGES-HOURLY</v>
      </c>
      <c r="C92" s="11"/>
      <c r="D92" s="6">
        <v>937.07</v>
      </c>
      <c r="E92" s="2"/>
      <c r="F92" s="7">
        <f t="shared" si="22"/>
        <v>6.7949158972621651E-3</v>
      </c>
      <c r="G92" s="2"/>
      <c r="H92" s="6"/>
      <c r="I92" s="2"/>
      <c r="J92" s="7">
        <f t="shared" si="23"/>
        <v>0</v>
      </c>
      <c r="K92" s="2"/>
      <c r="L92" s="6">
        <f t="shared" si="24"/>
        <v>937.07</v>
      </c>
      <c r="M92" s="2"/>
      <c r="N92" s="7">
        <f t="shared" si="25"/>
        <v>0</v>
      </c>
      <c r="O92" s="11"/>
      <c r="P92" s="6">
        <v>3713.84</v>
      </c>
      <c r="Q92" s="2"/>
      <c r="R92" s="7">
        <f t="shared" si="26"/>
        <v>5.6796546266412069E-3</v>
      </c>
      <c r="S92" s="2"/>
      <c r="T92" s="6"/>
      <c r="U92" s="2"/>
      <c r="V92" s="7">
        <f t="shared" si="27"/>
        <v>0</v>
      </c>
      <c r="W92" s="2"/>
      <c r="X92" s="6">
        <f t="shared" si="28"/>
        <v>3713.84</v>
      </c>
      <c r="Y92" s="2"/>
      <c r="Z92" s="7">
        <f t="shared" si="29"/>
        <v>0</v>
      </c>
    </row>
    <row r="93" spans="1:26" s="24" customFormat="1" hidden="1" outlineLevel="2" x14ac:dyDescent="0.25">
      <c r="A93" s="25"/>
      <c r="B93" s="11" t="str">
        <f>CONCATENATE("          ", "6006", " - ", "TEMPORARY PART TIME")</f>
        <v xml:space="preserve">          6006 - TEMPORARY PART TIME</v>
      </c>
      <c r="C93" s="11"/>
      <c r="D93" s="6"/>
      <c r="E93" s="2"/>
      <c r="F93" s="7">
        <f t="shared" si="22"/>
        <v>0</v>
      </c>
      <c r="G93" s="2"/>
      <c r="H93" s="6">
        <v>213</v>
      </c>
      <c r="I93" s="2"/>
      <c r="J93" s="7">
        <f t="shared" si="23"/>
        <v>1.697890446847301E-3</v>
      </c>
      <c r="K93" s="2"/>
      <c r="L93" s="6">
        <f t="shared" si="24"/>
        <v>-213</v>
      </c>
      <c r="M93" s="2"/>
      <c r="N93" s="7">
        <f t="shared" si="25"/>
        <v>-1</v>
      </c>
      <c r="O93" s="11"/>
      <c r="P93" s="6">
        <v>25.5</v>
      </c>
      <c r="Q93" s="2"/>
      <c r="R93" s="7">
        <f t="shared" si="26"/>
        <v>3.8997693217626707E-5</v>
      </c>
      <c r="S93" s="2"/>
      <c r="T93" s="6">
        <v>4149.25</v>
      </c>
      <c r="U93" s="2"/>
      <c r="V93" s="7">
        <f t="shared" si="27"/>
        <v>6.5663069209832376E-3</v>
      </c>
      <c r="W93" s="2"/>
      <c r="X93" s="6">
        <f t="shared" si="28"/>
        <v>-4123.75</v>
      </c>
      <c r="Y93" s="2"/>
      <c r="Z93" s="7">
        <f t="shared" si="29"/>
        <v>-0.99385431102006383</v>
      </c>
    </row>
    <row r="94" spans="1:26" s="24" customFormat="1" hidden="1" outlineLevel="2" x14ac:dyDescent="0.25">
      <c r="A94" s="25"/>
      <c r="B94" s="11" t="str">
        <f>CONCATENATE("          ", "6007", " - ", "STUDENT HOURLY")</f>
        <v xml:space="preserve">          6007 - STUDENT HOURLY</v>
      </c>
      <c r="C94" s="11"/>
      <c r="D94" s="6">
        <v>9909.3700000000008</v>
      </c>
      <c r="E94" s="2"/>
      <c r="F94" s="7">
        <f t="shared" si="22"/>
        <v>7.1855182371490689E-2</v>
      </c>
      <c r="G94" s="2"/>
      <c r="H94" s="6">
        <v>8708.19</v>
      </c>
      <c r="I94" s="2"/>
      <c r="J94" s="7">
        <f t="shared" si="23"/>
        <v>6.9415739954606565E-2</v>
      </c>
      <c r="K94" s="2"/>
      <c r="L94" s="6">
        <f t="shared" si="24"/>
        <v>1201.1800000000003</v>
      </c>
      <c r="M94" s="2"/>
      <c r="N94" s="7">
        <f t="shared" si="25"/>
        <v>0.13793681580213571</v>
      </c>
      <c r="O94" s="11"/>
      <c r="P94" s="6">
        <v>66641.36</v>
      </c>
      <c r="Q94" s="2"/>
      <c r="R94" s="7">
        <f t="shared" si="26"/>
        <v>0.10191605148570274</v>
      </c>
      <c r="S94" s="2"/>
      <c r="T94" s="6">
        <v>46120.009999999995</v>
      </c>
      <c r="U94" s="2"/>
      <c r="V94" s="7">
        <f t="shared" si="27"/>
        <v>7.2986236273740096E-2</v>
      </c>
      <c r="W94" s="2"/>
      <c r="X94" s="6">
        <f t="shared" si="28"/>
        <v>20521.350000000006</v>
      </c>
      <c r="Y94" s="2"/>
      <c r="Z94" s="7">
        <f t="shared" si="29"/>
        <v>0.444955454259442</v>
      </c>
    </row>
    <row r="95" spans="1:26" s="26" customFormat="1" outlineLevel="1" collapsed="1" x14ac:dyDescent="0.25">
      <c r="A95" s="27"/>
      <c r="B95" s="13" t="str">
        <f>CONCATENATE("     ","Advertising/Promo                                 ")</f>
        <v xml:space="preserve">     Advertising/Promo                                 </v>
      </c>
      <c r="C95" s="13"/>
      <c r="D95" s="1">
        <f>SUM(OSRRefD22_2x_0)</f>
        <v>30.64</v>
      </c>
      <c r="E95" s="1"/>
      <c r="F95" s="5">
        <f t="shared" ref="F95:F101" si="30">IF(D$12=0,0,D95/D$12)</f>
        <v>2.2217787688445122E-4</v>
      </c>
      <c r="G95" s="1"/>
      <c r="H95" s="1">
        <f>SUM(OSRRefH22_2x_0)</f>
        <v>0</v>
      </c>
      <c r="I95" s="1"/>
      <c r="J95" s="5">
        <f t="shared" ref="J95:J101" si="31">IF(H$12=0,0,H95/H$12)</f>
        <v>0</v>
      </c>
      <c r="K95" s="1"/>
      <c r="L95" s="1">
        <f t="shared" ref="L95:L101" si="32">+D95-H95</f>
        <v>30.64</v>
      </c>
      <c r="M95" s="1"/>
      <c r="N95" s="5">
        <f t="shared" ref="N95:N101" si="33">IF(H95=0,0,L95/H95)</f>
        <v>0</v>
      </c>
      <c r="O95" s="13"/>
      <c r="P95" s="1">
        <f>SUM(OSRRefP22_2x_0)</f>
        <v>2134.63</v>
      </c>
      <c r="Q95" s="1"/>
      <c r="R95" s="5">
        <f t="shared" ref="R95:R101" si="34">IF(P$12=0,0,P95/P$12)</f>
        <v>3.2645351322800982E-3</v>
      </c>
      <c r="S95" s="1"/>
      <c r="T95" s="1">
        <f>SUM(OSRRefT22_2x_0)</f>
        <v>1138.3599999999999</v>
      </c>
      <c r="U95" s="1"/>
      <c r="V95" s="5">
        <f t="shared" ref="V95:V101" si="35">IF(T$12=0,0,T95/T$12)</f>
        <v>1.801487292057716E-3</v>
      </c>
      <c r="W95" s="1"/>
      <c r="X95" s="1">
        <f t="shared" ref="X95:X101" si="36">+P95-T95</f>
        <v>996.27000000000021</v>
      </c>
      <c r="Y95" s="1"/>
      <c r="Z95" s="5">
        <f t="shared" ref="Z95:Z101" si="37">IF(T95=0,0,X95/T95)</f>
        <v>0.87518008362908073</v>
      </c>
    </row>
    <row r="96" spans="1:26" s="24" customFormat="1" hidden="1" outlineLevel="2" x14ac:dyDescent="0.25">
      <c r="A96" s="25"/>
      <c r="B96" s="11" t="str">
        <f>CONCATENATE("          ", "6362", " - ", "ADVERTISING EXPENSE")</f>
        <v xml:space="preserve">          6362 - ADVERTISING EXPENSE</v>
      </c>
      <c r="C96" s="11"/>
      <c r="D96" s="6">
        <v>30.64</v>
      </c>
      <c r="E96" s="2"/>
      <c r="F96" s="7">
        <f t="shared" si="30"/>
        <v>2.2217787688445122E-4</v>
      </c>
      <c r="G96" s="2"/>
      <c r="H96" s="6"/>
      <c r="I96" s="2"/>
      <c r="J96" s="7">
        <f t="shared" si="31"/>
        <v>0</v>
      </c>
      <c r="K96" s="2"/>
      <c r="L96" s="6">
        <f t="shared" si="32"/>
        <v>30.64</v>
      </c>
      <c r="M96" s="2"/>
      <c r="N96" s="7">
        <f t="shared" si="33"/>
        <v>0</v>
      </c>
      <c r="O96" s="11"/>
      <c r="P96" s="6">
        <v>2134.63</v>
      </c>
      <c r="Q96" s="2"/>
      <c r="R96" s="7">
        <f t="shared" si="34"/>
        <v>3.2645351322800982E-3</v>
      </c>
      <c r="S96" s="2"/>
      <c r="T96" s="6">
        <v>1138.3599999999999</v>
      </c>
      <c r="U96" s="2"/>
      <c r="V96" s="7">
        <f t="shared" si="35"/>
        <v>1.801487292057716E-3</v>
      </c>
      <c r="W96" s="2"/>
      <c r="X96" s="6">
        <f t="shared" si="36"/>
        <v>996.27000000000021</v>
      </c>
      <c r="Y96" s="2"/>
      <c r="Z96" s="7">
        <f t="shared" si="37"/>
        <v>0.87518008362908073</v>
      </c>
    </row>
    <row r="97" spans="1:26" s="26" customFormat="1" outlineLevel="1" collapsed="1" x14ac:dyDescent="0.25">
      <c r="A97" s="27"/>
      <c r="B97" s="13" t="str">
        <f>CONCATENATE("     ","Bad Debts/Over/Short                              ")</f>
        <v xml:space="preserve">     Bad Debts/Over/Short                              </v>
      </c>
      <c r="C97" s="13"/>
      <c r="D97" s="1">
        <f>SUM(OSRRefD22_3x_0)</f>
        <v>-21.52</v>
      </c>
      <c r="E97" s="1"/>
      <c r="F97" s="5">
        <f t="shared" si="30"/>
        <v>-1.5604660282484954E-4</v>
      </c>
      <c r="G97" s="1"/>
      <c r="H97" s="1">
        <f>SUM(OSRRefH22_3x_0)</f>
        <v>0.96</v>
      </c>
      <c r="I97" s="1"/>
      <c r="J97" s="5">
        <f t="shared" si="31"/>
        <v>7.6524639857906512E-6</v>
      </c>
      <c r="K97" s="1"/>
      <c r="L97" s="1">
        <f t="shared" si="32"/>
        <v>-22.48</v>
      </c>
      <c r="M97" s="1"/>
      <c r="N97" s="5">
        <f t="shared" si="33"/>
        <v>-23.416666666666668</v>
      </c>
      <c r="O97" s="13"/>
      <c r="P97" s="1">
        <f>SUM(OSRRefP22_3x_0)</f>
        <v>-68.5</v>
      </c>
      <c r="Q97" s="1"/>
      <c r="R97" s="5">
        <f t="shared" si="34"/>
        <v>-1.0475850923166391E-4</v>
      </c>
      <c r="S97" s="1"/>
      <c r="T97" s="1">
        <f>SUM(OSRRefT22_3x_0)</f>
        <v>10.68</v>
      </c>
      <c r="U97" s="1"/>
      <c r="V97" s="5">
        <f t="shared" si="35"/>
        <v>1.6901405776007948E-5</v>
      </c>
      <c r="W97" s="1"/>
      <c r="X97" s="1">
        <f t="shared" si="36"/>
        <v>-79.180000000000007</v>
      </c>
      <c r="Y97" s="1"/>
      <c r="Z97" s="5">
        <f t="shared" si="37"/>
        <v>-7.4138576779026222</v>
      </c>
    </row>
    <row r="98" spans="1:26" s="24" customFormat="1" hidden="1" outlineLevel="2" x14ac:dyDescent="0.25">
      <c r="A98" s="25"/>
      <c r="B98" s="11" t="str">
        <f>CONCATENATE("          ", "6272", " - ", "CASH (OVER/SHORT)")</f>
        <v xml:space="preserve">          6272 - CASH (OVER/SHORT)</v>
      </c>
      <c r="C98" s="11"/>
      <c r="D98" s="6">
        <v>-21.52</v>
      </c>
      <c r="E98" s="2"/>
      <c r="F98" s="7">
        <f t="shared" si="30"/>
        <v>-1.5604660282484954E-4</v>
      </c>
      <c r="G98" s="2"/>
      <c r="H98" s="6">
        <v>0.96</v>
      </c>
      <c r="I98" s="2"/>
      <c r="J98" s="7">
        <f t="shared" si="31"/>
        <v>7.6524639857906512E-6</v>
      </c>
      <c r="K98" s="2"/>
      <c r="L98" s="6">
        <f t="shared" si="32"/>
        <v>-22.48</v>
      </c>
      <c r="M98" s="2"/>
      <c r="N98" s="7">
        <f t="shared" si="33"/>
        <v>-23.416666666666668</v>
      </c>
      <c r="O98" s="11"/>
      <c r="P98" s="6">
        <v>-68.5</v>
      </c>
      <c r="Q98" s="2"/>
      <c r="R98" s="7">
        <f t="shared" si="34"/>
        <v>-1.0475850923166391E-4</v>
      </c>
      <c r="S98" s="2"/>
      <c r="T98" s="6">
        <v>10.68</v>
      </c>
      <c r="U98" s="2"/>
      <c r="V98" s="7">
        <f t="shared" si="35"/>
        <v>1.6901405776007948E-5</v>
      </c>
      <c r="W98" s="2"/>
      <c r="X98" s="6">
        <f t="shared" si="36"/>
        <v>-79.180000000000007</v>
      </c>
      <c r="Y98" s="2"/>
      <c r="Z98" s="7">
        <f t="shared" si="37"/>
        <v>-7.4138576779026222</v>
      </c>
    </row>
    <row r="99" spans="1:26" s="26" customFormat="1" outlineLevel="1" collapsed="1" x14ac:dyDescent="0.25">
      <c r="A99" s="27"/>
      <c r="B99" s="13" t="str">
        <f>CONCATENATE("     ","Discounts and Markdowns                           ")</f>
        <v xml:space="preserve">     Discounts and Markdowns                           </v>
      </c>
      <c r="C99" s="13"/>
      <c r="D99" s="1">
        <f>SUM(OSRRefD22_4x_0)</f>
        <v>3459.9900000000002</v>
      </c>
      <c r="E99" s="1"/>
      <c r="F99" s="5">
        <f t="shared" si="30"/>
        <v>2.5089204707618554E-2</v>
      </c>
      <c r="G99" s="1"/>
      <c r="H99" s="1">
        <f>SUM(OSRRefH22_4x_0)</f>
        <v>6204.46</v>
      </c>
      <c r="I99" s="1"/>
      <c r="J99" s="5">
        <f t="shared" si="31"/>
        <v>4.9457715313831946E-2</v>
      </c>
      <c r="K99" s="1"/>
      <c r="L99" s="1">
        <f t="shared" si="32"/>
        <v>-2744.47</v>
      </c>
      <c r="M99" s="1"/>
      <c r="N99" s="5">
        <f t="shared" si="33"/>
        <v>-0.4423382534499376</v>
      </c>
      <c r="O99" s="13"/>
      <c r="P99" s="1">
        <f>SUM(OSRRefP22_4x_0)</f>
        <v>14834.699999999999</v>
      </c>
      <c r="Q99" s="1"/>
      <c r="R99" s="5">
        <f t="shared" si="34"/>
        <v>2.2687022728452036E-2</v>
      </c>
      <c r="S99" s="1"/>
      <c r="T99" s="1">
        <f>SUM(OSRRefT22_4x_0)</f>
        <v>21615.84</v>
      </c>
      <c r="U99" s="1"/>
      <c r="V99" s="5">
        <f t="shared" si="35"/>
        <v>3.4207685676897345E-2</v>
      </c>
      <c r="W99" s="1"/>
      <c r="X99" s="1">
        <f t="shared" si="36"/>
        <v>-6781.1400000000012</v>
      </c>
      <c r="Y99" s="1"/>
      <c r="Z99" s="5">
        <f t="shared" si="37"/>
        <v>-0.31371161148491111</v>
      </c>
    </row>
    <row r="100" spans="1:26" s="24" customFormat="1" hidden="1" outlineLevel="2" x14ac:dyDescent="0.25">
      <c r="A100" s="25"/>
      <c r="B100" s="11" t="str">
        <f>CONCATENATE("          ", "6382", " - ", "DISCOUNTS/MARK DOWNS")</f>
        <v xml:space="preserve">          6382 - DISCOUNTS/MARK DOWNS</v>
      </c>
      <c r="C100" s="11"/>
      <c r="D100" s="6">
        <v>3493.82</v>
      </c>
      <c r="E100" s="2"/>
      <c r="F100" s="7">
        <f t="shared" si="30"/>
        <v>2.5334514027951484E-2</v>
      </c>
      <c r="G100" s="2"/>
      <c r="H100" s="6">
        <v>6135.06</v>
      </c>
      <c r="I100" s="2"/>
      <c r="J100" s="7">
        <f t="shared" si="31"/>
        <v>4.8904505938192497E-2</v>
      </c>
      <c r="K100" s="2"/>
      <c r="L100" s="6">
        <f t="shared" si="32"/>
        <v>-2641.2400000000002</v>
      </c>
      <c r="M100" s="2"/>
      <c r="N100" s="7">
        <f t="shared" si="33"/>
        <v>-0.43051575697711186</v>
      </c>
      <c r="O100" s="11"/>
      <c r="P100" s="6">
        <v>14868.529999999999</v>
      </c>
      <c r="Q100" s="2"/>
      <c r="R100" s="7">
        <f t="shared" si="34"/>
        <v>2.2738759668120754E-2</v>
      </c>
      <c r="S100" s="2"/>
      <c r="T100" s="6">
        <v>21049.89</v>
      </c>
      <c r="U100" s="2"/>
      <c r="V100" s="7">
        <f t="shared" si="35"/>
        <v>3.3312053598345687E-2</v>
      </c>
      <c r="W100" s="2"/>
      <c r="X100" s="6">
        <f t="shared" si="36"/>
        <v>-6181.3600000000006</v>
      </c>
      <c r="Y100" s="2"/>
      <c r="Z100" s="7">
        <f t="shared" si="37"/>
        <v>-0.29365284094121158</v>
      </c>
    </row>
    <row r="101" spans="1:26" s="24" customFormat="1" hidden="1" outlineLevel="2" x14ac:dyDescent="0.25">
      <c r="A101" s="25"/>
      <c r="B101" s="11" t="str">
        <f>CONCATENATE("          ", "9175", " - ", "EARNED DISCOUNTS")</f>
        <v xml:space="preserve">          9175 - EARNED DISCOUNTS</v>
      </c>
      <c r="C101" s="11"/>
      <c r="D101" s="6">
        <v>-33.83</v>
      </c>
      <c r="E101" s="2"/>
      <c r="F101" s="7">
        <f t="shared" si="30"/>
        <v>-2.453093203329303E-4</v>
      </c>
      <c r="G101" s="2"/>
      <c r="H101" s="6">
        <v>69.400000000000006</v>
      </c>
      <c r="I101" s="2"/>
      <c r="J101" s="7">
        <f t="shared" si="31"/>
        <v>5.5320937563944927E-4</v>
      </c>
      <c r="K101" s="2"/>
      <c r="L101" s="6">
        <f t="shared" si="32"/>
        <v>-103.23</v>
      </c>
      <c r="M101" s="2"/>
      <c r="N101" s="7">
        <f t="shared" si="33"/>
        <v>-1.4874639769452449</v>
      </c>
      <c r="O101" s="11"/>
      <c r="P101" s="6">
        <v>-33.83</v>
      </c>
      <c r="Q101" s="2"/>
      <c r="R101" s="7">
        <f t="shared" si="34"/>
        <v>-5.1736939668718095E-5</v>
      </c>
      <c r="S101" s="2"/>
      <c r="T101" s="6">
        <v>565.95000000000005</v>
      </c>
      <c r="U101" s="2"/>
      <c r="V101" s="7">
        <f t="shared" si="35"/>
        <v>8.956320785516572E-4</v>
      </c>
      <c r="W101" s="2"/>
      <c r="X101" s="6">
        <f t="shared" si="36"/>
        <v>-599.78000000000009</v>
      </c>
      <c r="Y101" s="2"/>
      <c r="Z101" s="7">
        <f t="shared" si="37"/>
        <v>-1.0597755985511088</v>
      </c>
    </row>
    <row r="102" spans="1:26" s="26" customFormat="1" outlineLevel="1" collapsed="1" x14ac:dyDescent="0.25">
      <c r="A102" s="27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SUM(OSRRefD22_5x_0)</f>
        <v>0</v>
      </c>
      <c r="E102" s="1"/>
      <c r="F102" s="5">
        <f t="shared" ref="F102:F116" si="38">IF(D$12=0,0,D102/D$12)</f>
        <v>0</v>
      </c>
      <c r="G102" s="1"/>
      <c r="H102" s="1">
        <f>SUM(OSRRefH22_5x_0)</f>
        <v>57.88</v>
      </c>
      <c r="I102" s="1"/>
      <c r="J102" s="5">
        <f t="shared" ref="J102:J116" si="39">IF(H$12=0,0,H102/H$12)</f>
        <v>4.6137980780996144E-4</v>
      </c>
      <c r="K102" s="1"/>
      <c r="L102" s="1">
        <f t="shared" ref="L102:L116" si="40">+D102-H102</f>
        <v>-57.88</v>
      </c>
      <c r="M102" s="1"/>
      <c r="N102" s="5">
        <f t="shared" ref="N102:N116" si="41">IF(H102=0,0,L102/H102)</f>
        <v>-1</v>
      </c>
      <c r="O102" s="13"/>
      <c r="P102" s="1">
        <f>SUM(OSRRefP22_5x_0)</f>
        <v>0</v>
      </c>
      <c r="Q102" s="1"/>
      <c r="R102" s="5">
        <f t="shared" ref="R102:R116" si="42">IF(P$12=0,0,P102/P$12)</f>
        <v>0</v>
      </c>
      <c r="S102" s="1"/>
      <c r="T102" s="1">
        <f>SUM(OSRRefT22_5x_0)</f>
        <v>77.849999999999994</v>
      </c>
      <c r="U102" s="1"/>
      <c r="V102" s="5">
        <f t="shared" ref="V102:V116" si="43">IF(T$12=0,0,T102/T$12)</f>
        <v>1.231998539009568E-4</v>
      </c>
      <c r="W102" s="1"/>
      <c r="X102" s="1">
        <f t="shared" ref="X102:X116" si="44">+P102-T102</f>
        <v>-77.849999999999994</v>
      </c>
      <c r="Y102" s="1"/>
      <c r="Z102" s="5">
        <f t="shared" ref="Z102:Z116" si="45">IF(T102=0,0,X102/T102)</f>
        <v>-1</v>
      </c>
    </row>
    <row r="103" spans="1:26" s="24" customFormat="1" hidden="1" outlineLevel="2" x14ac:dyDescent="0.25">
      <c r="A103" s="25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38"/>
        <v>0</v>
      </c>
      <c r="G103" s="2"/>
      <c r="H103" s="6">
        <v>57.88</v>
      </c>
      <c r="I103" s="2"/>
      <c r="J103" s="7">
        <f t="shared" si="39"/>
        <v>4.6137980780996144E-4</v>
      </c>
      <c r="K103" s="2"/>
      <c r="L103" s="6">
        <f t="shared" si="40"/>
        <v>-57.88</v>
      </c>
      <c r="M103" s="2"/>
      <c r="N103" s="7">
        <f t="shared" si="41"/>
        <v>-1</v>
      </c>
      <c r="O103" s="11"/>
      <c r="P103" s="6"/>
      <c r="Q103" s="2"/>
      <c r="R103" s="7">
        <f t="shared" si="42"/>
        <v>0</v>
      </c>
      <c r="S103" s="2"/>
      <c r="T103" s="6">
        <v>77.849999999999994</v>
      </c>
      <c r="U103" s="2"/>
      <c r="V103" s="7">
        <f t="shared" si="43"/>
        <v>1.231998539009568E-4</v>
      </c>
      <c r="W103" s="2"/>
      <c r="X103" s="6">
        <f t="shared" si="44"/>
        <v>-77.849999999999994</v>
      </c>
      <c r="Y103" s="2"/>
      <c r="Z103" s="7">
        <f t="shared" si="45"/>
        <v>-1</v>
      </c>
    </row>
    <row r="104" spans="1:26" s="26" customFormat="1" outlineLevel="1" collapsed="1" x14ac:dyDescent="0.25">
      <c r="A104" s="27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SUM(OSRRefD22_6x_0)</f>
        <v>0</v>
      </c>
      <c r="E104" s="1"/>
      <c r="F104" s="5">
        <f t="shared" si="38"/>
        <v>0</v>
      </c>
      <c r="G104" s="1"/>
      <c r="H104" s="1">
        <f>SUM(OSRRefH22_6x_0)</f>
        <v>0</v>
      </c>
      <c r="I104" s="1"/>
      <c r="J104" s="5">
        <f t="shared" si="39"/>
        <v>0</v>
      </c>
      <c r="K104" s="1"/>
      <c r="L104" s="1">
        <f t="shared" si="40"/>
        <v>0</v>
      </c>
      <c r="M104" s="1"/>
      <c r="N104" s="5">
        <f t="shared" si="41"/>
        <v>0</v>
      </c>
      <c r="O104" s="13"/>
      <c r="P104" s="1">
        <f>SUM(OSRRefP22_6x_0)</f>
        <v>15.81</v>
      </c>
      <c r="Q104" s="1"/>
      <c r="R104" s="5">
        <f t="shared" si="42"/>
        <v>2.417856979492856E-5</v>
      </c>
      <c r="S104" s="1"/>
      <c r="T104" s="1">
        <f>SUM(OSRRefT22_6x_0)</f>
        <v>5.0999999999999996</v>
      </c>
      <c r="U104" s="1"/>
      <c r="V104" s="5">
        <f t="shared" si="43"/>
        <v>8.0708960166330081E-6</v>
      </c>
      <c r="W104" s="1"/>
      <c r="X104" s="1">
        <f t="shared" si="44"/>
        <v>10.71</v>
      </c>
      <c r="Y104" s="1"/>
      <c r="Z104" s="5">
        <f t="shared" si="45"/>
        <v>2.1000000000000005</v>
      </c>
    </row>
    <row r="105" spans="1:26" s="24" customFormat="1" hidden="1" outlineLevel="2" x14ac:dyDescent="0.25">
      <c r="A105" s="25"/>
      <c r="B105" s="11" t="str">
        <f>CONCATENATE("          ", "6305", " - ", "FREIGHT OUT")</f>
        <v xml:space="preserve">          6305 - FREIGHT OUT</v>
      </c>
      <c r="C105" s="11"/>
      <c r="D105" s="6"/>
      <c r="E105" s="2"/>
      <c r="F105" s="7">
        <f t="shared" si="38"/>
        <v>0</v>
      </c>
      <c r="G105" s="2"/>
      <c r="H105" s="6"/>
      <c r="I105" s="2"/>
      <c r="J105" s="7">
        <f t="shared" si="39"/>
        <v>0</v>
      </c>
      <c r="K105" s="2"/>
      <c r="L105" s="6">
        <f t="shared" si="40"/>
        <v>0</v>
      </c>
      <c r="M105" s="2"/>
      <c r="N105" s="7">
        <f t="shared" si="41"/>
        <v>0</v>
      </c>
      <c r="O105" s="11"/>
      <c r="P105" s="6">
        <v>15.81</v>
      </c>
      <c r="Q105" s="2"/>
      <c r="R105" s="7">
        <f t="shared" si="42"/>
        <v>2.417856979492856E-5</v>
      </c>
      <c r="S105" s="2"/>
      <c r="T105" s="6">
        <v>5.0999999999999996</v>
      </c>
      <c r="U105" s="2"/>
      <c r="V105" s="7">
        <f t="shared" si="43"/>
        <v>8.0708960166330081E-6</v>
      </c>
      <c r="W105" s="2"/>
      <c r="X105" s="6">
        <f t="shared" si="44"/>
        <v>10.71</v>
      </c>
      <c r="Y105" s="2"/>
      <c r="Z105" s="7">
        <f t="shared" si="45"/>
        <v>2.1000000000000005</v>
      </c>
    </row>
    <row r="106" spans="1:26" s="26" customFormat="1" outlineLevel="1" collapsed="1" x14ac:dyDescent="0.25">
      <c r="A106" s="27"/>
      <c r="B106" s="13" t="str">
        <f>CONCATENATE("     ","General                                           ")</f>
        <v xml:space="preserve">     General                                           </v>
      </c>
      <c r="C106" s="13"/>
      <c r="D106" s="1">
        <f>SUM(OSRRefD22_7x_0)</f>
        <v>0</v>
      </c>
      <c r="E106" s="1"/>
      <c r="F106" s="5">
        <f t="shared" si="38"/>
        <v>0</v>
      </c>
      <c r="G106" s="1"/>
      <c r="H106" s="1">
        <f>SUM(OSRRefH22_7x_0)</f>
        <v>0</v>
      </c>
      <c r="I106" s="1"/>
      <c r="J106" s="5">
        <f t="shared" si="39"/>
        <v>0</v>
      </c>
      <c r="K106" s="1"/>
      <c r="L106" s="1">
        <f t="shared" si="40"/>
        <v>0</v>
      </c>
      <c r="M106" s="1"/>
      <c r="N106" s="5">
        <f t="shared" si="41"/>
        <v>0</v>
      </c>
      <c r="O106" s="13"/>
      <c r="P106" s="1">
        <f>SUM(OSRRefP22_7x_0)</f>
        <v>954.05</v>
      </c>
      <c r="Q106" s="1"/>
      <c r="R106" s="5">
        <f t="shared" si="42"/>
        <v>1.459048988795167E-3</v>
      </c>
      <c r="S106" s="1"/>
      <c r="T106" s="1">
        <f>SUM(OSRRefT22_7x_0)</f>
        <v>829.2</v>
      </c>
      <c r="U106" s="1"/>
      <c r="V106" s="5">
        <f t="shared" si="43"/>
        <v>1.3122327405866846E-3</v>
      </c>
      <c r="W106" s="1"/>
      <c r="X106" s="1">
        <f t="shared" si="44"/>
        <v>124.84999999999991</v>
      </c>
      <c r="Y106" s="1"/>
      <c r="Z106" s="5">
        <f t="shared" si="45"/>
        <v>0.15056681138446684</v>
      </c>
    </row>
    <row r="107" spans="1:26" s="24" customFormat="1" hidden="1" outlineLevel="2" x14ac:dyDescent="0.25">
      <c r="A107" s="25"/>
      <c r="B107" s="11" t="str">
        <f>CONCATENATE("          ", "6279", " - ", "GENERAL EXPENSE")</f>
        <v xml:space="preserve">          6279 - GENERAL EXPENSE</v>
      </c>
      <c r="C107" s="11"/>
      <c r="D107" s="6"/>
      <c r="E107" s="2"/>
      <c r="F107" s="7">
        <f t="shared" si="38"/>
        <v>0</v>
      </c>
      <c r="G107" s="2"/>
      <c r="H107" s="6"/>
      <c r="I107" s="2"/>
      <c r="J107" s="7">
        <f t="shared" si="39"/>
        <v>0</v>
      </c>
      <c r="K107" s="2"/>
      <c r="L107" s="6">
        <f t="shared" si="40"/>
        <v>0</v>
      </c>
      <c r="M107" s="2"/>
      <c r="N107" s="7">
        <f t="shared" si="41"/>
        <v>0</v>
      </c>
      <c r="O107" s="11"/>
      <c r="P107" s="6">
        <v>954.05</v>
      </c>
      <c r="Q107" s="2"/>
      <c r="R107" s="7">
        <f t="shared" si="42"/>
        <v>1.459048988795167E-3</v>
      </c>
      <c r="S107" s="2"/>
      <c r="T107" s="6">
        <v>829.2</v>
      </c>
      <c r="U107" s="2"/>
      <c r="V107" s="7">
        <f t="shared" si="43"/>
        <v>1.3122327405866846E-3</v>
      </c>
      <c r="W107" s="2"/>
      <c r="X107" s="6">
        <f t="shared" si="44"/>
        <v>124.84999999999991</v>
      </c>
      <c r="Y107" s="2"/>
      <c r="Z107" s="7">
        <f t="shared" si="45"/>
        <v>0.15056681138446684</v>
      </c>
    </row>
    <row r="108" spans="1:26" s="26" customFormat="1" outlineLevel="1" collapsed="1" x14ac:dyDescent="0.25">
      <c r="A108" s="27"/>
      <c r="B108" s="13" t="str">
        <f>CONCATENATE("     ","Inventory Adjustment                              ")</f>
        <v xml:space="preserve">     Inventory Adjustment                              </v>
      </c>
      <c r="C108" s="13"/>
      <c r="D108" s="1">
        <f>SUM(OSRRefD22_8x_0)</f>
        <v>0</v>
      </c>
      <c r="E108" s="1"/>
      <c r="F108" s="5">
        <f t="shared" si="38"/>
        <v>0</v>
      </c>
      <c r="G108" s="1"/>
      <c r="H108" s="1">
        <f>SUM(OSRRefH22_8x_0)</f>
        <v>400</v>
      </c>
      <c r="I108" s="1"/>
      <c r="J108" s="5">
        <f t="shared" si="39"/>
        <v>3.1885266607461051E-3</v>
      </c>
      <c r="K108" s="1"/>
      <c r="L108" s="1">
        <f t="shared" si="40"/>
        <v>-400</v>
      </c>
      <c r="M108" s="1"/>
      <c r="N108" s="5">
        <f t="shared" si="41"/>
        <v>-1</v>
      </c>
      <c r="O108" s="13"/>
      <c r="P108" s="1">
        <f>SUM(OSRRefP22_8x_0)</f>
        <v>0</v>
      </c>
      <c r="Q108" s="1"/>
      <c r="R108" s="5">
        <f t="shared" si="42"/>
        <v>0</v>
      </c>
      <c r="S108" s="1"/>
      <c r="T108" s="1">
        <f>SUM(OSRRefT22_8x_0)</f>
        <v>2800</v>
      </c>
      <c r="U108" s="1"/>
      <c r="V108" s="5">
        <f t="shared" si="43"/>
        <v>4.4310801659945935E-3</v>
      </c>
      <c r="W108" s="1"/>
      <c r="X108" s="1">
        <f t="shared" si="44"/>
        <v>-2800</v>
      </c>
      <c r="Y108" s="1"/>
      <c r="Z108" s="5">
        <f t="shared" si="45"/>
        <v>-1</v>
      </c>
    </row>
    <row r="109" spans="1:26" s="24" customFormat="1" hidden="1" outlineLevel="2" x14ac:dyDescent="0.25">
      <c r="A109" s="25"/>
      <c r="B109" s="11" t="str">
        <f>CONCATENATE("          ", "6408", " - ", "INVENTORY ADJUSTMENT")</f>
        <v xml:space="preserve">          6408 - INVENTORY ADJUSTMENT</v>
      </c>
      <c r="C109" s="11"/>
      <c r="D109" s="6"/>
      <c r="E109" s="2"/>
      <c r="F109" s="7">
        <f t="shared" si="38"/>
        <v>0</v>
      </c>
      <c r="G109" s="2"/>
      <c r="H109" s="6">
        <v>400</v>
      </c>
      <c r="I109" s="2"/>
      <c r="J109" s="7">
        <f t="shared" si="39"/>
        <v>3.1885266607461051E-3</v>
      </c>
      <c r="K109" s="2"/>
      <c r="L109" s="6">
        <f t="shared" si="40"/>
        <v>-400</v>
      </c>
      <c r="M109" s="2"/>
      <c r="N109" s="7">
        <f t="shared" si="41"/>
        <v>-1</v>
      </c>
      <c r="O109" s="11"/>
      <c r="P109" s="6"/>
      <c r="Q109" s="2"/>
      <c r="R109" s="7">
        <f t="shared" si="42"/>
        <v>0</v>
      </c>
      <c r="S109" s="2"/>
      <c r="T109" s="6">
        <v>2800</v>
      </c>
      <c r="U109" s="2"/>
      <c r="V109" s="7">
        <f t="shared" si="43"/>
        <v>4.4310801659945935E-3</v>
      </c>
      <c r="W109" s="2"/>
      <c r="X109" s="6">
        <f t="shared" si="44"/>
        <v>-2800</v>
      </c>
      <c r="Y109" s="2"/>
      <c r="Z109" s="7">
        <f t="shared" si="45"/>
        <v>-1</v>
      </c>
    </row>
    <row r="110" spans="1:26" s="26" customFormat="1" outlineLevel="1" collapsed="1" x14ac:dyDescent="0.25">
      <c r="A110" s="27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SUM(OSRRefD22_9x_0)</f>
        <v>0</v>
      </c>
      <c r="E110" s="1"/>
      <c r="F110" s="5">
        <f t="shared" si="38"/>
        <v>0</v>
      </c>
      <c r="G110" s="1"/>
      <c r="H110" s="1">
        <f>SUM(OSRRefH22_9x_0)</f>
        <v>0</v>
      </c>
      <c r="I110" s="1"/>
      <c r="J110" s="5">
        <f t="shared" si="39"/>
        <v>0</v>
      </c>
      <c r="K110" s="1"/>
      <c r="L110" s="1">
        <f t="shared" si="40"/>
        <v>0</v>
      </c>
      <c r="M110" s="1"/>
      <c r="N110" s="5">
        <f t="shared" si="41"/>
        <v>0</v>
      </c>
      <c r="O110" s="13"/>
      <c r="P110" s="1">
        <f>SUM(OSRRefP22_9x_0)</f>
        <v>791.15</v>
      </c>
      <c r="Q110" s="1"/>
      <c r="R110" s="5">
        <f t="shared" si="42"/>
        <v>1.2099225485931518E-3</v>
      </c>
      <c r="S110" s="1"/>
      <c r="T110" s="1">
        <f>SUM(OSRRefT22_9x_0)</f>
        <v>750</v>
      </c>
      <c r="U110" s="1"/>
      <c r="V110" s="5">
        <f t="shared" si="43"/>
        <v>1.1868964730342661E-3</v>
      </c>
      <c r="W110" s="1"/>
      <c r="X110" s="1">
        <f t="shared" si="44"/>
        <v>41.149999999999977</v>
      </c>
      <c r="Y110" s="1"/>
      <c r="Z110" s="5">
        <f t="shared" si="45"/>
        <v>5.4866666666666633E-2</v>
      </c>
    </row>
    <row r="111" spans="1:26" s="24" customFormat="1" hidden="1" outlineLevel="2" x14ac:dyDescent="0.25">
      <c r="A111" s="25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8"/>
        <v>0</v>
      </c>
      <c r="G111" s="2"/>
      <c r="H111" s="6"/>
      <c r="I111" s="2"/>
      <c r="J111" s="7">
        <f t="shared" si="39"/>
        <v>0</v>
      </c>
      <c r="K111" s="2"/>
      <c r="L111" s="6">
        <f t="shared" si="40"/>
        <v>0</v>
      </c>
      <c r="M111" s="2"/>
      <c r="N111" s="7">
        <f t="shared" si="41"/>
        <v>0</v>
      </c>
      <c r="O111" s="11"/>
      <c r="P111" s="6">
        <v>791.15</v>
      </c>
      <c r="Q111" s="2"/>
      <c r="R111" s="7">
        <f t="shared" si="42"/>
        <v>1.2099225485931518E-3</v>
      </c>
      <c r="S111" s="2"/>
      <c r="T111" s="6">
        <v>750</v>
      </c>
      <c r="U111" s="2"/>
      <c r="V111" s="7">
        <f t="shared" si="43"/>
        <v>1.1868964730342661E-3</v>
      </c>
      <c r="W111" s="2"/>
      <c r="X111" s="6">
        <f t="shared" si="44"/>
        <v>41.149999999999977</v>
      </c>
      <c r="Y111" s="2"/>
      <c r="Z111" s="7">
        <f t="shared" si="45"/>
        <v>5.4866666666666633E-2</v>
      </c>
    </row>
    <row r="112" spans="1:26" s="26" customFormat="1" outlineLevel="1" collapsed="1" x14ac:dyDescent="0.25">
      <c r="A112" s="27"/>
      <c r="B112" s="13" t="str">
        <f>CONCATENATE("     ","Rent                                              ")</f>
        <v xml:space="preserve">     Rent                                              </v>
      </c>
      <c r="C112" s="13"/>
      <c r="D112" s="1">
        <f>SUM(OSRRefD22_10x_0)</f>
        <v>0</v>
      </c>
      <c r="E112" s="1"/>
      <c r="F112" s="5">
        <f t="shared" si="38"/>
        <v>0</v>
      </c>
      <c r="G112" s="1"/>
      <c r="H112" s="1">
        <f>SUM(OSRRefH22_10x_0)</f>
        <v>0</v>
      </c>
      <c r="I112" s="1"/>
      <c r="J112" s="5">
        <f t="shared" si="39"/>
        <v>0</v>
      </c>
      <c r="K112" s="1"/>
      <c r="L112" s="1">
        <f t="shared" si="40"/>
        <v>0</v>
      </c>
      <c r="M112" s="1"/>
      <c r="N112" s="5">
        <f t="shared" si="41"/>
        <v>0</v>
      </c>
      <c r="O112" s="13"/>
      <c r="P112" s="1">
        <f>SUM(OSRRefP22_10x_0)</f>
        <v>0</v>
      </c>
      <c r="Q112" s="1"/>
      <c r="R112" s="5">
        <f t="shared" si="42"/>
        <v>0</v>
      </c>
      <c r="S112" s="1"/>
      <c r="T112" s="1">
        <f>SUM(OSRRefT22_10x_0)</f>
        <v>-0.23</v>
      </c>
      <c r="U112" s="1"/>
      <c r="V112" s="5">
        <f t="shared" si="43"/>
        <v>-3.639815850638416E-7</v>
      </c>
      <c r="W112" s="1"/>
      <c r="X112" s="1">
        <f t="shared" si="44"/>
        <v>0.23</v>
      </c>
      <c r="Y112" s="1"/>
      <c r="Z112" s="5">
        <f t="shared" si="45"/>
        <v>-1</v>
      </c>
    </row>
    <row r="113" spans="1:26" s="24" customFormat="1" hidden="1" outlineLevel="2" x14ac:dyDescent="0.25">
      <c r="A113" s="25"/>
      <c r="B113" s="11" t="str">
        <f>CONCATENATE("          ", "6273", " - ", "RENT")</f>
        <v xml:space="preserve">          6273 - RENT</v>
      </c>
      <c r="C113" s="11"/>
      <c r="D113" s="6"/>
      <c r="E113" s="2"/>
      <c r="F113" s="7">
        <f t="shared" si="38"/>
        <v>0</v>
      </c>
      <c r="G113" s="2"/>
      <c r="H113" s="6"/>
      <c r="I113" s="2"/>
      <c r="J113" s="7">
        <f t="shared" si="39"/>
        <v>0</v>
      </c>
      <c r="K113" s="2"/>
      <c r="L113" s="6">
        <f t="shared" si="40"/>
        <v>0</v>
      </c>
      <c r="M113" s="2"/>
      <c r="N113" s="7">
        <f t="shared" si="41"/>
        <v>0</v>
      </c>
      <c r="O113" s="11"/>
      <c r="P113" s="6"/>
      <c r="Q113" s="2"/>
      <c r="R113" s="7">
        <f t="shared" si="42"/>
        <v>0</v>
      </c>
      <c r="S113" s="2"/>
      <c r="T113" s="6">
        <v>-0.23</v>
      </c>
      <c r="U113" s="2"/>
      <c r="V113" s="7">
        <f t="shared" si="43"/>
        <v>-3.639815850638416E-7</v>
      </c>
      <c r="W113" s="2"/>
      <c r="X113" s="6">
        <f t="shared" si="44"/>
        <v>0.23</v>
      </c>
      <c r="Y113" s="2"/>
      <c r="Z113" s="7">
        <f t="shared" si="45"/>
        <v>-1</v>
      </c>
    </row>
    <row r="114" spans="1:26" s="26" customFormat="1" outlineLevel="1" collapsed="1" x14ac:dyDescent="0.25">
      <c r="A114" s="27"/>
      <c r="B114" s="13" t="str">
        <f>CONCATENATE("     ","Repair and Maintenance                            ")</f>
        <v xml:space="preserve">     Repair and Maintenance                            </v>
      </c>
      <c r="C114" s="13"/>
      <c r="D114" s="1">
        <f>SUM(OSRRefD22_11x_0)</f>
        <v>0</v>
      </c>
      <c r="E114" s="1"/>
      <c r="F114" s="5">
        <f t="shared" si="38"/>
        <v>0</v>
      </c>
      <c r="G114" s="1"/>
      <c r="H114" s="1">
        <f>SUM(OSRRefH22_11x_0)</f>
        <v>53.03</v>
      </c>
      <c r="I114" s="1"/>
      <c r="J114" s="5">
        <f t="shared" si="39"/>
        <v>4.2271892204841487E-4</v>
      </c>
      <c r="K114" s="1"/>
      <c r="L114" s="1">
        <f t="shared" si="40"/>
        <v>-53.03</v>
      </c>
      <c r="M114" s="1"/>
      <c r="N114" s="5">
        <f t="shared" si="41"/>
        <v>-1</v>
      </c>
      <c r="O114" s="13"/>
      <c r="P114" s="1">
        <f>SUM(OSRRefP22_11x_0)</f>
        <v>129.53</v>
      </c>
      <c r="Q114" s="1"/>
      <c r="R114" s="5">
        <f t="shared" si="42"/>
        <v>1.9809298833251715E-4</v>
      </c>
      <c r="S114" s="1"/>
      <c r="T114" s="1">
        <f>SUM(OSRRefT22_11x_0)</f>
        <v>178.78</v>
      </c>
      <c r="U114" s="1"/>
      <c r="V114" s="5">
        <f t="shared" si="43"/>
        <v>2.8292446859875479E-4</v>
      </c>
      <c r="W114" s="1"/>
      <c r="X114" s="1">
        <f t="shared" si="44"/>
        <v>-49.25</v>
      </c>
      <c r="Y114" s="1"/>
      <c r="Z114" s="5">
        <f t="shared" si="45"/>
        <v>-0.27547824141402844</v>
      </c>
    </row>
    <row r="115" spans="1:26" s="24" customFormat="1" hidden="1" outlineLevel="2" x14ac:dyDescent="0.25">
      <c r="A115" s="25"/>
      <c r="B115" s="11" t="str">
        <f>CONCATENATE("          ", "6373", " - ", "MAINTENANCE CONTRACTS")</f>
        <v xml:space="preserve">          6373 - MAINTENANCE CONTRACTS</v>
      </c>
      <c r="C115" s="11"/>
      <c r="D115" s="6"/>
      <c r="E115" s="2"/>
      <c r="F115" s="7">
        <f t="shared" si="38"/>
        <v>0</v>
      </c>
      <c r="G115" s="2"/>
      <c r="H115" s="6"/>
      <c r="I115" s="2"/>
      <c r="J115" s="7">
        <f t="shared" si="39"/>
        <v>0</v>
      </c>
      <c r="K115" s="2"/>
      <c r="L115" s="6">
        <f t="shared" si="40"/>
        <v>0</v>
      </c>
      <c r="M115" s="2"/>
      <c r="N115" s="7">
        <f t="shared" si="41"/>
        <v>0</v>
      </c>
      <c r="O115" s="11"/>
      <c r="P115" s="6">
        <v>119.73</v>
      </c>
      <c r="Q115" s="2"/>
      <c r="R115" s="7">
        <f t="shared" si="42"/>
        <v>1.8310563956652729E-4</v>
      </c>
      <c r="S115" s="2"/>
      <c r="T115" s="6">
        <v>99.24</v>
      </c>
      <c r="U115" s="2"/>
      <c r="V115" s="7">
        <f t="shared" si="43"/>
        <v>1.5705014131189407E-4</v>
      </c>
      <c r="W115" s="2"/>
      <c r="X115" s="6">
        <f t="shared" si="44"/>
        <v>20.490000000000009</v>
      </c>
      <c r="Y115" s="2"/>
      <c r="Z115" s="7">
        <f t="shared" si="45"/>
        <v>0.20646916565900858</v>
      </c>
    </row>
    <row r="116" spans="1:26" s="24" customFormat="1" hidden="1" outlineLevel="2" x14ac:dyDescent="0.25">
      <c r="A116" s="25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38"/>
        <v>0</v>
      </c>
      <c r="G116" s="2"/>
      <c r="H116" s="6">
        <v>53.03</v>
      </c>
      <c r="I116" s="2"/>
      <c r="J116" s="7">
        <f t="shared" si="39"/>
        <v>4.2271892204841487E-4</v>
      </c>
      <c r="K116" s="2"/>
      <c r="L116" s="6">
        <f t="shared" si="40"/>
        <v>-53.03</v>
      </c>
      <c r="M116" s="2"/>
      <c r="N116" s="7">
        <f t="shared" si="41"/>
        <v>-1</v>
      </c>
      <c r="O116" s="11"/>
      <c r="P116" s="6">
        <v>9.8000000000000007</v>
      </c>
      <c r="Q116" s="2"/>
      <c r="R116" s="7">
        <f t="shared" si="42"/>
        <v>1.4987348765989873E-5</v>
      </c>
      <c r="S116" s="2"/>
      <c r="T116" s="6">
        <v>79.540000000000006</v>
      </c>
      <c r="U116" s="2"/>
      <c r="V116" s="7">
        <f t="shared" si="43"/>
        <v>1.2587432728686069E-4</v>
      </c>
      <c r="W116" s="2"/>
      <c r="X116" s="6">
        <f t="shared" si="44"/>
        <v>-69.740000000000009</v>
      </c>
      <c r="Y116" s="2"/>
      <c r="Z116" s="7">
        <f t="shared" si="45"/>
        <v>-0.87679155142066889</v>
      </c>
    </row>
    <row r="117" spans="1:26" s="26" customFormat="1" outlineLevel="1" collapsed="1" x14ac:dyDescent="0.25">
      <c r="A117" s="27"/>
      <c r="B117" s="13" t="str">
        <f>CONCATENATE("     ","Services                                          ")</f>
        <v xml:space="preserve">     Services                                          </v>
      </c>
      <c r="C117" s="13"/>
      <c r="D117" s="1">
        <f>SUM(OSRRefD22_12x_0)</f>
        <v>338.16999999999996</v>
      </c>
      <c r="E117" s="1"/>
      <c r="F117" s="5">
        <f t="shared" ref="F117:F119" si="46">IF(D$12=0,0,D117/D$12)</f>
        <v>2.4521505426245058E-3</v>
      </c>
      <c r="G117" s="1"/>
      <c r="H117" s="1">
        <f>SUM(OSRRefH22_12x_0)</f>
        <v>274.77</v>
      </c>
      <c r="I117" s="1"/>
      <c r="J117" s="5">
        <f t="shared" ref="J117:J119" si="47">IF(H$12=0,0,H117/H$12)</f>
        <v>2.190278676433018E-3</v>
      </c>
      <c r="K117" s="1"/>
      <c r="L117" s="1">
        <f t="shared" ref="L117:L119" si="48">+D117-H117</f>
        <v>63.399999999999977</v>
      </c>
      <c r="M117" s="1"/>
      <c r="N117" s="5">
        <f t="shared" ref="N117:N119" si="49">IF(H117=0,0,L117/H117)</f>
        <v>0.23073843578265452</v>
      </c>
      <c r="O117" s="13"/>
      <c r="P117" s="1">
        <f>SUM(OSRRefP22_12x_0)</f>
        <v>1568.86</v>
      </c>
      <c r="Q117" s="1"/>
      <c r="R117" s="5">
        <f t="shared" ref="R117:R119" si="50">IF(P$12=0,0,P117/P$12)</f>
        <v>2.3992910188786599E-3</v>
      </c>
      <c r="S117" s="1"/>
      <c r="T117" s="1">
        <f>SUM(OSRRefT22_12x_0)</f>
        <v>1462.17</v>
      </c>
      <c r="U117" s="1"/>
      <c r="V117" s="5">
        <f t="shared" ref="V117:V119" si="51">IF(T$12=0,0,T117/T$12)</f>
        <v>2.3139258879686839E-3</v>
      </c>
      <c r="W117" s="1"/>
      <c r="X117" s="1">
        <f t="shared" ref="X117:X119" si="52">+P117-T117</f>
        <v>106.68999999999983</v>
      </c>
      <c r="Y117" s="1"/>
      <c r="Z117" s="5">
        <f t="shared" ref="Z117:Z119" si="53">IF(T117=0,0,X117/T117)</f>
        <v>7.296689167470255E-2</v>
      </c>
    </row>
    <row r="118" spans="1:26" s="24" customFormat="1" hidden="1" outlineLevel="2" x14ac:dyDescent="0.25">
      <c r="A118" s="25"/>
      <c r="B118" s="11" t="str">
        <f>CONCATENATE("          ", "6282", " - ", "JANITORIAL/EXTERMINATOR EXPENS")</f>
        <v xml:space="preserve">          6282 - JANITORIAL/EXTERMINATOR EXPENS</v>
      </c>
      <c r="C118" s="11"/>
      <c r="D118" s="6">
        <v>65.02</v>
      </c>
      <c r="E118" s="2"/>
      <c r="F118" s="7">
        <f t="shared" si="46"/>
        <v>4.7147537712229174E-4</v>
      </c>
      <c r="G118" s="2"/>
      <c r="H118" s="6">
        <v>41.5</v>
      </c>
      <c r="I118" s="2"/>
      <c r="J118" s="7">
        <f t="shared" si="47"/>
        <v>3.3080964105240836E-4</v>
      </c>
      <c r="K118" s="2"/>
      <c r="L118" s="6">
        <f t="shared" si="48"/>
        <v>23.519999999999996</v>
      </c>
      <c r="M118" s="2"/>
      <c r="N118" s="7">
        <f t="shared" si="49"/>
        <v>0.56674698795180711</v>
      </c>
      <c r="O118" s="11"/>
      <c r="P118" s="6">
        <v>329.02</v>
      </c>
      <c r="Q118" s="2"/>
      <c r="R118" s="7">
        <f t="shared" si="50"/>
        <v>5.0317729499857011E-4</v>
      </c>
      <c r="S118" s="2"/>
      <c r="T118" s="6">
        <v>242.29</v>
      </c>
      <c r="U118" s="2"/>
      <c r="V118" s="7">
        <f t="shared" si="51"/>
        <v>3.8343086193529645E-4</v>
      </c>
      <c r="W118" s="2"/>
      <c r="X118" s="6">
        <f t="shared" si="52"/>
        <v>86.72999999999999</v>
      </c>
      <c r="Y118" s="2"/>
      <c r="Z118" s="7">
        <f t="shared" si="53"/>
        <v>0.35795947005654377</v>
      </c>
    </row>
    <row r="119" spans="1:26" s="24" customFormat="1" hidden="1" outlineLevel="2" x14ac:dyDescent="0.25">
      <c r="A119" s="25"/>
      <c r="B119" s="11" t="str">
        <f>CONCATENATE("          ", "6285", " - ", "JANITORIAL SERVICES")</f>
        <v xml:space="preserve">          6285 - JANITORIAL SERVICES</v>
      </c>
      <c r="C119" s="11"/>
      <c r="D119" s="6">
        <v>273.14999999999998</v>
      </c>
      <c r="E119" s="2"/>
      <c r="F119" s="7">
        <f t="shared" si="46"/>
        <v>1.9806751655022142E-3</v>
      </c>
      <c r="G119" s="2"/>
      <c r="H119" s="6">
        <v>233.27</v>
      </c>
      <c r="I119" s="2"/>
      <c r="J119" s="7">
        <f t="shared" si="47"/>
        <v>1.8594690353806098E-3</v>
      </c>
      <c r="K119" s="2"/>
      <c r="L119" s="6">
        <f t="shared" si="48"/>
        <v>39.879999999999967</v>
      </c>
      <c r="M119" s="2"/>
      <c r="N119" s="7">
        <f t="shared" si="49"/>
        <v>0.17096068932996084</v>
      </c>
      <c r="O119" s="11"/>
      <c r="P119" s="6">
        <v>1239.8399999999999</v>
      </c>
      <c r="Q119" s="2"/>
      <c r="R119" s="7">
        <f t="shared" si="50"/>
        <v>1.89611372388009E-3</v>
      </c>
      <c r="S119" s="2"/>
      <c r="T119" s="6">
        <v>1219.8800000000001</v>
      </c>
      <c r="U119" s="2"/>
      <c r="V119" s="7">
        <f t="shared" si="51"/>
        <v>1.9304950260333874E-3</v>
      </c>
      <c r="W119" s="2"/>
      <c r="X119" s="6">
        <f t="shared" si="52"/>
        <v>19.959999999999809</v>
      </c>
      <c r="Y119" s="2"/>
      <c r="Z119" s="7">
        <f t="shared" si="53"/>
        <v>1.6362265140833367E-2</v>
      </c>
    </row>
    <row r="120" spans="1:26" s="26" customFormat="1" outlineLevel="1" collapsed="1" x14ac:dyDescent="0.25">
      <c r="A120" s="27"/>
      <c r="B120" s="13" t="str">
        <f>CONCATENATE("     ","Subscriptions &amp; Dues                              ")</f>
        <v xml:space="preserve">     Subscriptions &amp; Dues                              </v>
      </c>
      <c r="C120" s="13"/>
      <c r="D120" s="1">
        <f>SUM(OSRRefD22_13x_0)</f>
        <v>0</v>
      </c>
      <c r="E120" s="1"/>
      <c r="F120" s="5">
        <f t="shared" ref="F120:F125" si="54">IF(D$12=0,0,D120/D$12)</f>
        <v>0</v>
      </c>
      <c r="G120" s="1"/>
      <c r="H120" s="1">
        <f>SUM(OSRRefH22_13x_0)</f>
        <v>0</v>
      </c>
      <c r="I120" s="1"/>
      <c r="J120" s="5">
        <f t="shared" ref="J120:J125" si="55">IF(H$12=0,0,H120/H$12)</f>
        <v>0</v>
      </c>
      <c r="K120" s="1"/>
      <c r="L120" s="1">
        <f t="shared" ref="L120:L125" si="56">+D120-H120</f>
        <v>0</v>
      </c>
      <c r="M120" s="1"/>
      <c r="N120" s="5">
        <f t="shared" ref="N120:N125" si="57">IF(H120=0,0,L120/H120)</f>
        <v>0</v>
      </c>
      <c r="O120" s="13"/>
      <c r="P120" s="1">
        <f>SUM(OSRRefP22_13x_0)</f>
        <v>120</v>
      </c>
      <c r="Q120" s="1"/>
      <c r="R120" s="5">
        <f t="shared" ref="R120:R125" si="58">IF(P$12=0,0,P120/P$12)</f>
        <v>1.8351855631824332E-4</v>
      </c>
      <c r="S120" s="1"/>
      <c r="T120" s="1">
        <f>SUM(OSRRefT22_13x_0)</f>
        <v>137.26</v>
      </c>
      <c r="U120" s="1"/>
      <c r="V120" s="5">
        <f t="shared" ref="V120:V125" si="59">IF(T$12=0,0,T120/T$12)</f>
        <v>2.1721787985157779E-4</v>
      </c>
      <c r="W120" s="1"/>
      <c r="X120" s="1">
        <f t="shared" ref="X120:X125" si="60">+P120-T120</f>
        <v>-17.259999999999991</v>
      </c>
      <c r="Y120" s="1"/>
      <c r="Z120" s="5">
        <f t="shared" ref="Z120:Z125" si="61">IF(T120=0,0,X120/T120)</f>
        <v>-0.12574675797756077</v>
      </c>
    </row>
    <row r="121" spans="1:26" s="24" customFormat="1" hidden="1" outlineLevel="2" x14ac:dyDescent="0.25">
      <c r="A121" s="25"/>
      <c r="B121" s="11" t="str">
        <f>CONCATENATE("          ", "6258", " - ", "MEMBERSHIP DUES")</f>
        <v xml:space="preserve">          6258 - MEMBERSHIP DUES</v>
      </c>
      <c r="C121" s="11"/>
      <c r="D121" s="6"/>
      <c r="E121" s="2"/>
      <c r="F121" s="7">
        <f t="shared" si="54"/>
        <v>0</v>
      </c>
      <c r="G121" s="2"/>
      <c r="H121" s="6"/>
      <c r="I121" s="2"/>
      <c r="J121" s="7">
        <f t="shared" si="55"/>
        <v>0</v>
      </c>
      <c r="K121" s="2"/>
      <c r="L121" s="6">
        <f t="shared" si="56"/>
        <v>0</v>
      </c>
      <c r="M121" s="2"/>
      <c r="N121" s="7">
        <f t="shared" si="57"/>
        <v>0</v>
      </c>
      <c r="O121" s="11"/>
      <c r="P121" s="6">
        <v>120</v>
      </c>
      <c r="Q121" s="2"/>
      <c r="R121" s="7">
        <f t="shared" si="58"/>
        <v>1.8351855631824332E-4</v>
      </c>
      <c r="S121" s="2"/>
      <c r="T121" s="6">
        <v>137.26</v>
      </c>
      <c r="U121" s="2"/>
      <c r="V121" s="7">
        <f t="shared" si="59"/>
        <v>2.1721787985157779E-4</v>
      </c>
      <c r="W121" s="2"/>
      <c r="X121" s="6">
        <f t="shared" si="60"/>
        <v>-17.259999999999991</v>
      </c>
      <c r="Y121" s="2"/>
      <c r="Z121" s="7">
        <f t="shared" si="61"/>
        <v>-0.12574675797756077</v>
      </c>
    </row>
    <row r="122" spans="1:26" s="26" customFormat="1" outlineLevel="1" collapsed="1" x14ac:dyDescent="0.25">
      <c r="A122" s="27"/>
      <c r="B122" s="13" t="str">
        <f>CONCATENATE("     ","Supplies                                          ")</f>
        <v xml:space="preserve">     Supplies                                          </v>
      </c>
      <c r="C122" s="13"/>
      <c r="D122" s="1">
        <f>SUM(OSRRefD22_14x_0)</f>
        <v>57.89</v>
      </c>
      <c r="E122" s="1"/>
      <c r="F122" s="5">
        <f t="shared" si="54"/>
        <v>4.197740630822742E-4</v>
      </c>
      <c r="G122" s="1"/>
      <c r="H122" s="1">
        <f>SUM(OSRRefH22_14x_0)</f>
        <v>129.36000000000001</v>
      </c>
      <c r="I122" s="1"/>
      <c r="J122" s="5">
        <f t="shared" si="55"/>
        <v>1.0311695220852905E-3</v>
      </c>
      <c r="K122" s="1"/>
      <c r="L122" s="1">
        <f t="shared" si="56"/>
        <v>-71.470000000000013</v>
      </c>
      <c r="M122" s="1"/>
      <c r="N122" s="5">
        <f t="shared" si="57"/>
        <v>-0.55248917748917759</v>
      </c>
      <c r="O122" s="13"/>
      <c r="P122" s="1">
        <f>SUM(OSRRefP22_14x_0)</f>
        <v>1508.56</v>
      </c>
      <c r="Q122" s="1"/>
      <c r="R122" s="5">
        <f t="shared" si="58"/>
        <v>2.3070729443287431E-3</v>
      </c>
      <c r="S122" s="1"/>
      <c r="T122" s="1">
        <f>SUM(OSRRefT22_14x_0)</f>
        <v>1201.9899999999998</v>
      </c>
      <c r="U122" s="1"/>
      <c r="V122" s="5">
        <f t="shared" si="59"/>
        <v>1.9021835888299429E-3</v>
      </c>
      <c r="W122" s="1"/>
      <c r="X122" s="1">
        <f t="shared" si="60"/>
        <v>306.57000000000016</v>
      </c>
      <c r="Y122" s="1"/>
      <c r="Z122" s="5">
        <f t="shared" si="61"/>
        <v>0.25505203870248522</v>
      </c>
    </row>
    <row r="123" spans="1:26" s="24" customFormat="1" hidden="1" outlineLevel="2" x14ac:dyDescent="0.25">
      <c r="A123" s="25"/>
      <c r="B123" s="11" t="str">
        <f>CONCATENATE("          ", "6241", " - ", "OFFICE EXPENSE")</f>
        <v xml:space="preserve">          6241 - OFFICE EXPENSE</v>
      </c>
      <c r="C123" s="11"/>
      <c r="D123" s="6">
        <v>36.04</v>
      </c>
      <c r="E123" s="2"/>
      <c r="F123" s="7">
        <f t="shared" si="54"/>
        <v>2.6133455231447855E-4</v>
      </c>
      <c r="G123" s="2"/>
      <c r="H123" s="6">
        <v>129.36000000000001</v>
      </c>
      <c r="I123" s="2"/>
      <c r="J123" s="7">
        <f t="shared" si="55"/>
        <v>1.0311695220852905E-3</v>
      </c>
      <c r="K123" s="2"/>
      <c r="L123" s="6">
        <f t="shared" si="56"/>
        <v>-93.320000000000022</v>
      </c>
      <c r="M123" s="2"/>
      <c r="N123" s="7">
        <f t="shared" si="57"/>
        <v>-0.72139764996907862</v>
      </c>
      <c r="O123" s="11"/>
      <c r="P123" s="6">
        <v>1487.21</v>
      </c>
      <c r="Q123" s="2"/>
      <c r="R123" s="7">
        <f t="shared" si="58"/>
        <v>2.2744219345171221E-3</v>
      </c>
      <c r="S123" s="2"/>
      <c r="T123" s="6">
        <v>1199.3599999999999</v>
      </c>
      <c r="U123" s="2"/>
      <c r="V123" s="7">
        <f t="shared" si="59"/>
        <v>1.8980215385311697E-3</v>
      </c>
      <c r="W123" s="2"/>
      <c r="X123" s="6">
        <f t="shared" si="60"/>
        <v>287.85000000000014</v>
      </c>
      <c r="Y123" s="2"/>
      <c r="Z123" s="7">
        <f t="shared" si="61"/>
        <v>0.24000300160085392</v>
      </c>
    </row>
    <row r="124" spans="1:26" s="24" customFormat="1" hidden="1" outlineLevel="2" x14ac:dyDescent="0.25">
      <c r="A124" s="25"/>
      <c r="B124" s="11" t="str">
        <f>CONCATENATE("          ", "6245", " - ", "PRINTING")</f>
        <v xml:space="preserve">          6245 - PRINTING</v>
      </c>
      <c r="C124" s="11"/>
      <c r="D124" s="6">
        <v>22.05</v>
      </c>
      <c r="E124" s="2"/>
      <c r="F124" s="7">
        <f t="shared" si="54"/>
        <v>1.5988975800594485E-4</v>
      </c>
      <c r="G124" s="2"/>
      <c r="H124" s="6"/>
      <c r="I124" s="2"/>
      <c r="J124" s="7">
        <f t="shared" si="55"/>
        <v>0</v>
      </c>
      <c r="K124" s="2"/>
      <c r="L124" s="6">
        <f t="shared" si="56"/>
        <v>22.05</v>
      </c>
      <c r="M124" s="2"/>
      <c r="N124" s="7">
        <f t="shared" si="57"/>
        <v>0</v>
      </c>
      <c r="O124" s="11"/>
      <c r="P124" s="6">
        <v>22.05</v>
      </c>
      <c r="Q124" s="2"/>
      <c r="R124" s="7">
        <f t="shared" si="58"/>
        <v>3.3721534723477212E-5</v>
      </c>
      <c r="S124" s="2"/>
      <c r="T124" s="6">
        <v>3.53</v>
      </c>
      <c r="U124" s="2"/>
      <c r="V124" s="7">
        <f t="shared" si="59"/>
        <v>5.5863260664146121E-6</v>
      </c>
      <c r="W124" s="2"/>
      <c r="X124" s="6">
        <f t="shared" si="60"/>
        <v>18.52</v>
      </c>
      <c r="Y124" s="2"/>
      <c r="Z124" s="7">
        <f t="shared" si="61"/>
        <v>5.2464589235127477</v>
      </c>
    </row>
    <row r="125" spans="1:26" s="24" customFormat="1" hidden="1" outlineLevel="2" x14ac:dyDescent="0.25">
      <c r="A125" s="25"/>
      <c r="B125" s="11" t="str">
        <f>CONCATENATE("          ", "6247", " - ", "STORE SUPPLIES")</f>
        <v xml:space="preserve">          6247 - STORE SUPPLIES</v>
      </c>
      <c r="C125" s="11"/>
      <c r="D125" s="6">
        <v>-0.2</v>
      </c>
      <c r="E125" s="2"/>
      <c r="F125" s="7">
        <f t="shared" si="54"/>
        <v>-1.4502472381491595E-6</v>
      </c>
      <c r="G125" s="2"/>
      <c r="H125" s="6"/>
      <c r="I125" s="2"/>
      <c r="J125" s="7">
        <f t="shared" si="55"/>
        <v>0</v>
      </c>
      <c r="K125" s="2"/>
      <c r="L125" s="6">
        <f t="shared" si="56"/>
        <v>-0.2</v>
      </c>
      <c r="M125" s="2"/>
      <c r="N125" s="7">
        <f t="shared" si="57"/>
        <v>0</v>
      </c>
      <c r="O125" s="11"/>
      <c r="P125" s="6">
        <v>-0.7</v>
      </c>
      <c r="Q125" s="2"/>
      <c r="R125" s="7">
        <f t="shared" si="58"/>
        <v>-1.0705249118564193E-6</v>
      </c>
      <c r="S125" s="2"/>
      <c r="T125" s="6">
        <v>-0.9</v>
      </c>
      <c r="U125" s="2"/>
      <c r="V125" s="7">
        <f t="shared" si="59"/>
        <v>-1.4242757676411194E-6</v>
      </c>
      <c r="W125" s="2"/>
      <c r="X125" s="6">
        <f t="shared" si="60"/>
        <v>0.20000000000000007</v>
      </c>
      <c r="Y125" s="2"/>
      <c r="Z125" s="7">
        <f t="shared" si="61"/>
        <v>-0.22222222222222229</v>
      </c>
    </row>
    <row r="126" spans="1:26" s="26" customFormat="1" outlineLevel="1" collapsed="1" x14ac:dyDescent="0.25">
      <c r="A126" s="27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SUM(OSRRefD22_15x_0)</f>
        <v>103</v>
      </c>
      <c r="E126" s="1"/>
      <c r="F126" s="5">
        <f t="shared" ref="F126:F131" si="62">IF(D$12=0,0,D126/D$12)</f>
        <v>7.4687732764681708E-4</v>
      </c>
      <c r="G126" s="1"/>
      <c r="H126" s="1">
        <f>SUM(OSRRefH22_15x_0)</f>
        <v>61</v>
      </c>
      <c r="I126" s="1"/>
      <c r="J126" s="5">
        <f t="shared" ref="J126:J131" si="63">IF(H$12=0,0,H126/H$12)</f>
        <v>4.8625031576378104E-4</v>
      </c>
      <c r="K126" s="1"/>
      <c r="L126" s="1">
        <f t="shared" ref="L126:L131" si="64">+D126-H126</f>
        <v>42</v>
      </c>
      <c r="M126" s="1"/>
      <c r="N126" s="5">
        <f t="shared" ref="N126:N131" si="65">IF(H126=0,0,L126/H126)</f>
        <v>0.68852459016393441</v>
      </c>
      <c r="O126" s="13"/>
      <c r="P126" s="1">
        <f>SUM(OSRRefP22_15x_0)</f>
        <v>679.57</v>
      </c>
      <c r="Q126" s="1"/>
      <c r="R126" s="5">
        <f t="shared" ref="R126:R131" si="66">IF(P$12=0,0,P126/P$12)</f>
        <v>1.0392808776432385E-3</v>
      </c>
      <c r="S126" s="1"/>
      <c r="T126" s="1">
        <f>SUM(OSRRefT22_15x_0)</f>
        <v>852.95</v>
      </c>
      <c r="U126" s="1"/>
      <c r="V126" s="5">
        <f t="shared" ref="V126:V131" si="67">IF(T$12=0,0,T126/T$12)</f>
        <v>1.3498177955661031E-3</v>
      </c>
      <c r="W126" s="1"/>
      <c r="X126" s="1">
        <f t="shared" ref="X126:X131" si="68">+P126-T126</f>
        <v>-173.38</v>
      </c>
      <c r="Y126" s="1"/>
      <c r="Z126" s="5">
        <f t="shared" ref="Z126:Z131" si="69">IF(T126=0,0,X126/T126)</f>
        <v>-0.2032710006448209</v>
      </c>
    </row>
    <row r="127" spans="1:26" s="24" customFormat="1" hidden="1" outlineLevel="2" x14ac:dyDescent="0.25">
      <c r="A127" s="25"/>
      <c r="B127" s="11" t="str">
        <f>CONCATENATE("          ", "6309", " - ", "TELEPHONE")</f>
        <v xml:space="preserve">          6309 - TELEPHONE</v>
      </c>
      <c r="C127" s="11"/>
      <c r="D127" s="6">
        <v>103</v>
      </c>
      <c r="E127" s="2"/>
      <c r="F127" s="7">
        <f t="shared" si="62"/>
        <v>7.4687732764681708E-4</v>
      </c>
      <c r="G127" s="2"/>
      <c r="H127" s="6">
        <v>61</v>
      </c>
      <c r="I127" s="2"/>
      <c r="J127" s="7">
        <f t="shared" si="63"/>
        <v>4.8625031576378104E-4</v>
      </c>
      <c r="K127" s="2"/>
      <c r="L127" s="6">
        <f t="shared" si="64"/>
        <v>42</v>
      </c>
      <c r="M127" s="2"/>
      <c r="N127" s="7">
        <f t="shared" si="65"/>
        <v>0.68852459016393441</v>
      </c>
      <c r="O127" s="11"/>
      <c r="P127" s="6">
        <v>679.57</v>
      </c>
      <c r="Q127" s="2"/>
      <c r="R127" s="7">
        <f t="shared" si="66"/>
        <v>1.0392808776432385E-3</v>
      </c>
      <c r="S127" s="2"/>
      <c r="T127" s="6">
        <v>852.95</v>
      </c>
      <c r="U127" s="2"/>
      <c r="V127" s="7">
        <f t="shared" si="67"/>
        <v>1.3498177955661031E-3</v>
      </c>
      <c r="W127" s="2"/>
      <c r="X127" s="6">
        <f t="shared" si="68"/>
        <v>-173.38</v>
      </c>
      <c r="Y127" s="2"/>
      <c r="Z127" s="7">
        <f t="shared" si="69"/>
        <v>-0.2032710006448209</v>
      </c>
    </row>
    <row r="128" spans="1:26" s="26" customFormat="1" outlineLevel="1" collapsed="1" x14ac:dyDescent="0.25">
      <c r="A128" s="27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SUM(OSRRefD22_16x_0)</f>
        <v>0</v>
      </c>
      <c r="E128" s="1"/>
      <c r="F128" s="5">
        <f t="shared" si="62"/>
        <v>0</v>
      </c>
      <c r="G128" s="1"/>
      <c r="H128" s="1">
        <f>SUM(OSRRefH22_16x_0)</f>
        <v>0</v>
      </c>
      <c r="I128" s="1"/>
      <c r="J128" s="5">
        <f t="shared" si="63"/>
        <v>0</v>
      </c>
      <c r="K128" s="1"/>
      <c r="L128" s="1">
        <f t="shared" si="64"/>
        <v>0</v>
      </c>
      <c r="M128" s="1"/>
      <c r="N128" s="5">
        <f t="shared" si="65"/>
        <v>0</v>
      </c>
      <c r="O128" s="13"/>
      <c r="P128" s="1">
        <f>SUM(OSRRefP22_16x_0)</f>
        <v>80</v>
      </c>
      <c r="Q128" s="1"/>
      <c r="R128" s="5">
        <f t="shared" si="66"/>
        <v>1.2234570421216221E-4</v>
      </c>
      <c r="S128" s="1"/>
      <c r="T128" s="1">
        <f>SUM(OSRRefT22_16x_0)</f>
        <v>0</v>
      </c>
      <c r="U128" s="1"/>
      <c r="V128" s="5">
        <f t="shared" si="67"/>
        <v>0</v>
      </c>
      <c r="W128" s="1"/>
      <c r="X128" s="1">
        <f t="shared" si="68"/>
        <v>80</v>
      </c>
      <c r="Y128" s="1"/>
      <c r="Z128" s="5">
        <f t="shared" si="69"/>
        <v>0</v>
      </c>
    </row>
    <row r="129" spans="1:26" s="24" customFormat="1" hidden="1" outlineLevel="2" x14ac:dyDescent="0.25">
      <c r="A129" s="25"/>
      <c r="B129" s="11" t="str">
        <f>CONCATENATE("          ", "6376", " - ", "TRAINING")</f>
        <v xml:space="preserve">          6376 - TRAINING</v>
      </c>
      <c r="C129" s="11"/>
      <c r="D129" s="6"/>
      <c r="E129" s="2"/>
      <c r="F129" s="7">
        <f t="shared" si="62"/>
        <v>0</v>
      </c>
      <c r="G129" s="2"/>
      <c r="H129" s="6"/>
      <c r="I129" s="2"/>
      <c r="J129" s="7">
        <f t="shared" si="63"/>
        <v>0</v>
      </c>
      <c r="K129" s="2"/>
      <c r="L129" s="6">
        <f t="shared" si="64"/>
        <v>0</v>
      </c>
      <c r="M129" s="2"/>
      <c r="N129" s="7">
        <f t="shared" si="65"/>
        <v>0</v>
      </c>
      <c r="O129" s="11"/>
      <c r="P129" s="6">
        <v>80</v>
      </c>
      <c r="Q129" s="2"/>
      <c r="R129" s="7">
        <f t="shared" si="66"/>
        <v>1.2234570421216221E-4</v>
      </c>
      <c r="S129" s="2"/>
      <c r="T129" s="6"/>
      <c r="U129" s="2"/>
      <c r="V129" s="7">
        <f t="shared" si="67"/>
        <v>0</v>
      </c>
      <c r="W129" s="2"/>
      <c r="X129" s="6">
        <f t="shared" si="68"/>
        <v>80</v>
      </c>
      <c r="Y129" s="2"/>
      <c r="Z129" s="7">
        <f t="shared" si="69"/>
        <v>0</v>
      </c>
    </row>
    <row r="130" spans="1:26" s="26" customFormat="1" outlineLevel="1" collapsed="1" x14ac:dyDescent="0.25">
      <c r="A130" s="27"/>
      <c r="B130" s="13" t="str">
        <f>CONCATENATE("     ","Travel                                            ")</f>
        <v xml:space="preserve">     Travel                                            </v>
      </c>
      <c r="C130" s="13"/>
      <c r="D130" s="1">
        <f>SUM(OSRRefD22_17x_0)</f>
        <v>0</v>
      </c>
      <c r="E130" s="1"/>
      <c r="F130" s="5">
        <f t="shared" si="62"/>
        <v>0</v>
      </c>
      <c r="G130" s="1"/>
      <c r="H130" s="1">
        <f>SUM(OSRRefH22_17x_0)</f>
        <v>0</v>
      </c>
      <c r="I130" s="1"/>
      <c r="J130" s="5">
        <f t="shared" si="63"/>
        <v>0</v>
      </c>
      <c r="K130" s="1"/>
      <c r="L130" s="1">
        <f t="shared" si="64"/>
        <v>0</v>
      </c>
      <c r="M130" s="1"/>
      <c r="N130" s="5">
        <f t="shared" si="65"/>
        <v>0</v>
      </c>
      <c r="O130" s="13"/>
      <c r="P130" s="1">
        <f>SUM(OSRRefP22_17x_0)</f>
        <v>-323.01</v>
      </c>
      <c r="Q130" s="1"/>
      <c r="R130" s="5">
        <f t="shared" si="66"/>
        <v>-4.939860739696315E-4</v>
      </c>
      <c r="S130" s="1"/>
      <c r="T130" s="1">
        <f>SUM(OSRRefT22_17x_0)</f>
        <v>0</v>
      </c>
      <c r="U130" s="1"/>
      <c r="V130" s="5">
        <f t="shared" si="67"/>
        <v>0</v>
      </c>
      <c r="W130" s="1"/>
      <c r="X130" s="1">
        <f t="shared" si="68"/>
        <v>-323.01</v>
      </c>
      <c r="Y130" s="1"/>
      <c r="Z130" s="5">
        <f t="shared" si="69"/>
        <v>0</v>
      </c>
    </row>
    <row r="131" spans="1:26" s="24" customFormat="1" hidden="1" outlineLevel="2" x14ac:dyDescent="0.25">
      <c r="A131" s="25"/>
      <c r="B131" s="11" t="str">
        <f>CONCATENATE("          ", "6292", " - ", "TRAVEL/CONFERENCE")</f>
        <v xml:space="preserve">          6292 - TRAVEL/CONFERENCE</v>
      </c>
      <c r="C131" s="11"/>
      <c r="D131" s="6"/>
      <c r="E131" s="2"/>
      <c r="F131" s="7">
        <f t="shared" si="62"/>
        <v>0</v>
      </c>
      <c r="G131" s="2"/>
      <c r="H131" s="6"/>
      <c r="I131" s="2"/>
      <c r="J131" s="7">
        <f t="shared" si="63"/>
        <v>0</v>
      </c>
      <c r="K131" s="2"/>
      <c r="L131" s="6">
        <f t="shared" si="64"/>
        <v>0</v>
      </c>
      <c r="M131" s="2"/>
      <c r="N131" s="7">
        <f t="shared" si="65"/>
        <v>0</v>
      </c>
      <c r="O131" s="11"/>
      <c r="P131" s="6">
        <v>-323.01</v>
      </c>
      <c r="Q131" s="2"/>
      <c r="R131" s="7">
        <f t="shared" si="66"/>
        <v>-4.939860739696315E-4</v>
      </c>
      <c r="S131" s="2"/>
      <c r="T131" s="6"/>
      <c r="U131" s="2"/>
      <c r="V131" s="7">
        <f t="shared" si="67"/>
        <v>0</v>
      </c>
      <c r="W131" s="2"/>
      <c r="X131" s="6">
        <f t="shared" si="68"/>
        <v>-323.01</v>
      </c>
      <c r="Y131" s="2"/>
      <c r="Z131" s="7">
        <f t="shared" si="69"/>
        <v>0</v>
      </c>
    </row>
    <row r="132" spans="1:26" s="59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9" t="s">
        <v>0</v>
      </c>
      <c r="C133" s="10"/>
      <c r="D133" s="4">
        <f>SUM(OSRRefD25x_0)</f>
        <v>0</v>
      </c>
      <c r="E133" s="4"/>
      <c r="F133" s="12">
        <f t="shared" ref="F133:F134" si="70">IF(D$12=0,0,D133/D$12)</f>
        <v>0</v>
      </c>
      <c r="G133" s="4"/>
      <c r="H133" s="4">
        <f>SUM(OSRRefH25x_0)</f>
        <v>0</v>
      </c>
      <c r="I133" s="4"/>
      <c r="J133" s="12">
        <f t="shared" ref="J133:J134" si="71">IF(H$12=0,0,H133/H$12)</f>
        <v>0</v>
      </c>
      <c r="K133" s="4"/>
      <c r="L133" s="4">
        <f t="shared" ref="L133:L134" si="72">+D133-H133</f>
        <v>0</v>
      </c>
      <c r="M133" s="4"/>
      <c r="N133" s="12">
        <f t="shared" ref="N133:N134" si="73">IF(H133=0,0,L133/H133)</f>
        <v>0</v>
      </c>
      <c r="O133" s="10"/>
      <c r="P133" s="4">
        <f>SUM(OSRRefP25x_0)</f>
        <v>68.760000000000005</v>
      </c>
      <c r="Q133" s="4"/>
      <c r="R133" s="12">
        <f t="shared" ref="R133:R134" si="74">IF(P$12=0,0,P133/P$12)</f>
        <v>1.0515613277035343E-4</v>
      </c>
      <c r="S133" s="4"/>
      <c r="T133" s="4">
        <f>SUM(OSRRefT25x_0)</f>
        <v>0</v>
      </c>
      <c r="U133" s="4"/>
      <c r="V133" s="12">
        <f t="shared" ref="V133:V134" si="75">IF(T$12=0,0,T133/T$12)</f>
        <v>0</v>
      </c>
      <c r="W133" s="4"/>
      <c r="X133" s="4">
        <f t="shared" ref="X133:X134" si="76">+P133-T133</f>
        <v>68.760000000000005</v>
      </c>
      <c r="Y133" s="4"/>
      <c r="Z133" s="12">
        <f t="shared" ref="Z133:Z134" si="77">IF(T133=0,0,X133/T133)</f>
        <v>0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0</f>
        <v>0</v>
      </c>
      <c r="E134" s="2"/>
      <c r="F134" s="19">
        <f t="shared" si="70"/>
        <v>0</v>
      </c>
      <c r="G134" s="2"/>
      <c r="H134" s="2">
        <f>0</f>
        <v>0</v>
      </c>
      <c r="I134" s="2"/>
      <c r="J134" s="19">
        <f t="shared" si="71"/>
        <v>0</v>
      </c>
      <c r="K134" s="2"/>
      <c r="L134" s="2">
        <f t="shared" si="72"/>
        <v>0</v>
      </c>
      <c r="M134" s="2"/>
      <c r="N134" s="19">
        <f t="shared" si="73"/>
        <v>0</v>
      </c>
      <c r="O134" s="11"/>
      <c r="P134" s="2">
        <f>--68.76</f>
        <v>68.760000000000005</v>
      </c>
      <c r="Q134" s="2"/>
      <c r="R134" s="19">
        <f t="shared" si="74"/>
        <v>1.0515613277035343E-4</v>
      </c>
      <c r="S134" s="2"/>
      <c r="T134" s="2">
        <f>0</f>
        <v>0</v>
      </c>
      <c r="U134" s="2"/>
      <c r="V134" s="19">
        <f t="shared" si="75"/>
        <v>0</v>
      </c>
      <c r="W134" s="2"/>
      <c r="X134" s="2">
        <f t="shared" si="76"/>
        <v>68.760000000000005</v>
      </c>
      <c r="Y134" s="2"/>
      <c r="Z134" s="19">
        <f t="shared" si="77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8" t="s">
        <v>3</v>
      </c>
      <c r="C136" s="28"/>
      <c r="D136" s="21">
        <f>+D77-D79+D133</f>
        <v>41043.889999999992</v>
      </c>
      <c r="E136" s="14"/>
      <c r="F136" s="22">
        <f>IF(D$12=0,0,D136/D$12)</f>
        <v>0.29761894057698945</v>
      </c>
      <c r="G136" s="14"/>
      <c r="H136" s="21">
        <f>+H77-H79+H133</f>
        <v>33164.809999999969</v>
      </c>
      <c r="I136" s="14"/>
      <c r="J136" s="22">
        <f>IF(H$12=0,0,H136/H$12)</f>
        <v>0.26436720220894733</v>
      </c>
      <c r="K136" s="16"/>
      <c r="L136" s="21">
        <f>+D136-H136</f>
        <v>7879.0800000000236</v>
      </c>
      <c r="M136" s="16"/>
      <c r="N136" s="22">
        <f>IF(H136=0,0,L136/H136)</f>
        <v>0.23757350034569868</v>
      </c>
      <c r="O136" s="29"/>
      <c r="P136" s="21">
        <f>+P77-P79+P133</f>
        <v>170248.09000000023</v>
      </c>
      <c r="Q136" s="14"/>
      <c r="R136" s="22">
        <f>IF(P$12=0,0,P136/P$12)</f>
        <v>0.26036403077282</v>
      </c>
      <c r="S136" s="14"/>
      <c r="T136" s="21">
        <f>+T77-T79+T133</f>
        <v>157165.66</v>
      </c>
      <c r="U136" s="14"/>
      <c r="V136" s="22">
        <f>IF(T$12=0,0,T136/T$12)</f>
        <v>0.24871915671480352</v>
      </c>
      <c r="W136" s="16"/>
      <c r="X136" s="21">
        <f>+P136-T136</f>
        <v>13082.430000000226</v>
      </c>
      <c r="Y136" s="16"/>
      <c r="Z136" s="22">
        <f>IF(T136=0,0,X136/T136)</f>
        <v>8.3239748428506746E-2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1"/>
      <c r="B138" s="10" t="s">
        <v>13</v>
      </c>
      <c r="C138" s="10"/>
      <c r="D138" s="4">
        <v>12461.41</v>
      </c>
      <c r="E138" s="4"/>
      <c r="F138" s="12">
        <f>IF(D$12=0,0,D138/D$12)</f>
        <v>9.0360627179721584E-2</v>
      </c>
      <c r="G138" s="4"/>
      <c r="H138" s="4">
        <v>9642.48</v>
      </c>
      <c r="I138" s="4"/>
      <c r="J138" s="12">
        <f>IF(H$12=0,0,H138/H$12)</f>
        <v>7.6863261389277751E-2</v>
      </c>
      <c r="K138" s="4"/>
      <c r="L138" s="4">
        <f>+D138-H138</f>
        <v>2818.9300000000003</v>
      </c>
      <c r="M138" s="4"/>
      <c r="N138" s="12">
        <f>IF(H138=0,0,L138/H138)</f>
        <v>0.29234491541595115</v>
      </c>
      <c r="O138" s="10"/>
      <c r="P138" s="4">
        <v>68190.930000000008</v>
      </c>
      <c r="Q138" s="4"/>
      <c r="R138" s="12">
        <f>IF(P$12=0,0,P138/P$12)</f>
        <v>0.10428584189665326</v>
      </c>
      <c r="S138" s="4"/>
      <c r="T138" s="4">
        <v>64296.140000000007</v>
      </c>
      <c r="U138" s="4"/>
      <c r="V138" s="12">
        <f>IF(T$12=0,0,T138/T$12)</f>
        <v>0.10175048239428987</v>
      </c>
      <c r="W138" s="4"/>
      <c r="X138" s="4">
        <f>+P138-T138</f>
        <v>3894.7900000000009</v>
      </c>
      <c r="Y138" s="4"/>
      <c r="Z138" s="12">
        <f>IF(T138=0,0,X138/T138)</f>
        <v>6.0575798173887273E-2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8" t="s">
        <v>4</v>
      </c>
      <c r="C140" s="28"/>
      <c r="D140" s="34">
        <f>+D136-D138</f>
        <v>28582.479999999992</v>
      </c>
      <c r="E140" s="14"/>
      <c r="F140" s="31">
        <f>IF(D$12=0,0,D140/D$12)</f>
        <v>0.20725831339726788</v>
      </c>
      <c r="G140" s="14"/>
      <c r="H140" s="34">
        <f>+H136-H138</f>
        <v>23522.329999999969</v>
      </c>
      <c r="I140" s="14"/>
      <c r="J140" s="31">
        <f>IF(H$12=0,0,H140/H$12)</f>
        <v>0.18750394081966956</v>
      </c>
      <c r="K140" s="16"/>
      <c r="L140" s="34">
        <f>D140-H140</f>
        <v>5060.1500000000233</v>
      </c>
      <c r="M140" s="16"/>
      <c r="N140" s="31">
        <f>IF(H140=0,0,L140/H140)</f>
        <v>0.21512112107941814</v>
      </c>
      <c r="O140" s="29"/>
      <c r="P140" s="34">
        <f>+P136-P138</f>
        <v>102057.16000000022</v>
      </c>
      <c r="Q140" s="14"/>
      <c r="R140" s="31">
        <f>IF(P$12=0,0,P140/P$12)</f>
        <v>0.15607818887616676</v>
      </c>
      <c r="S140" s="14"/>
      <c r="T140" s="34">
        <f>+T136-T138</f>
        <v>92869.51999999999</v>
      </c>
      <c r="U140" s="14"/>
      <c r="V140" s="31">
        <f>IF(T$12=0,0,T140/T$12)</f>
        <v>0.14696867432051364</v>
      </c>
      <c r="W140" s="16"/>
      <c r="X140" s="34">
        <f>P140-T140</f>
        <v>9187.6400000002322</v>
      </c>
      <c r="Y140" s="16"/>
      <c r="Z140" s="31">
        <f>IF(T140=0,0,X140/T140)</f>
        <v>9.8930628692817976E-2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8" t="s">
        <v>5</v>
      </c>
      <c r="C143" s="28"/>
      <c r="D143" s="30">
        <f>SUM(D140:D142)</f>
        <v>28582.479999999992</v>
      </c>
      <c r="E143" s="14"/>
      <c r="F143" s="33">
        <f>IF(D$12=0,0,D143/D$12)</f>
        <v>0.20725831339726788</v>
      </c>
      <c r="G143" s="14"/>
      <c r="H143" s="30">
        <f>SUM(H140:H142)</f>
        <v>23522.329999999969</v>
      </c>
      <c r="I143" s="14"/>
      <c r="J143" s="33">
        <f>IF(H$12=0,0,H143/H$12)</f>
        <v>0.18750394081966956</v>
      </c>
      <c r="K143" s="16"/>
      <c r="L143" s="30">
        <f>+D143-H143</f>
        <v>5060.1500000000233</v>
      </c>
      <c r="M143" s="16"/>
      <c r="N143" s="33">
        <f>IF(H143=0,0,L143/H143)</f>
        <v>0.21512112107941814</v>
      </c>
      <c r="O143" s="29"/>
      <c r="P143" s="30">
        <f>SUM(P140:P142)</f>
        <v>102057.16000000022</v>
      </c>
      <c r="Q143" s="14"/>
      <c r="R143" s="33">
        <f>IF(P$12=0,0,P143/P$12)</f>
        <v>0.15607818887616676</v>
      </c>
      <c r="S143" s="14"/>
      <c r="T143" s="30">
        <f>SUM(T140:T142)</f>
        <v>92869.51999999999</v>
      </c>
      <c r="U143" s="14"/>
      <c r="V143" s="33">
        <f>IF(T$12=0,0,T143/T$12)</f>
        <v>0.14696867432051364</v>
      </c>
      <c r="W143" s="16"/>
      <c r="X143" s="30">
        <f>+P143-T143</f>
        <v>9187.6400000002322</v>
      </c>
      <c r="Y143" s="16"/>
      <c r="Z143" s="33">
        <f>IF(T143=0,0,X143/T143)</f>
        <v>9.8930628692817976E-2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61">
        <v>43879.553326157409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55" t="s">
        <v>313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8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","307", " - ", "Art Store")</f>
        <v>Department 307 - Art 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52148.82</v>
      </c>
      <c r="E12" s="4"/>
      <c r="F12" s="12"/>
      <c r="G12" s="4"/>
      <c r="H12" s="4">
        <f>SUM(OSRRefH13x_0)</f>
        <v>47646.589999999989</v>
      </c>
      <c r="I12" s="4"/>
      <c r="J12" s="12"/>
      <c r="K12" s="4"/>
      <c r="L12" s="4">
        <f t="shared" ref="L12:L46" si="0">+D12-H12</f>
        <v>4502.2300000000105</v>
      </c>
      <c r="M12" s="4"/>
      <c r="N12" s="12">
        <f t="shared" ref="N12:N46" si="1">IF(H12=0,0,L12/H12)</f>
        <v>9.4492176669936118E-2</v>
      </c>
      <c r="O12" s="10"/>
      <c r="P12" s="4">
        <f>SUM(OSRRefP13x_0)</f>
        <v>320992.9200000001</v>
      </c>
      <c r="Q12" s="4"/>
      <c r="R12" s="12"/>
      <c r="S12" s="4"/>
      <c r="T12" s="4">
        <f>SUM(OSRRefT13x_0)</f>
        <v>314075.55</v>
      </c>
      <c r="U12" s="4"/>
      <c r="V12" s="12"/>
      <c r="W12" s="4"/>
      <c r="X12" s="4">
        <f t="shared" ref="X12:X46" si="2">+P12-T12</f>
        <v>6917.3700000001118</v>
      </c>
      <c r="Y12" s="4"/>
      <c r="Z12" s="12">
        <f t="shared" ref="Z12:Z46" si="3">IF(T12=0,0,X12/T12)</f>
        <v>2.2024541547408297E-2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--43.92</f>
        <v>43.92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43.92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>--6.49</f>
        <v>6.49</v>
      </c>
      <c r="I15" s="2"/>
      <c r="J15" s="19"/>
      <c r="K15" s="2"/>
      <c r="L15" s="2">
        <f t="shared" si="0"/>
        <v>-6.49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f>--46.39</f>
        <v>46.39</v>
      </c>
      <c r="U15" s="2"/>
      <c r="V15" s="19"/>
      <c r="W15" s="2"/>
      <c r="X15" s="2">
        <f t="shared" si="2"/>
        <v>-46.39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--75.7</f>
        <v>75.7</v>
      </c>
      <c r="E16" s="2"/>
      <c r="F16" s="19"/>
      <c r="G16" s="2"/>
      <c r="H16" s="2">
        <f>--50.26</f>
        <v>50.26</v>
      </c>
      <c r="I16" s="2"/>
      <c r="J16" s="19"/>
      <c r="K16" s="2"/>
      <c r="L16" s="2">
        <f t="shared" si="0"/>
        <v>25.440000000000005</v>
      </c>
      <c r="M16" s="2"/>
      <c r="N16" s="19">
        <f t="shared" si="1"/>
        <v>0.5061679267807403</v>
      </c>
      <c r="O16" s="11"/>
      <c r="P16" s="2">
        <f>--1680.71</f>
        <v>1680.71</v>
      </c>
      <c r="Q16" s="2"/>
      <c r="R16" s="19"/>
      <c r="S16" s="2"/>
      <c r="T16" s="2">
        <f>--1417.07</f>
        <v>1417.07</v>
      </c>
      <c r="U16" s="2"/>
      <c r="V16" s="19"/>
      <c r="W16" s="2"/>
      <c r="X16" s="2">
        <f t="shared" si="2"/>
        <v>263.6400000000001</v>
      </c>
      <c r="Y16" s="2"/>
      <c r="Z16" s="19">
        <f t="shared" si="3"/>
        <v>0.1860458551800547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--1068.59</f>
        <v>1068.5899999999999</v>
      </c>
      <c r="E17" s="2"/>
      <c r="F17" s="19"/>
      <c r="G17" s="2"/>
      <c r="H17" s="2">
        <f>--622.35</f>
        <v>622.35</v>
      </c>
      <c r="I17" s="2"/>
      <c r="J17" s="19"/>
      <c r="K17" s="2"/>
      <c r="L17" s="2">
        <f t="shared" si="0"/>
        <v>446.2399999999999</v>
      </c>
      <c r="M17" s="2"/>
      <c r="N17" s="19">
        <f t="shared" si="1"/>
        <v>0.71702418253394373</v>
      </c>
      <c r="O17" s="11"/>
      <c r="P17" s="2">
        <f>--5026.13</f>
        <v>5026.13</v>
      </c>
      <c r="Q17" s="2"/>
      <c r="R17" s="19"/>
      <c r="S17" s="2"/>
      <c r="T17" s="2">
        <f>--4080.84</f>
        <v>4080.84</v>
      </c>
      <c r="U17" s="2"/>
      <c r="V17" s="19"/>
      <c r="W17" s="2"/>
      <c r="X17" s="2">
        <f t="shared" si="2"/>
        <v>945.29</v>
      </c>
      <c r="Y17" s="2"/>
      <c r="Z17" s="19">
        <f t="shared" si="3"/>
        <v>0.23164103468893657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--2351.94</f>
        <v>2351.94</v>
      </c>
      <c r="E18" s="2"/>
      <c r="F18" s="19"/>
      <c r="G18" s="2"/>
      <c r="H18" s="2">
        <f>--1332.45</f>
        <v>1332.45</v>
      </c>
      <c r="I18" s="2"/>
      <c r="J18" s="19"/>
      <c r="K18" s="2"/>
      <c r="L18" s="2">
        <f t="shared" si="0"/>
        <v>1019.49</v>
      </c>
      <c r="M18" s="2"/>
      <c r="N18" s="19">
        <f t="shared" si="1"/>
        <v>0.76512439491162898</v>
      </c>
      <c r="O18" s="11"/>
      <c r="P18" s="2">
        <f>--8167.86</f>
        <v>8167.86</v>
      </c>
      <c r="Q18" s="2"/>
      <c r="R18" s="19"/>
      <c r="S18" s="2"/>
      <c r="T18" s="2">
        <f>--4721.77</f>
        <v>4721.7700000000004</v>
      </c>
      <c r="U18" s="2"/>
      <c r="V18" s="19"/>
      <c r="W18" s="2"/>
      <c r="X18" s="2">
        <f t="shared" si="2"/>
        <v>3446.0899999999992</v>
      </c>
      <c r="Y18" s="2"/>
      <c r="Z18" s="19">
        <f t="shared" si="3"/>
        <v>0.72983012726159868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--41021.26</f>
        <v>41021.26</v>
      </c>
      <c r="E19" s="2"/>
      <c r="F19" s="19"/>
      <c r="G19" s="2"/>
      <c r="H19" s="2">
        <f>--38702.99</f>
        <v>38702.99</v>
      </c>
      <c r="I19" s="2"/>
      <c r="J19" s="19"/>
      <c r="K19" s="2"/>
      <c r="L19" s="2">
        <f t="shared" si="0"/>
        <v>2318.2700000000041</v>
      </c>
      <c r="M19" s="2"/>
      <c r="N19" s="19">
        <f t="shared" si="1"/>
        <v>5.9898989716298513E-2</v>
      </c>
      <c r="O19" s="11"/>
      <c r="P19" s="2">
        <f>--222972.32</f>
        <v>222972.32</v>
      </c>
      <c r="Q19" s="2"/>
      <c r="R19" s="19"/>
      <c r="S19" s="2"/>
      <c r="T19" s="2">
        <f>--226148.87</f>
        <v>226148.87</v>
      </c>
      <c r="U19" s="2"/>
      <c r="V19" s="19"/>
      <c r="W19" s="2"/>
      <c r="X19" s="2">
        <f t="shared" si="2"/>
        <v>-3176.5499999999884</v>
      </c>
      <c r="Y19" s="2"/>
      <c r="Z19" s="19">
        <f t="shared" si="3"/>
        <v>-1.4046278453657489E-2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--43.03</f>
        <v>43.03</v>
      </c>
      <c r="E20" s="2"/>
      <c r="F20" s="19"/>
      <c r="G20" s="2"/>
      <c r="H20" s="2">
        <f>--38.84</f>
        <v>38.840000000000003</v>
      </c>
      <c r="I20" s="2"/>
      <c r="J20" s="19"/>
      <c r="K20" s="2"/>
      <c r="L20" s="2">
        <f t="shared" si="0"/>
        <v>4.1899999999999977</v>
      </c>
      <c r="M20" s="2"/>
      <c r="N20" s="19">
        <f t="shared" si="1"/>
        <v>0.10787847579814618</v>
      </c>
      <c r="O20" s="11"/>
      <c r="P20" s="2">
        <f>--349.97</f>
        <v>349.97</v>
      </c>
      <c r="Q20" s="2"/>
      <c r="R20" s="19"/>
      <c r="S20" s="2"/>
      <c r="T20" s="2">
        <f>--362.36</f>
        <v>362.36</v>
      </c>
      <c r="U20" s="2"/>
      <c r="V20" s="19"/>
      <c r="W20" s="2"/>
      <c r="X20" s="2">
        <f t="shared" si="2"/>
        <v>-12.389999999999986</v>
      </c>
      <c r="Y20" s="2"/>
      <c r="Z20" s="19">
        <f t="shared" si="3"/>
        <v>-3.4192515730213008E-2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--242.25</f>
        <v>242.25</v>
      </c>
      <c r="E21" s="2"/>
      <c r="F21" s="19"/>
      <c r="G21" s="2"/>
      <c r="H21" s="2">
        <f>--14.31</f>
        <v>14.31</v>
      </c>
      <c r="I21" s="2"/>
      <c r="J21" s="19"/>
      <c r="K21" s="2"/>
      <c r="L21" s="2">
        <f t="shared" si="0"/>
        <v>227.94</v>
      </c>
      <c r="M21" s="2"/>
      <c r="N21" s="19">
        <f t="shared" si="1"/>
        <v>15.928721174004192</v>
      </c>
      <c r="O21" s="11"/>
      <c r="P21" s="2">
        <f>--1108.59</f>
        <v>1108.5899999999999</v>
      </c>
      <c r="Q21" s="2"/>
      <c r="R21" s="19"/>
      <c r="S21" s="2"/>
      <c r="T21" s="2">
        <f>--257.92</f>
        <v>257.92</v>
      </c>
      <c r="U21" s="2"/>
      <c r="V21" s="19"/>
      <c r="W21" s="2"/>
      <c r="X21" s="2">
        <f t="shared" si="2"/>
        <v>850.66999999999985</v>
      </c>
      <c r="Y21" s="2"/>
      <c r="Z21" s="19">
        <f t="shared" si="3"/>
        <v>3.2981932382133987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--15.13</f>
        <v>15.13</v>
      </c>
      <c r="E22" s="2"/>
      <c r="F22" s="19"/>
      <c r="G22" s="2"/>
      <c r="H22" s="2">
        <f>--15.65</f>
        <v>15.65</v>
      </c>
      <c r="I22" s="2"/>
      <c r="J22" s="19"/>
      <c r="K22" s="2"/>
      <c r="L22" s="2">
        <f t="shared" si="0"/>
        <v>-0.51999999999999957</v>
      </c>
      <c r="M22" s="2"/>
      <c r="N22" s="19">
        <f t="shared" si="1"/>
        <v>-3.3226837060702848E-2</v>
      </c>
      <c r="O22" s="11"/>
      <c r="P22" s="2">
        <f>--146.15</f>
        <v>146.15</v>
      </c>
      <c r="Q22" s="2"/>
      <c r="R22" s="19"/>
      <c r="S22" s="2"/>
      <c r="T22" s="2">
        <f>--128.1</f>
        <v>128.1</v>
      </c>
      <c r="U22" s="2"/>
      <c r="V22" s="19"/>
      <c r="W22" s="2"/>
      <c r="X22" s="2">
        <f t="shared" si="2"/>
        <v>18.050000000000011</v>
      </c>
      <c r="Y22" s="2"/>
      <c r="Z22" s="19">
        <f t="shared" si="3"/>
        <v>0.14090554254488691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--479.73</f>
        <v>479.73</v>
      </c>
      <c r="E23" s="2"/>
      <c r="F23" s="19"/>
      <c r="G23" s="2"/>
      <c r="H23" s="2">
        <f>--446.64</f>
        <v>446.64</v>
      </c>
      <c r="I23" s="2"/>
      <c r="J23" s="19"/>
      <c r="K23" s="2"/>
      <c r="L23" s="2">
        <f t="shared" si="0"/>
        <v>33.090000000000032</v>
      </c>
      <c r="M23" s="2"/>
      <c r="N23" s="19">
        <f t="shared" si="1"/>
        <v>7.408651262761963E-2</v>
      </c>
      <c r="O23" s="11"/>
      <c r="P23" s="2">
        <f>--5751.24</f>
        <v>5751.24</v>
      </c>
      <c r="Q23" s="2"/>
      <c r="R23" s="19"/>
      <c r="S23" s="2"/>
      <c r="T23" s="2">
        <f>--4805.57</f>
        <v>4805.57</v>
      </c>
      <c r="U23" s="2"/>
      <c r="V23" s="19"/>
      <c r="W23" s="2"/>
      <c r="X23" s="2">
        <f t="shared" si="2"/>
        <v>945.67000000000007</v>
      </c>
      <c r="Y23" s="2"/>
      <c r="Z23" s="19">
        <f t="shared" si="3"/>
        <v>0.196786229313068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--171.4</f>
        <v>171.4</v>
      </c>
      <c r="E24" s="2"/>
      <c r="F24" s="19"/>
      <c r="G24" s="2"/>
      <c r="H24" s="2">
        <f>--165.4</f>
        <v>165.4</v>
      </c>
      <c r="I24" s="2"/>
      <c r="J24" s="19"/>
      <c r="K24" s="2"/>
      <c r="L24" s="2">
        <f t="shared" si="0"/>
        <v>6</v>
      </c>
      <c r="M24" s="2"/>
      <c r="N24" s="19">
        <f t="shared" si="1"/>
        <v>3.6275695284159609E-2</v>
      </c>
      <c r="O24" s="11"/>
      <c r="P24" s="2">
        <f>--1422.29</f>
        <v>1422.29</v>
      </c>
      <c r="Q24" s="2"/>
      <c r="R24" s="19"/>
      <c r="S24" s="2"/>
      <c r="T24" s="2">
        <f>--1409.53</f>
        <v>1409.53</v>
      </c>
      <c r="U24" s="2"/>
      <c r="V24" s="19"/>
      <c r="W24" s="2"/>
      <c r="X24" s="2">
        <f t="shared" si="2"/>
        <v>12.759999999999991</v>
      </c>
      <c r="Y24" s="2"/>
      <c r="Z24" s="19">
        <f t="shared" si="3"/>
        <v>9.0526629443857115E-3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--17.84</f>
        <v>17.84</v>
      </c>
      <c r="E25" s="2"/>
      <c r="F25" s="19"/>
      <c r="G25" s="2"/>
      <c r="H25" s="2">
        <f>--55.84</f>
        <v>55.84</v>
      </c>
      <c r="I25" s="2"/>
      <c r="J25" s="19"/>
      <c r="K25" s="2"/>
      <c r="L25" s="2">
        <f t="shared" si="0"/>
        <v>-38</v>
      </c>
      <c r="M25" s="2"/>
      <c r="N25" s="19">
        <f t="shared" si="1"/>
        <v>-0.68051575931232089</v>
      </c>
      <c r="O25" s="11"/>
      <c r="P25" s="2">
        <f>--414.1</f>
        <v>414.1</v>
      </c>
      <c r="Q25" s="2"/>
      <c r="R25" s="19"/>
      <c r="S25" s="2"/>
      <c r="T25" s="2">
        <f>--473.67</f>
        <v>473.67</v>
      </c>
      <c r="U25" s="2"/>
      <c r="V25" s="19"/>
      <c r="W25" s="2"/>
      <c r="X25" s="2">
        <f t="shared" si="2"/>
        <v>-59.569999999999993</v>
      </c>
      <c r="Y25" s="2"/>
      <c r="Z25" s="19">
        <f t="shared" si="3"/>
        <v>-0.12576266176874193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--32.95</f>
        <v>32.950000000000003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32.950000000000003</v>
      </c>
      <c r="M26" s="2"/>
      <c r="N26" s="19">
        <f t="shared" si="1"/>
        <v>0</v>
      </c>
      <c r="O26" s="11"/>
      <c r="P26" s="2">
        <f>--32.95</f>
        <v>32.950000000000003</v>
      </c>
      <c r="Q26" s="2"/>
      <c r="R26" s="19"/>
      <c r="S26" s="2"/>
      <c r="T26" s="2">
        <f>--554.23</f>
        <v>554.23</v>
      </c>
      <c r="U26" s="2"/>
      <c r="V26" s="19"/>
      <c r="W26" s="2"/>
      <c r="X26" s="2">
        <f t="shared" si="2"/>
        <v>-521.28</v>
      </c>
      <c r="Y26" s="2"/>
      <c r="Z26" s="19">
        <f t="shared" si="3"/>
        <v>-0.94054814788084362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--266.85</f>
        <v>266.85000000000002</v>
      </c>
      <c r="E27" s="2"/>
      <c r="F27" s="19"/>
      <c r="G27" s="2"/>
      <c r="H27" s="2">
        <f>--178.83</f>
        <v>178.83</v>
      </c>
      <c r="I27" s="2"/>
      <c r="J27" s="19"/>
      <c r="K27" s="2"/>
      <c r="L27" s="2">
        <f t="shared" si="0"/>
        <v>88.02000000000001</v>
      </c>
      <c r="M27" s="2"/>
      <c r="N27" s="19">
        <f t="shared" si="1"/>
        <v>0.49219929542023155</v>
      </c>
      <c r="O27" s="11"/>
      <c r="P27" s="2">
        <f>--2801.28</f>
        <v>2801.28</v>
      </c>
      <c r="Q27" s="2"/>
      <c r="R27" s="19"/>
      <c r="S27" s="2"/>
      <c r="T27" s="2">
        <f>--3047.73</f>
        <v>3047.73</v>
      </c>
      <c r="U27" s="2"/>
      <c r="V27" s="19"/>
      <c r="W27" s="2"/>
      <c r="X27" s="2">
        <f t="shared" si="2"/>
        <v>-246.44999999999982</v>
      </c>
      <c r="Y27" s="2"/>
      <c r="Z27" s="19">
        <f t="shared" si="3"/>
        <v>-8.0863462314575044E-2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--38</f>
        <v>38</v>
      </c>
      <c r="E28" s="2"/>
      <c r="F28" s="19"/>
      <c r="G28" s="2"/>
      <c r="H28" s="2">
        <f>--241</f>
        <v>241</v>
      </c>
      <c r="I28" s="2"/>
      <c r="J28" s="19"/>
      <c r="K28" s="2"/>
      <c r="L28" s="2">
        <f t="shared" si="0"/>
        <v>-203</v>
      </c>
      <c r="M28" s="2"/>
      <c r="N28" s="19">
        <f t="shared" si="1"/>
        <v>-0.84232365145228216</v>
      </c>
      <c r="O28" s="11"/>
      <c r="P28" s="2">
        <f>--219</f>
        <v>219</v>
      </c>
      <c r="Q28" s="2"/>
      <c r="R28" s="19"/>
      <c r="S28" s="2"/>
      <c r="T28" s="2">
        <f>--790</f>
        <v>790</v>
      </c>
      <c r="U28" s="2"/>
      <c r="V28" s="19"/>
      <c r="W28" s="2"/>
      <c r="X28" s="2">
        <f t="shared" si="2"/>
        <v>-571</v>
      </c>
      <c r="Y28" s="2"/>
      <c r="Z28" s="19">
        <f t="shared" si="3"/>
        <v>-0.72278481012658224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--149.91</f>
        <v>149.91</v>
      </c>
      <c r="E29" s="2"/>
      <c r="F29" s="19"/>
      <c r="G29" s="2"/>
      <c r="H29" s="2">
        <f>--39.96</f>
        <v>39.96</v>
      </c>
      <c r="I29" s="2"/>
      <c r="J29" s="19"/>
      <c r="K29" s="2"/>
      <c r="L29" s="2">
        <f t="shared" si="0"/>
        <v>109.94999999999999</v>
      </c>
      <c r="M29" s="2"/>
      <c r="N29" s="19">
        <f t="shared" si="1"/>
        <v>2.751501501501501</v>
      </c>
      <c r="O29" s="11"/>
      <c r="P29" s="2">
        <f>--849.39</f>
        <v>849.39</v>
      </c>
      <c r="Q29" s="2"/>
      <c r="R29" s="19"/>
      <c r="S29" s="2"/>
      <c r="T29" s="2">
        <f>--884.29</f>
        <v>884.29</v>
      </c>
      <c r="U29" s="2"/>
      <c r="V29" s="19"/>
      <c r="W29" s="2"/>
      <c r="X29" s="2">
        <f t="shared" si="2"/>
        <v>-34.899999999999977</v>
      </c>
      <c r="Y29" s="2"/>
      <c r="Z29" s="19">
        <f t="shared" si="3"/>
        <v>-3.9466690791482406E-2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--76.99</f>
        <v>76.989999999999995</v>
      </c>
      <c r="E30" s="2"/>
      <c r="F30" s="19"/>
      <c r="G30" s="2"/>
      <c r="H30" s="2">
        <f>--142.17</f>
        <v>142.16999999999999</v>
      </c>
      <c r="I30" s="2"/>
      <c r="J30" s="19"/>
      <c r="K30" s="2"/>
      <c r="L30" s="2">
        <f t="shared" si="0"/>
        <v>-65.179999999999993</v>
      </c>
      <c r="M30" s="2"/>
      <c r="N30" s="19">
        <f t="shared" si="1"/>
        <v>-0.45846521769712317</v>
      </c>
      <c r="O30" s="11"/>
      <c r="P30" s="2">
        <f>--775.76</f>
        <v>775.76</v>
      </c>
      <c r="Q30" s="2"/>
      <c r="R30" s="19"/>
      <c r="S30" s="2"/>
      <c r="T30" s="2">
        <f>--1415.49</f>
        <v>1415.49</v>
      </c>
      <c r="U30" s="2"/>
      <c r="V30" s="19"/>
      <c r="W30" s="2"/>
      <c r="X30" s="2">
        <f t="shared" si="2"/>
        <v>-639.73</v>
      </c>
      <c r="Y30" s="2"/>
      <c r="Z30" s="19">
        <f t="shared" si="3"/>
        <v>-0.45194950158602321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>0</f>
        <v>0</v>
      </c>
      <c r="E31" s="2"/>
      <c r="F31" s="19"/>
      <c r="G31" s="2"/>
      <c r="H31" s="2">
        <f>--6.77</f>
        <v>6.77</v>
      </c>
      <c r="I31" s="2"/>
      <c r="J31" s="19"/>
      <c r="K31" s="2"/>
      <c r="L31" s="2">
        <f t="shared" si="0"/>
        <v>-6.77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f>--8.56</f>
        <v>8.56</v>
      </c>
      <c r="U31" s="2"/>
      <c r="V31" s="19"/>
      <c r="W31" s="2"/>
      <c r="X31" s="2">
        <f t="shared" si="2"/>
        <v>-8.56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>--1.99</f>
        <v>1.99</v>
      </c>
      <c r="E32" s="2"/>
      <c r="F32" s="19"/>
      <c r="G32" s="2"/>
      <c r="H32" s="2">
        <f>--15.36</f>
        <v>15.36</v>
      </c>
      <c r="I32" s="2"/>
      <c r="J32" s="19"/>
      <c r="K32" s="2"/>
      <c r="L32" s="2">
        <f t="shared" si="0"/>
        <v>-13.37</v>
      </c>
      <c r="M32" s="2"/>
      <c r="N32" s="19">
        <f t="shared" si="1"/>
        <v>-0.87044270833333326</v>
      </c>
      <c r="O32" s="11"/>
      <c r="P32" s="2">
        <f>--14.16</f>
        <v>14.16</v>
      </c>
      <c r="Q32" s="2"/>
      <c r="R32" s="19"/>
      <c r="S32" s="2"/>
      <c r="T32" s="2">
        <f>--25.6</f>
        <v>25.6</v>
      </c>
      <c r="U32" s="2"/>
      <c r="V32" s="19"/>
      <c r="W32" s="2"/>
      <c r="X32" s="2">
        <f t="shared" si="2"/>
        <v>-11.440000000000001</v>
      </c>
      <c r="Y32" s="2"/>
      <c r="Z32" s="19">
        <f t="shared" si="3"/>
        <v>-0.44687500000000002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>--80.97</f>
        <v>80.97</v>
      </c>
      <c r="E33" s="2"/>
      <c r="F33" s="19"/>
      <c r="G33" s="2"/>
      <c r="H33" s="2">
        <f>--27.06</f>
        <v>27.06</v>
      </c>
      <c r="I33" s="2"/>
      <c r="J33" s="19"/>
      <c r="K33" s="2"/>
      <c r="L33" s="2">
        <f t="shared" si="0"/>
        <v>53.91</v>
      </c>
      <c r="M33" s="2"/>
      <c r="N33" s="19">
        <f t="shared" si="1"/>
        <v>1.9922394678492239</v>
      </c>
      <c r="O33" s="11"/>
      <c r="P33" s="2">
        <f>--176.37</f>
        <v>176.37</v>
      </c>
      <c r="Q33" s="2"/>
      <c r="R33" s="19"/>
      <c r="S33" s="2"/>
      <c r="T33" s="2">
        <f>--311.86</f>
        <v>311.86</v>
      </c>
      <c r="U33" s="2"/>
      <c r="V33" s="19"/>
      <c r="W33" s="2"/>
      <c r="X33" s="2">
        <f t="shared" si="2"/>
        <v>-135.49</v>
      </c>
      <c r="Y33" s="2"/>
      <c r="Z33" s="19">
        <f t="shared" si="3"/>
        <v>-0.43445776951196052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--3794.43</f>
        <v>3794.43</v>
      </c>
      <c r="E34" s="2"/>
      <c r="F34" s="19"/>
      <c r="G34" s="2"/>
      <c r="H34" s="2">
        <f>--4151.93</f>
        <v>4151.93</v>
      </c>
      <c r="I34" s="2"/>
      <c r="J34" s="19"/>
      <c r="K34" s="2"/>
      <c r="L34" s="2">
        <f t="shared" si="0"/>
        <v>-357.50000000000045</v>
      </c>
      <c r="M34" s="2"/>
      <c r="N34" s="19">
        <f t="shared" si="1"/>
        <v>-8.6104534517682241E-2</v>
      </c>
      <c r="O34" s="11"/>
      <c r="P34" s="2">
        <f>--41925.67</f>
        <v>41925.67</v>
      </c>
      <c r="Q34" s="2"/>
      <c r="R34" s="19"/>
      <c r="S34" s="2"/>
      <c r="T34" s="2">
        <f>--42188.44</f>
        <v>42188.44</v>
      </c>
      <c r="U34" s="2"/>
      <c r="V34" s="19"/>
      <c r="W34" s="2"/>
      <c r="X34" s="2">
        <f t="shared" si="2"/>
        <v>-262.77000000000407</v>
      </c>
      <c r="Y34" s="2"/>
      <c r="Z34" s="19">
        <f t="shared" si="3"/>
        <v>-6.2284834423838396E-3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>--1102.23</f>
        <v>1102.23</v>
      </c>
      <c r="E35" s="2"/>
      <c r="F35" s="19"/>
      <c r="G35" s="2"/>
      <c r="H35" s="2">
        <f>--1026.95</f>
        <v>1026.95</v>
      </c>
      <c r="I35" s="2"/>
      <c r="J35" s="19"/>
      <c r="K35" s="2"/>
      <c r="L35" s="2">
        <f t="shared" si="0"/>
        <v>75.279999999999973</v>
      </c>
      <c r="M35" s="2"/>
      <c r="N35" s="19">
        <f t="shared" si="1"/>
        <v>7.3304445201811161E-2</v>
      </c>
      <c r="O35" s="11"/>
      <c r="P35" s="2">
        <f>--12547.43</f>
        <v>12547.43</v>
      </c>
      <c r="Q35" s="2"/>
      <c r="R35" s="19"/>
      <c r="S35" s="2"/>
      <c r="T35" s="2">
        <f>--11024.18</f>
        <v>11024.18</v>
      </c>
      <c r="U35" s="2"/>
      <c r="V35" s="19"/>
      <c r="W35" s="2"/>
      <c r="X35" s="2">
        <f t="shared" si="2"/>
        <v>1523.25</v>
      </c>
      <c r="Y35" s="2"/>
      <c r="Z35" s="19">
        <f t="shared" si="3"/>
        <v>0.13817354215914471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>--1239.37</f>
        <v>1239.3699999999999</v>
      </c>
      <c r="E36" s="2"/>
      <c r="F36" s="19"/>
      <c r="G36" s="2"/>
      <c r="H36" s="2">
        <f>--1072.4</f>
        <v>1072.4000000000001</v>
      </c>
      <c r="I36" s="2"/>
      <c r="J36" s="19"/>
      <c r="K36" s="2"/>
      <c r="L36" s="2">
        <f t="shared" si="0"/>
        <v>166.9699999999998</v>
      </c>
      <c r="M36" s="2"/>
      <c r="N36" s="19">
        <f t="shared" si="1"/>
        <v>0.15569750093248769</v>
      </c>
      <c r="O36" s="11"/>
      <c r="P36" s="2">
        <f>--11846.36</f>
        <v>11846.36</v>
      </c>
      <c r="Q36" s="2"/>
      <c r="R36" s="19"/>
      <c r="S36" s="2"/>
      <c r="T36" s="2">
        <f>--9796.42</f>
        <v>9796.42</v>
      </c>
      <c r="U36" s="2"/>
      <c r="V36" s="19"/>
      <c r="W36" s="2"/>
      <c r="X36" s="2">
        <f t="shared" si="2"/>
        <v>2049.9400000000005</v>
      </c>
      <c r="Y36" s="2"/>
      <c r="Z36" s="19">
        <f t="shared" si="3"/>
        <v>0.20925399278511952</v>
      </c>
    </row>
    <row r="37" spans="1:26" s="24" customFormat="1" hidden="1" outlineLevel="1" x14ac:dyDescent="0.25">
      <c r="A37" s="44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--109.47</f>
        <v>109.47</v>
      </c>
      <c r="U37" s="2"/>
      <c r="V37" s="19"/>
      <c r="W37" s="2"/>
      <c r="X37" s="2">
        <f t="shared" si="2"/>
        <v>-109.47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--21.54</f>
        <v>21.54</v>
      </c>
      <c r="E38" s="2"/>
      <c r="F38" s="19"/>
      <c r="G38" s="2"/>
      <c r="H38" s="2">
        <f>--17.95</f>
        <v>17.95</v>
      </c>
      <c r="I38" s="2"/>
      <c r="J38" s="19"/>
      <c r="K38" s="2"/>
      <c r="L38" s="2">
        <f t="shared" si="0"/>
        <v>3.59</v>
      </c>
      <c r="M38" s="2"/>
      <c r="N38" s="19">
        <f t="shared" si="1"/>
        <v>0.2</v>
      </c>
      <c r="O38" s="11"/>
      <c r="P38" s="2">
        <f>--89.7</f>
        <v>89.7</v>
      </c>
      <c r="Q38" s="2"/>
      <c r="R38" s="19"/>
      <c r="S38" s="2"/>
      <c r="T38" s="2">
        <f>--83.57</f>
        <v>83.57</v>
      </c>
      <c r="U38" s="2"/>
      <c r="V38" s="19"/>
      <c r="W38" s="2"/>
      <c r="X38" s="2">
        <f t="shared" si="2"/>
        <v>6.1300000000000097</v>
      </c>
      <c r="Y38" s="2"/>
      <c r="Z38" s="19">
        <f t="shared" si="3"/>
        <v>7.3351681225320209E-2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--625.39</f>
        <v>625.39</v>
      </c>
      <c r="E39" s="2"/>
      <c r="F39" s="19"/>
      <c r="G39" s="2"/>
      <c r="H39" s="2">
        <f>--529.9</f>
        <v>529.9</v>
      </c>
      <c r="I39" s="2"/>
      <c r="J39" s="19"/>
      <c r="K39" s="2"/>
      <c r="L39" s="2">
        <f t="shared" si="0"/>
        <v>95.490000000000009</v>
      </c>
      <c r="M39" s="2"/>
      <c r="N39" s="19">
        <f t="shared" si="1"/>
        <v>0.18020381204000757</v>
      </c>
      <c r="O39" s="11"/>
      <c r="P39" s="2">
        <f>--6445.46</f>
        <v>6445.46</v>
      </c>
      <c r="Q39" s="2"/>
      <c r="R39" s="19"/>
      <c r="S39" s="2"/>
      <c r="T39" s="2">
        <f>--6002.01</f>
        <v>6002.01</v>
      </c>
      <c r="U39" s="2"/>
      <c r="V39" s="19"/>
      <c r="W39" s="2"/>
      <c r="X39" s="2">
        <f t="shared" si="2"/>
        <v>443.44999999999982</v>
      </c>
      <c r="Y39" s="2"/>
      <c r="Z39" s="19">
        <f t="shared" si="3"/>
        <v>7.3883582333251666E-2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ref="D40:D41" si="5">0</f>
        <v>0</v>
      </c>
      <c r="E40" s="2"/>
      <c r="F40" s="19"/>
      <c r="G40" s="2"/>
      <c r="H40" s="2">
        <f>-12.74</f>
        <v>-12.74</v>
      </c>
      <c r="I40" s="2"/>
      <c r="J40" s="19"/>
      <c r="K40" s="2"/>
      <c r="L40" s="2">
        <f t="shared" si="0"/>
        <v>12.74</v>
      </c>
      <c r="M40" s="2"/>
      <c r="N40" s="19">
        <f t="shared" si="1"/>
        <v>-1</v>
      </c>
      <c r="O40" s="11"/>
      <c r="P40" s="2">
        <f>-30.97</f>
        <v>-30.97</v>
      </c>
      <c r="Q40" s="2"/>
      <c r="R40" s="19"/>
      <c r="S40" s="2"/>
      <c r="T40" s="2">
        <f>-140.68</f>
        <v>-140.68</v>
      </c>
      <c r="U40" s="2"/>
      <c r="V40" s="19"/>
      <c r="W40" s="2"/>
      <c r="X40" s="2">
        <f t="shared" si="2"/>
        <v>109.71000000000001</v>
      </c>
      <c r="Y40" s="2"/>
      <c r="Z40" s="19">
        <f t="shared" si="3"/>
        <v>-0.77985499004833669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 t="shared" si="5"/>
        <v>0</v>
      </c>
      <c r="E41" s="2"/>
      <c r="F41" s="19"/>
      <c r="G41" s="2"/>
      <c r="H41" s="2">
        <f t="shared" ref="H41:H42" si="6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-1.39</f>
        <v>-1.39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-1.39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-1.99</f>
        <v>-1.99</v>
      </c>
      <c r="E42" s="2"/>
      <c r="F42" s="19"/>
      <c r="G42" s="2"/>
      <c r="H42" s="2">
        <f t="shared" si="6"/>
        <v>0</v>
      </c>
      <c r="I42" s="2"/>
      <c r="J42" s="19"/>
      <c r="K42" s="2"/>
      <c r="L42" s="2">
        <f t="shared" si="0"/>
        <v>-1.99</v>
      </c>
      <c r="M42" s="2"/>
      <c r="N42" s="19">
        <f t="shared" si="1"/>
        <v>0</v>
      </c>
      <c r="O42" s="11"/>
      <c r="P42" s="2">
        <f>-8.76</f>
        <v>-8.76</v>
      </c>
      <c r="Q42" s="2"/>
      <c r="R42" s="19"/>
      <c r="S42" s="2"/>
      <c r="T42" s="2">
        <f>-62.28</f>
        <v>-62.28</v>
      </c>
      <c r="U42" s="2"/>
      <c r="V42" s="19"/>
      <c r="W42" s="2"/>
      <c r="X42" s="2">
        <f t="shared" si="2"/>
        <v>53.52</v>
      </c>
      <c r="Y42" s="2"/>
      <c r="Z42" s="19">
        <f t="shared" si="3"/>
        <v>-0.859344894026975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-14.08</f>
        <v>-14.08</v>
      </c>
      <c r="E43" s="2"/>
      <c r="F43" s="19"/>
      <c r="G43" s="2"/>
      <c r="H43" s="2">
        <f>-12.58</f>
        <v>-12.58</v>
      </c>
      <c r="I43" s="2"/>
      <c r="J43" s="19"/>
      <c r="K43" s="2"/>
      <c r="L43" s="2">
        <f t="shared" si="0"/>
        <v>-1.5</v>
      </c>
      <c r="M43" s="2"/>
      <c r="N43" s="19">
        <f t="shared" si="1"/>
        <v>0.1192368839427663</v>
      </c>
      <c r="O43" s="11"/>
      <c r="P43" s="2">
        <f>-42.06</f>
        <v>-42.06</v>
      </c>
      <c r="Q43" s="2"/>
      <c r="R43" s="19"/>
      <c r="S43" s="2"/>
      <c r="T43" s="2">
        <f>-64.18</f>
        <v>-64.180000000000007</v>
      </c>
      <c r="U43" s="2"/>
      <c r="V43" s="19"/>
      <c r="W43" s="2"/>
      <c r="X43" s="2">
        <f t="shared" si="2"/>
        <v>22.120000000000005</v>
      </c>
      <c r="Y43" s="2"/>
      <c r="Z43" s="19">
        <f t="shared" si="3"/>
        <v>-0.34465565596759118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-763.58</f>
        <v>-763.58</v>
      </c>
      <c r="E44" s="2"/>
      <c r="F44" s="19"/>
      <c r="G44" s="2"/>
      <c r="H44" s="2">
        <f>-1219.6</f>
        <v>-1219.5999999999999</v>
      </c>
      <c r="I44" s="2"/>
      <c r="J44" s="19"/>
      <c r="K44" s="2"/>
      <c r="L44" s="2">
        <f t="shared" si="0"/>
        <v>456.01999999999987</v>
      </c>
      <c r="M44" s="2"/>
      <c r="N44" s="19">
        <f t="shared" si="1"/>
        <v>-0.37390947851754663</v>
      </c>
      <c r="O44" s="11"/>
      <c r="P44" s="2">
        <f>-3674.45</f>
        <v>-3674.45</v>
      </c>
      <c r="Q44" s="2"/>
      <c r="R44" s="19"/>
      <c r="S44" s="2"/>
      <c r="T44" s="2">
        <f>-5783.63</f>
        <v>-5783.63</v>
      </c>
      <c r="U44" s="2"/>
      <c r="V44" s="19"/>
      <c r="W44" s="2"/>
      <c r="X44" s="2">
        <f t="shared" si="2"/>
        <v>2109.1800000000003</v>
      </c>
      <c r="Y44" s="2"/>
      <c r="Z44" s="19">
        <f t="shared" si="3"/>
        <v>-0.36468100483606319</v>
      </c>
    </row>
    <row r="45" spans="1:26" s="24" customFormat="1" hidden="1" outlineLevel="1" x14ac:dyDescent="0.25">
      <c r="A45" s="44"/>
      <c r="B45" s="11" t="str">
        <f>CONCATENATE("          ", "4233", " - ", "SALES RETURN TAXABLE-CANDY")</f>
        <v xml:space="preserve">          4233 - SALES RETURN TAXABLE-CANDY</v>
      </c>
      <c r="C45" s="11"/>
      <c r="D45" s="2">
        <f t="shared" ref="D45:D46" si="7">0</f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-1.29</f>
        <v>-1.29</v>
      </c>
      <c r="Q45" s="2"/>
      <c r="R45" s="19"/>
      <c r="S45" s="2"/>
      <c r="T45" s="2">
        <f>-1.89</f>
        <v>-1.89</v>
      </c>
      <c r="U45" s="2"/>
      <c r="V45" s="19"/>
      <c r="W45" s="2"/>
      <c r="X45" s="2">
        <f t="shared" si="2"/>
        <v>0.59999999999999987</v>
      </c>
      <c r="Y45" s="2"/>
      <c r="Z45" s="19">
        <f t="shared" si="3"/>
        <v>-0.31746031746031739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 t="shared" si="7"/>
        <v>0</v>
      </c>
      <c r="E46" s="2"/>
      <c r="F46" s="19"/>
      <c r="G46" s="2"/>
      <c r="H46" s="2">
        <f>-9.99</f>
        <v>-9.99</v>
      </c>
      <c r="I46" s="2"/>
      <c r="J46" s="19"/>
      <c r="K46" s="2"/>
      <c r="L46" s="2">
        <f t="shared" si="0"/>
        <v>9.99</v>
      </c>
      <c r="M46" s="2"/>
      <c r="N46" s="19">
        <f t="shared" si="1"/>
        <v>-1</v>
      </c>
      <c r="O46" s="11"/>
      <c r="P46" s="2">
        <f>-54.97</f>
        <v>-54.97</v>
      </c>
      <c r="Q46" s="2"/>
      <c r="R46" s="19"/>
      <c r="S46" s="2"/>
      <c r="T46" s="2">
        <f>-34.98</f>
        <v>-34.979999999999997</v>
      </c>
      <c r="U46" s="2"/>
      <c r="V46" s="19"/>
      <c r="W46" s="2"/>
      <c r="X46" s="2">
        <f t="shared" si="2"/>
        <v>-19.990000000000002</v>
      </c>
      <c r="Y46" s="2"/>
      <c r="Z46" s="19">
        <f t="shared" si="3"/>
        <v>0.57146941109205274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collapsed="1" x14ac:dyDescent="0.25">
      <c r="A48" s="10"/>
      <c r="B48" s="29" t="s">
        <v>8</v>
      </c>
      <c r="C48" s="10"/>
      <c r="D48" s="4">
        <f>SUM(OSRRefD16x_0)</f>
        <v>27594.300000000007</v>
      </c>
      <c r="E48" s="4"/>
      <c r="F48" s="12">
        <f t="shared" ref="F48:F68" si="8">IF(D$12=0,0,D48/D$12)</f>
        <v>0.52914524240433447</v>
      </c>
      <c r="G48" s="4"/>
      <c r="H48" s="4">
        <f>SUM(OSRRefH16x_0)</f>
        <v>26040.680000000004</v>
      </c>
      <c r="I48" s="4"/>
      <c r="J48" s="12">
        <f t="shared" ref="J48:J68" si="9">IF(H$12=0,0,H48/H$12)</f>
        <v>0.54653816778913267</v>
      </c>
      <c r="K48" s="4"/>
      <c r="L48" s="4">
        <f t="shared" ref="L48:L68" si="10">+D48-H48</f>
        <v>1553.6200000000026</v>
      </c>
      <c r="M48" s="4"/>
      <c r="N48" s="12">
        <f t="shared" ref="N48:N68" si="11">IF(H48=0,0,L48/H48)</f>
        <v>5.9661268446138976E-2</v>
      </c>
      <c r="O48" s="10"/>
      <c r="P48" s="4">
        <f>SUM(OSRRefP16x_0)</f>
        <v>168781.30999999997</v>
      </c>
      <c r="Q48" s="4"/>
      <c r="R48" s="12">
        <f t="shared" ref="R48:R68" si="12">IF(P$12=0,0,P48/P$12)</f>
        <v>0.52581007082648401</v>
      </c>
      <c r="S48" s="4"/>
      <c r="T48" s="4">
        <f>SUM(OSRRefT16x_0)</f>
        <v>169372.81000000003</v>
      </c>
      <c r="U48" s="4"/>
      <c r="V48" s="12">
        <f t="shared" ref="V48:V68" si="13">IF(T$12=0,0,T48/T$12)</f>
        <v>0.5392741014064929</v>
      </c>
      <c r="W48" s="4"/>
      <c r="X48" s="4">
        <f t="shared" ref="X48:X68" si="14">+P48-T48</f>
        <v>-591.50000000005821</v>
      </c>
      <c r="Y48" s="4"/>
      <c r="Z48" s="12">
        <f t="shared" ref="Z48:Z68" si="15">IF(T48=0,0,X48/T48)</f>
        <v>-3.4922960775112494E-3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8"/>
        <v>0</v>
      </c>
      <c r="G49" s="2"/>
      <c r="H49" s="2"/>
      <c r="I49" s="2"/>
      <c r="J49" s="19">
        <f t="shared" si="9"/>
        <v>0</v>
      </c>
      <c r="K49" s="2"/>
      <c r="L49" s="2">
        <f t="shared" si="10"/>
        <v>0</v>
      </c>
      <c r="M49" s="2"/>
      <c r="N49" s="19">
        <f t="shared" si="11"/>
        <v>0</v>
      </c>
      <c r="O49" s="11"/>
      <c r="P49" s="2">
        <v>14.46</v>
      </c>
      <c r="Q49" s="2"/>
      <c r="R49" s="19">
        <f t="shared" si="12"/>
        <v>4.5047722547899175E-5</v>
      </c>
      <c r="S49" s="2"/>
      <c r="T49" s="2"/>
      <c r="U49" s="2"/>
      <c r="V49" s="19">
        <f t="shared" si="13"/>
        <v>0</v>
      </c>
      <c r="W49" s="2"/>
      <c r="X49" s="2">
        <f t="shared" si="14"/>
        <v>14.46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"5025", " - ", "PURCHASES @ COST-TEST FORMS")</f>
        <v xml:space="preserve">          5025 - PURCHASES @ COST-TEST FORMS</v>
      </c>
      <c r="C50" s="11"/>
      <c r="D50" s="2">
        <v>33</v>
      </c>
      <c r="E50" s="2"/>
      <c r="F50" s="19">
        <f t="shared" si="8"/>
        <v>6.3280434725081029E-4</v>
      </c>
      <c r="G50" s="2"/>
      <c r="H50" s="2"/>
      <c r="I50" s="2"/>
      <c r="J50" s="19">
        <f t="shared" si="9"/>
        <v>0</v>
      </c>
      <c r="K50" s="2"/>
      <c r="L50" s="2">
        <f t="shared" si="10"/>
        <v>33</v>
      </c>
      <c r="M50" s="2"/>
      <c r="N50" s="19">
        <f t="shared" si="11"/>
        <v>0</v>
      </c>
      <c r="O50" s="11"/>
      <c r="P50" s="2">
        <v>505.36</v>
      </c>
      <c r="Q50" s="2"/>
      <c r="R50" s="19">
        <f t="shared" si="12"/>
        <v>1.5743649423794141E-3</v>
      </c>
      <c r="S50" s="2"/>
      <c r="T50" s="2">
        <v>381.18</v>
      </c>
      <c r="U50" s="2"/>
      <c r="V50" s="19">
        <f t="shared" si="13"/>
        <v>1.2136570325197234E-3</v>
      </c>
      <c r="W50" s="2"/>
      <c r="X50" s="2">
        <f t="shared" si="14"/>
        <v>124.18</v>
      </c>
      <c r="Y50" s="2"/>
      <c r="Z50" s="19">
        <f t="shared" si="15"/>
        <v>0.32577784773597779</v>
      </c>
    </row>
    <row r="51" spans="1:26" s="24" customFormat="1" hidden="1" outlineLevel="1" x14ac:dyDescent="0.25">
      <c r="A51" s="44"/>
      <c r="B51" s="11" t="str">
        <f>CONCATENATE("          ", "5026", " - ", "PURCHASES @ COST-WRITING INSTR")</f>
        <v xml:space="preserve">          5026 - PURCHASES @ COST-WRITING INSTR</v>
      </c>
      <c r="C51" s="11"/>
      <c r="D51" s="2">
        <v>1242.5999999999999</v>
      </c>
      <c r="E51" s="2"/>
      <c r="F51" s="19">
        <f t="shared" si="8"/>
        <v>2.3827960057389599E-2</v>
      </c>
      <c r="G51" s="2"/>
      <c r="H51" s="2">
        <v>781.56</v>
      </c>
      <c r="I51" s="2"/>
      <c r="J51" s="19">
        <f t="shared" si="9"/>
        <v>1.6403272511212243E-2</v>
      </c>
      <c r="K51" s="2"/>
      <c r="L51" s="2">
        <f t="shared" si="10"/>
        <v>461.03999999999996</v>
      </c>
      <c r="M51" s="2"/>
      <c r="N51" s="19">
        <f t="shared" si="11"/>
        <v>0.58989712881928447</v>
      </c>
      <c r="O51" s="11"/>
      <c r="P51" s="2">
        <v>3830.79</v>
      </c>
      <c r="Q51" s="2"/>
      <c r="R51" s="19">
        <f t="shared" si="12"/>
        <v>1.1934188454997696E-2</v>
      </c>
      <c r="S51" s="2"/>
      <c r="T51" s="2">
        <v>2341.58</v>
      </c>
      <c r="U51" s="2"/>
      <c r="V51" s="19">
        <f t="shared" si="13"/>
        <v>7.4554673230692427E-3</v>
      </c>
      <c r="W51" s="2"/>
      <c r="X51" s="2">
        <f t="shared" si="14"/>
        <v>1489.21</v>
      </c>
      <c r="Y51" s="2"/>
      <c r="Z51" s="19">
        <f t="shared" si="15"/>
        <v>0.63598510407502629</v>
      </c>
    </row>
    <row r="52" spans="1:26" s="24" customFormat="1" hidden="1" outlineLevel="1" x14ac:dyDescent="0.25">
      <c r="A52" s="44"/>
      <c r="B52" s="11" t="str">
        <f>CONCATENATE("          ", "5027", " - ", "PURCHASES @ COST-SCHOOL SUPPLI")</f>
        <v xml:space="preserve">          5027 - PURCHASES @ COST-SCHOOL SUPPLI</v>
      </c>
      <c r="C52" s="11"/>
      <c r="D52" s="2">
        <v>1109.3800000000001</v>
      </c>
      <c r="E52" s="2"/>
      <c r="F52" s="19">
        <f t="shared" si="8"/>
        <v>2.1273348083427394E-2</v>
      </c>
      <c r="G52" s="2"/>
      <c r="H52" s="2">
        <v>927.74</v>
      </c>
      <c r="I52" s="2"/>
      <c r="J52" s="19">
        <f t="shared" si="9"/>
        <v>1.9471278007513238E-2</v>
      </c>
      <c r="K52" s="2"/>
      <c r="L52" s="2">
        <f t="shared" si="10"/>
        <v>181.6400000000001</v>
      </c>
      <c r="M52" s="2"/>
      <c r="N52" s="19">
        <f t="shared" si="11"/>
        <v>0.19578761290878921</v>
      </c>
      <c r="O52" s="11"/>
      <c r="P52" s="2">
        <v>3051.32</v>
      </c>
      <c r="Q52" s="2"/>
      <c r="R52" s="19">
        <f t="shared" si="12"/>
        <v>9.5058794443192048E-3</v>
      </c>
      <c r="S52" s="2"/>
      <c r="T52" s="2">
        <v>2797.59</v>
      </c>
      <c r="U52" s="2"/>
      <c r="V52" s="19">
        <f t="shared" si="13"/>
        <v>8.9073791321865083E-3</v>
      </c>
      <c r="W52" s="2"/>
      <c r="X52" s="2">
        <f t="shared" si="14"/>
        <v>253.73000000000002</v>
      </c>
      <c r="Y52" s="2"/>
      <c r="Z52" s="19">
        <f t="shared" si="15"/>
        <v>9.0695920417216247E-2</v>
      </c>
    </row>
    <row r="53" spans="1:26" s="24" customFormat="1" hidden="1" outlineLevel="1" x14ac:dyDescent="0.25">
      <c r="A53" s="44"/>
      <c r="B53" s="11" t="str">
        <f>CONCATENATE("          ", "5028", " - ", "PURCHASES @ COST-ART/TECH")</f>
        <v xml:space="preserve">          5028 - PURCHASES @ COST-ART/TECH</v>
      </c>
      <c r="C53" s="11"/>
      <c r="D53" s="2">
        <v>30639.230000000003</v>
      </c>
      <c r="E53" s="2"/>
      <c r="F53" s="19">
        <f t="shared" si="8"/>
        <v>0.58753448304295286</v>
      </c>
      <c r="G53" s="2"/>
      <c r="H53" s="2">
        <v>37395.270000000004</v>
      </c>
      <c r="I53" s="2"/>
      <c r="J53" s="19">
        <f t="shared" si="9"/>
        <v>0.78484672250417109</v>
      </c>
      <c r="K53" s="2"/>
      <c r="L53" s="2">
        <f t="shared" si="10"/>
        <v>-6756.0400000000009</v>
      </c>
      <c r="M53" s="2"/>
      <c r="N53" s="19">
        <f t="shared" si="11"/>
        <v>-0.18066562963711721</v>
      </c>
      <c r="O53" s="11"/>
      <c r="P53" s="2">
        <v>130130.06</v>
      </c>
      <c r="Q53" s="2"/>
      <c r="R53" s="19">
        <f t="shared" si="12"/>
        <v>0.40539853651600777</v>
      </c>
      <c r="S53" s="2"/>
      <c r="T53" s="2">
        <v>131975.20000000001</v>
      </c>
      <c r="U53" s="2"/>
      <c r="V53" s="19">
        <f t="shared" si="13"/>
        <v>0.42020208195130127</v>
      </c>
      <c r="W53" s="2"/>
      <c r="X53" s="2">
        <f t="shared" si="14"/>
        <v>-1845.140000000014</v>
      </c>
      <c r="Y53" s="2"/>
      <c r="Z53" s="19">
        <f t="shared" si="15"/>
        <v>-1.3980960059162734E-2</v>
      </c>
    </row>
    <row r="54" spans="1:26" s="24" customFormat="1" hidden="1" outlineLevel="1" x14ac:dyDescent="0.25">
      <c r="A54" s="44"/>
      <c r="B54" s="11" t="str">
        <f>CONCATENATE("          ", "5031", " - ", "PURCHASES @ COST-FOOD")</f>
        <v xml:space="preserve">          5031 - PURCHASES @ COST-FOOD</v>
      </c>
      <c r="C54" s="11"/>
      <c r="D54" s="2">
        <v>2265.7399999999998</v>
      </c>
      <c r="E54" s="2"/>
      <c r="F54" s="19">
        <f t="shared" si="8"/>
        <v>4.3447579446668202E-2</v>
      </c>
      <c r="G54" s="2"/>
      <c r="H54" s="2">
        <v>3684.99</v>
      </c>
      <c r="I54" s="2"/>
      <c r="J54" s="19">
        <f t="shared" si="9"/>
        <v>7.7340057284267363E-2</v>
      </c>
      <c r="K54" s="2"/>
      <c r="L54" s="2">
        <f t="shared" si="10"/>
        <v>-1419.25</v>
      </c>
      <c r="M54" s="2"/>
      <c r="N54" s="19">
        <f t="shared" si="11"/>
        <v>-0.38514351463640339</v>
      </c>
      <c r="O54" s="11"/>
      <c r="P54" s="2">
        <v>24507.3</v>
      </c>
      <c r="Q54" s="2"/>
      <c r="R54" s="19">
        <f t="shared" si="12"/>
        <v>7.6348412918266204E-2</v>
      </c>
      <c r="S54" s="2"/>
      <c r="T54" s="2">
        <v>21909.329999999998</v>
      </c>
      <c r="U54" s="2"/>
      <c r="V54" s="19">
        <f t="shared" si="13"/>
        <v>6.975815213887232E-2</v>
      </c>
      <c r="W54" s="2"/>
      <c r="X54" s="2">
        <f t="shared" si="14"/>
        <v>2597.9700000000012</v>
      </c>
      <c r="Y54" s="2"/>
      <c r="Z54" s="19">
        <f t="shared" si="15"/>
        <v>0.11857824954026441</v>
      </c>
    </row>
    <row r="55" spans="1:26" s="24" customFormat="1" hidden="1" outlineLevel="1" x14ac:dyDescent="0.25">
      <c r="A55" s="44"/>
      <c r="B55" s="11" t="str">
        <f>CONCATENATE("          ", "5032", " - ", "PURCHASES @ COST-JUICE")</f>
        <v xml:space="preserve">          5032 - PURCHASES @ COST-JUICE</v>
      </c>
      <c r="C55" s="11"/>
      <c r="D55" s="2">
        <v>371.03</v>
      </c>
      <c r="E55" s="2"/>
      <c r="F55" s="19">
        <f t="shared" si="8"/>
        <v>7.1148302109232762E-3</v>
      </c>
      <c r="G55" s="2"/>
      <c r="H55" s="2">
        <v>423.28</v>
      </c>
      <c r="I55" s="2"/>
      <c r="J55" s="19">
        <f t="shared" si="9"/>
        <v>8.8837417326192714E-3</v>
      </c>
      <c r="K55" s="2"/>
      <c r="L55" s="2">
        <f t="shared" si="10"/>
        <v>-52.25</v>
      </c>
      <c r="M55" s="2"/>
      <c r="N55" s="19">
        <f t="shared" si="11"/>
        <v>-0.12344074844074845</v>
      </c>
      <c r="O55" s="11"/>
      <c r="P55" s="2">
        <v>5392.51</v>
      </c>
      <c r="Q55" s="2"/>
      <c r="R55" s="19">
        <f t="shared" si="12"/>
        <v>1.6799467103511188E-2</v>
      </c>
      <c r="S55" s="2"/>
      <c r="T55" s="2">
        <v>5993.53</v>
      </c>
      <c r="U55" s="2"/>
      <c r="V55" s="19">
        <f t="shared" si="13"/>
        <v>1.9083083672065525E-2</v>
      </c>
      <c r="W55" s="2"/>
      <c r="X55" s="2">
        <f t="shared" si="14"/>
        <v>-601.01999999999953</v>
      </c>
      <c r="Y55" s="2"/>
      <c r="Z55" s="19">
        <f t="shared" si="15"/>
        <v>-0.10027813325369182</v>
      </c>
    </row>
    <row r="56" spans="1:26" s="24" customFormat="1" hidden="1" outlineLevel="1" x14ac:dyDescent="0.25">
      <c r="A56" s="44"/>
      <c r="B56" s="11" t="str">
        <f>CONCATENATE("          ", "5033", " - ", "PURCHASES @ COST-CANDY")</f>
        <v xml:space="preserve">          5033 - PURCHASES @ COST-CANDY</v>
      </c>
      <c r="C56" s="11"/>
      <c r="D56" s="2">
        <v>684.07</v>
      </c>
      <c r="E56" s="2"/>
      <c r="F56" s="19">
        <f t="shared" si="8"/>
        <v>1.3117650600723086E-2</v>
      </c>
      <c r="G56" s="2"/>
      <c r="H56" s="2">
        <v>1005.95</v>
      </c>
      <c r="I56" s="2"/>
      <c r="J56" s="19">
        <f t="shared" si="9"/>
        <v>2.1112738603119349E-2</v>
      </c>
      <c r="K56" s="2"/>
      <c r="L56" s="2">
        <f t="shared" si="10"/>
        <v>-321.88</v>
      </c>
      <c r="M56" s="2"/>
      <c r="N56" s="19">
        <f t="shared" si="11"/>
        <v>-0.31997614195536556</v>
      </c>
      <c r="O56" s="11"/>
      <c r="P56" s="2">
        <v>6592.4</v>
      </c>
      <c r="Q56" s="2"/>
      <c r="R56" s="19">
        <f t="shared" si="12"/>
        <v>2.0537524628269053E-2</v>
      </c>
      <c r="S56" s="2"/>
      <c r="T56" s="2">
        <v>4975.63</v>
      </c>
      <c r="U56" s="2"/>
      <c r="V56" s="19">
        <f t="shared" si="13"/>
        <v>1.5842143713510969E-2</v>
      </c>
      <c r="W56" s="2"/>
      <c r="X56" s="2">
        <f t="shared" si="14"/>
        <v>1616.7699999999995</v>
      </c>
      <c r="Y56" s="2"/>
      <c r="Z56" s="19">
        <f t="shared" si="15"/>
        <v>0.32493774657681529</v>
      </c>
    </row>
    <row r="57" spans="1:26" s="24" customFormat="1" hidden="1" outlineLevel="1" x14ac:dyDescent="0.25">
      <c r="A57" s="44"/>
      <c r="B57" s="11" t="str">
        <f>CONCATENATE("          ", "5034", " - ", "PURCHASES @ COST-SODA")</f>
        <v xml:space="preserve">          5034 - PURCHASES @ COST-SODA</v>
      </c>
      <c r="C57" s="11"/>
      <c r="D57" s="2"/>
      <c r="E57" s="2"/>
      <c r="F57" s="19">
        <f t="shared" si="8"/>
        <v>0</v>
      </c>
      <c r="G57" s="2"/>
      <c r="H57" s="2">
        <v>257.14</v>
      </c>
      <c r="I57" s="2"/>
      <c r="J57" s="19">
        <f t="shared" si="9"/>
        <v>5.3968185341280468E-3</v>
      </c>
      <c r="K57" s="2"/>
      <c r="L57" s="2">
        <f t="shared" si="10"/>
        <v>-257.14</v>
      </c>
      <c r="M57" s="2"/>
      <c r="N57" s="19">
        <f t="shared" si="11"/>
        <v>-1</v>
      </c>
      <c r="O57" s="11"/>
      <c r="P57" s="2">
        <v>2124.16</v>
      </c>
      <c r="Q57" s="2"/>
      <c r="R57" s="19">
        <f t="shared" si="12"/>
        <v>6.6174668276172549E-3</v>
      </c>
      <c r="S57" s="2"/>
      <c r="T57" s="2">
        <v>2287.1799999999998</v>
      </c>
      <c r="U57" s="2"/>
      <c r="V57" s="19">
        <f t="shared" si="13"/>
        <v>7.2822605898485247E-3</v>
      </c>
      <c r="W57" s="2"/>
      <c r="X57" s="2">
        <f t="shared" si="14"/>
        <v>-163.01999999999998</v>
      </c>
      <c r="Y57" s="2"/>
      <c r="Z57" s="19">
        <f t="shared" si="15"/>
        <v>-7.1275544557052789E-2</v>
      </c>
    </row>
    <row r="58" spans="1:26" s="24" customFormat="1" hidden="1" outlineLevel="1" x14ac:dyDescent="0.25">
      <c r="A58" s="44"/>
      <c r="B58" s="11" t="str">
        <f>CONCATENATE("          ", "5035", " - ", "PURCHASES @ COST-HEALTH &amp; BEAU")</f>
        <v xml:space="preserve">          5035 - PURCHASES @ COST-HEALTH &amp; BEAU</v>
      </c>
      <c r="C58" s="11"/>
      <c r="D58" s="2">
        <v>32.82</v>
      </c>
      <c r="E58" s="2"/>
      <c r="F58" s="19">
        <f t="shared" si="8"/>
        <v>6.2935268717489675E-4</v>
      </c>
      <c r="G58" s="2"/>
      <c r="H58" s="2">
        <v>74.38</v>
      </c>
      <c r="I58" s="2"/>
      <c r="J58" s="19">
        <f t="shared" si="9"/>
        <v>1.5610770886227117E-3</v>
      </c>
      <c r="K58" s="2"/>
      <c r="L58" s="2">
        <f t="shared" si="10"/>
        <v>-41.559999999999995</v>
      </c>
      <c r="M58" s="2"/>
      <c r="N58" s="19">
        <f t="shared" si="11"/>
        <v>-0.55875235278300617</v>
      </c>
      <c r="O58" s="11"/>
      <c r="P58" s="2">
        <v>820.95</v>
      </c>
      <c r="Q58" s="2"/>
      <c r="R58" s="19">
        <f t="shared" si="12"/>
        <v>2.5575330446540685E-3</v>
      </c>
      <c r="S58" s="2"/>
      <c r="T58" s="2">
        <v>596.54999999999995</v>
      </c>
      <c r="U58" s="2"/>
      <c r="V58" s="19">
        <f t="shared" si="13"/>
        <v>1.899383762919463E-3</v>
      </c>
      <c r="W58" s="2"/>
      <c r="X58" s="2">
        <f t="shared" si="14"/>
        <v>224.40000000000009</v>
      </c>
      <c r="Y58" s="2"/>
      <c r="Z58" s="19">
        <f t="shared" si="15"/>
        <v>0.37616293688710101</v>
      </c>
    </row>
    <row r="59" spans="1:26" s="24" customFormat="1" hidden="1" outlineLevel="1" x14ac:dyDescent="0.25">
      <c r="A59" s="44"/>
      <c r="B59" s="11" t="str">
        <f>CONCATENATE("          ", "5037", " - ", "PURCHASES @ COST-WATER")</f>
        <v xml:space="preserve">          5037 - PURCHASES @ COST-WATER</v>
      </c>
      <c r="C59" s="11"/>
      <c r="D59" s="2"/>
      <c r="E59" s="2"/>
      <c r="F59" s="19">
        <f t="shared" si="8"/>
        <v>0</v>
      </c>
      <c r="G59" s="2"/>
      <c r="H59" s="2">
        <v>216.7</v>
      </c>
      <c r="I59" s="2"/>
      <c r="J59" s="19">
        <f t="shared" si="9"/>
        <v>4.5480694421153756E-3</v>
      </c>
      <c r="K59" s="2"/>
      <c r="L59" s="2">
        <f t="shared" si="10"/>
        <v>-216.7</v>
      </c>
      <c r="M59" s="2"/>
      <c r="N59" s="19">
        <f t="shared" si="11"/>
        <v>-1</v>
      </c>
      <c r="O59" s="11"/>
      <c r="P59" s="2">
        <v>3729.51</v>
      </c>
      <c r="Q59" s="2"/>
      <c r="R59" s="19">
        <f t="shared" si="12"/>
        <v>1.1618667477151829E-2</v>
      </c>
      <c r="S59" s="2"/>
      <c r="T59" s="2">
        <v>4062.04</v>
      </c>
      <c r="U59" s="2"/>
      <c r="V59" s="19">
        <f t="shared" si="13"/>
        <v>1.2933321298012532E-2</v>
      </c>
      <c r="W59" s="2"/>
      <c r="X59" s="2">
        <f t="shared" si="14"/>
        <v>-332.52999999999975</v>
      </c>
      <c r="Y59" s="2"/>
      <c r="Z59" s="19">
        <f t="shared" si="15"/>
        <v>-8.1862807850242678E-2</v>
      </c>
    </row>
    <row r="60" spans="1:26" s="24" customFormat="1" hidden="1" outlineLevel="1" x14ac:dyDescent="0.25">
      <c r="A60" s="44"/>
      <c r="B60" s="11" t="str">
        <f>CONCATENATE("          ", "5081", " - ", "PURCHASES @ COST-ELECTRONICS")</f>
        <v xml:space="preserve">          5081 - PURCHASES @ COST-ELECTRONICS</v>
      </c>
      <c r="C60" s="11"/>
      <c r="D60" s="2">
        <v>119.66</v>
      </c>
      <c r="E60" s="2"/>
      <c r="F60" s="19">
        <f t="shared" si="8"/>
        <v>2.2945869149100591E-3</v>
      </c>
      <c r="G60" s="2"/>
      <c r="H60" s="2">
        <v>224.16</v>
      </c>
      <c r="I60" s="2"/>
      <c r="J60" s="19">
        <f t="shared" si="9"/>
        <v>4.7046388839159332E-3</v>
      </c>
      <c r="K60" s="2"/>
      <c r="L60" s="2">
        <f t="shared" si="10"/>
        <v>-104.5</v>
      </c>
      <c r="M60" s="2"/>
      <c r="N60" s="19">
        <f t="shared" si="11"/>
        <v>-0.46618486795146324</v>
      </c>
      <c r="O60" s="11"/>
      <c r="P60" s="2">
        <v>1891.21</v>
      </c>
      <c r="Q60" s="2"/>
      <c r="R60" s="19">
        <f t="shared" si="12"/>
        <v>5.8917498865707048E-3</v>
      </c>
      <c r="S60" s="2"/>
      <c r="T60" s="2">
        <v>2153.04</v>
      </c>
      <c r="U60" s="2"/>
      <c r="V60" s="19">
        <f t="shared" si="13"/>
        <v>6.8551658987781759E-3</v>
      </c>
      <c r="W60" s="2"/>
      <c r="X60" s="2">
        <f t="shared" si="14"/>
        <v>-261.82999999999993</v>
      </c>
      <c r="Y60" s="2"/>
      <c r="Z60" s="19">
        <f t="shared" si="15"/>
        <v>-0.12160944524950765</v>
      </c>
    </row>
    <row r="61" spans="1:26" s="24" customFormat="1" hidden="1" outlineLevel="1" x14ac:dyDescent="0.25">
      <c r="A61" s="44"/>
      <c r="B61" s="11" t="str">
        <f>CONCATENATE("          ", "5082", " - ", "PURCHASES @ COST-COMPUTER HARD")</f>
        <v xml:space="preserve">          5082 - PURCHASES @ COST-COMPUTER HARD</v>
      </c>
      <c r="C61" s="11"/>
      <c r="D61" s="2"/>
      <c r="E61" s="2"/>
      <c r="F61" s="19">
        <f t="shared" si="8"/>
        <v>0</v>
      </c>
      <c r="G61" s="2"/>
      <c r="H61" s="2">
        <v>174</v>
      </c>
      <c r="I61" s="2"/>
      <c r="J61" s="19">
        <f t="shared" si="9"/>
        <v>3.6518877846242522E-3</v>
      </c>
      <c r="K61" s="2"/>
      <c r="L61" s="2">
        <f t="shared" si="10"/>
        <v>-174</v>
      </c>
      <c r="M61" s="2"/>
      <c r="N61" s="19">
        <f t="shared" si="11"/>
        <v>-1</v>
      </c>
      <c r="O61" s="11"/>
      <c r="P61" s="2">
        <v>349.6</v>
      </c>
      <c r="Q61" s="2"/>
      <c r="R61" s="19">
        <f t="shared" si="12"/>
        <v>1.0891205949339938E-3</v>
      </c>
      <c r="S61" s="2"/>
      <c r="T61" s="2">
        <v>857</v>
      </c>
      <c r="U61" s="2"/>
      <c r="V61" s="19">
        <f t="shared" si="13"/>
        <v>2.7286428376866651E-3</v>
      </c>
      <c r="W61" s="2"/>
      <c r="X61" s="2">
        <f t="shared" si="14"/>
        <v>-507.4</v>
      </c>
      <c r="Y61" s="2"/>
      <c r="Z61" s="19">
        <f t="shared" si="15"/>
        <v>-0.59206534422403734</v>
      </c>
    </row>
    <row r="62" spans="1:26" s="24" customFormat="1" hidden="1" outlineLevel="1" x14ac:dyDescent="0.25">
      <c r="A62" s="44"/>
      <c r="B62" s="11" t="str">
        <f>CONCATENATE("          ", "5083", " - ", "PURCHASES @ COST-COMPUTER EQUI")</f>
        <v xml:space="preserve">          5083 - PURCHASES @ COST-COMPUTER EQUI</v>
      </c>
      <c r="C62" s="11"/>
      <c r="D62" s="2">
        <v>32.96</v>
      </c>
      <c r="E62" s="2"/>
      <c r="F62" s="19">
        <f t="shared" si="8"/>
        <v>6.3203731167838504E-4</v>
      </c>
      <c r="G62" s="2"/>
      <c r="H62" s="2">
        <v>146.15</v>
      </c>
      <c r="I62" s="2"/>
      <c r="J62" s="19">
        <f t="shared" si="9"/>
        <v>3.06737586047606E-3</v>
      </c>
      <c r="K62" s="2"/>
      <c r="L62" s="2">
        <f t="shared" si="10"/>
        <v>-113.19</v>
      </c>
      <c r="M62" s="2"/>
      <c r="N62" s="19">
        <f t="shared" si="11"/>
        <v>-0.77447827574409844</v>
      </c>
      <c r="O62" s="11"/>
      <c r="P62" s="2">
        <v>372.36</v>
      </c>
      <c r="Q62" s="2"/>
      <c r="R62" s="19">
        <f t="shared" si="12"/>
        <v>1.1600255856110467E-3</v>
      </c>
      <c r="S62" s="2"/>
      <c r="T62" s="2">
        <v>664.19</v>
      </c>
      <c r="U62" s="2"/>
      <c r="V62" s="19">
        <f t="shared" si="13"/>
        <v>2.1147459584166931E-3</v>
      </c>
      <c r="W62" s="2"/>
      <c r="X62" s="2">
        <f t="shared" si="14"/>
        <v>-291.83000000000004</v>
      </c>
      <c r="Y62" s="2"/>
      <c r="Z62" s="19">
        <f t="shared" si="15"/>
        <v>-0.43937728661979253</v>
      </c>
    </row>
    <row r="63" spans="1:26" s="24" customFormat="1" hidden="1" outlineLevel="1" x14ac:dyDescent="0.25">
      <c r="A63" s="44"/>
      <c r="B63" s="11" t="str">
        <f>CONCATENATE("          ", "5086", " - ", "PURCHASES @ COST-COMPUTER SUPP")</f>
        <v xml:space="preserve">          5086 - PURCHASES @ COST-COMPUTER SUPP</v>
      </c>
      <c r="C63" s="11"/>
      <c r="D63" s="2">
        <v>36.979999999999997</v>
      </c>
      <c r="E63" s="2"/>
      <c r="F63" s="19">
        <f t="shared" si="8"/>
        <v>7.091243867071201E-4</v>
      </c>
      <c r="G63" s="2"/>
      <c r="H63" s="2">
        <v>62.91</v>
      </c>
      <c r="I63" s="2"/>
      <c r="J63" s="19">
        <f t="shared" si="9"/>
        <v>1.3203463248891475E-3</v>
      </c>
      <c r="K63" s="2"/>
      <c r="L63" s="2">
        <f t="shared" si="10"/>
        <v>-25.93</v>
      </c>
      <c r="M63" s="2"/>
      <c r="N63" s="19">
        <f t="shared" si="11"/>
        <v>-0.41217612462247655</v>
      </c>
      <c r="O63" s="11"/>
      <c r="P63" s="2">
        <v>416.24</v>
      </c>
      <c r="Q63" s="2"/>
      <c r="R63" s="19">
        <f t="shared" si="12"/>
        <v>1.2967264200095126E-3</v>
      </c>
      <c r="S63" s="2"/>
      <c r="T63" s="2">
        <v>698.09</v>
      </c>
      <c r="U63" s="2"/>
      <c r="V63" s="19">
        <f t="shared" si="13"/>
        <v>2.2226817719494564E-3</v>
      </c>
      <c r="W63" s="2"/>
      <c r="X63" s="2">
        <f t="shared" si="14"/>
        <v>-281.85000000000002</v>
      </c>
      <c r="Y63" s="2"/>
      <c r="Z63" s="19">
        <f t="shared" si="15"/>
        <v>-0.40374450285779773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-37038</v>
      </c>
      <c r="E64" s="2"/>
      <c r="F64" s="19">
        <f t="shared" si="8"/>
        <v>-0.71023658828713665</v>
      </c>
      <c r="G64" s="2"/>
      <c r="H64" s="2">
        <v>-45912</v>
      </c>
      <c r="I64" s="2"/>
      <c r="J64" s="19">
        <f t="shared" si="9"/>
        <v>-0.96359466648085434</v>
      </c>
      <c r="K64" s="2"/>
      <c r="L64" s="2">
        <f t="shared" si="10"/>
        <v>8874</v>
      </c>
      <c r="M64" s="2"/>
      <c r="N64" s="19">
        <f t="shared" si="11"/>
        <v>-0.19328280188186095</v>
      </c>
      <c r="O64" s="11"/>
      <c r="P64" s="2">
        <v>-185268</v>
      </c>
      <c r="Q64" s="2"/>
      <c r="R64" s="19">
        <f t="shared" si="12"/>
        <v>-0.57717160864482597</v>
      </c>
      <c r="S64" s="2"/>
      <c r="T64" s="2">
        <v>-186956</v>
      </c>
      <c r="U64" s="2"/>
      <c r="V64" s="19">
        <f t="shared" si="13"/>
        <v>-0.59525805176493363</v>
      </c>
      <c r="W64" s="2"/>
      <c r="X64" s="2">
        <f t="shared" si="14"/>
        <v>1688</v>
      </c>
      <c r="Y64" s="2"/>
      <c r="Z64" s="19">
        <f t="shared" si="15"/>
        <v>-9.0288624061276457E-3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27595</v>
      </c>
      <c r="E65" s="2"/>
      <c r="F65" s="19">
        <f t="shared" si="8"/>
        <v>0.52915866552685176</v>
      </c>
      <c r="G65" s="2"/>
      <c r="H65" s="2">
        <v>26041</v>
      </c>
      <c r="I65" s="2"/>
      <c r="J65" s="19">
        <f t="shared" si="9"/>
        <v>0.54654488390459854</v>
      </c>
      <c r="K65" s="2"/>
      <c r="L65" s="2">
        <f t="shared" si="10"/>
        <v>1554</v>
      </c>
      <c r="M65" s="2"/>
      <c r="N65" s="19">
        <f t="shared" si="11"/>
        <v>5.9675127683268693E-2</v>
      </c>
      <c r="O65" s="11"/>
      <c r="P65" s="2">
        <v>168705</v>
      </c>
      <c r="Q65" s="2"/>
      <c r="R65" s="19">
        <f t="shared" si="12"/>
        <v>0.52557233972637141</v>
      </c>
      <c r="S65" s="2"/>
      <c r="T65" s="2">
        <v>169369</v>
      </c>
      <c r="U65" s="2"/>
      <c r="V65" s="19">
        <f t="shared" si="13"/>
        <v>0.53926197056727276</v>
      </c>
      <c r="W65" s="2"/>
      <c r="X65" s="2">
        <f t="shared" si="14"/>
        <v>-664</v>
      </c>
      <c r="Y65" s="2"/>
      <c r="Z65" s="19">
        <f t="shared" si="15"/>
        <v>-3.9204340817977313E-3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/>
      <c r="E66" s="2"/>
      <c r="F66" s="19">
        <f t="shared" si="8"/>
        <v>0</v>
      </c>
      <c r="G66" s="2"/>
      <c r="H66" s="2"/>
      <c r="I66" s="2"/>
      <c r="J66" s="19">
        <f t="shared" si="9"/>
        <v>0</v>
      </c>
      <c r="K66" s="2"/>
      <c r="L66" s="2">
        <f t="shared" si="10"/>
        <v>0</v>
      </c>
      <c r="M66" s="2"/>
      <c r="N66" s="19">
        <f t="shared" si="11"/>
        <v>0</v>
      </c>
      <c r="O66" s="11"/>
      <c r="P66" s="2">
        <v>80</v>
      </c>
      <c r="Q66" s="2"/>
      <c r="R66" s="19">
        <f t="shared" si="12"/>
        <v>2.4922668076292765E-4</v>
      </c>
      <c r="S66" s="2"/>
      <c r="T66" s="2"/>
      <c r="U66" s="2"/>
      <c r="V66" s="19">
        <f t="shared" si="13"/>
        <v>0</v>
      </c>
      <c r="W66" s="2"/>
      <c r="X66" s="2">
        <f t="shared" si="14"/>
        <v>80</v>
      </c>
      <c r="Y66" s="2"/>
      <c r="Z66" s="19">
        <f t="shared" si="15"/>
        <v>0</v>
      </c>
    </row>
    <row r="67" spans="1:26" s="24" customFormat="1" hidden="1" outlineLevel="1" x14ac:dyDescent="0.25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>
        <v>249.01</v>
      </c>
      <c r="E67" s="2"/>
      <c r="F67" s="19">
        <f t="shared" si="8"/>
        <v>4.7749881972401296E-3</v>
      </c>
      <c r="G67" s="2"/>
      <c r="H67" s="2"/>
      <c r="I67" s="2"/>
      <c r="J67" s="19">
        <f t="shared" si="9"/>
        <v>0</v>
      </c>
      <c r="K67" s="2"/>
      <c r="L67" s="2">
        <f t="shared" si="10"/>
        <v>249.01</v>
      </c>
      <c r="M67" s="2"/>
      <c r="N67" s="19">
        <f t="shared" si="11"/>
        <v>0</v>
      </c>
      <c r="O67" s="11"/>
      <c r="P67" s="2">
        <v>261.52999999999997</v>
      </c>
      <c r="Q67" s="2"/>
      <c r="R67" s="19">
        <f t="shared" si="12"/>
        <v>8.147531727491058E-4</v>
      </c>
      <c r="S67" s="2"/>
      <c r="T67" s="2">
        <v>88.48</v>
      </c>
      <c r="U67" s="2"/>
      <c r="V67" s="19">
        <f t="shared" si="13"/>
        <v>2.8171565726781345E-4</v>
      </c>
      <c r="W67" s="2"/>
      <c r="X67" s="2">
        <f t="shared" si="14"/>
        <v>173.04999999999995</v>
      </c>
      <c r="Y67" s="2"/>
      <c r="Z67" s="19">
        <f t="shared" si="15"/>
        <v>1.9558092224231458</v>
      </c>
    </row>
    <row r="68" spans="1:26" s="24" customFormat="1" hidden="1" outlineLevel="1" x14ac:dyDescent="0.25">
      <c r="A68" s="44"/>
      <c r="B68" s="11" t="str">
        <f>CONCATENATE("          ", "5528", " - ", "FREIGHT-IN-ART/TECH")</f>
        <v xml:space="preserve">          5528 - FREIGHT-IN-ART/TECH</v>
      </c>
      <c r="C68" s="11"/>
      <c r="D68" s="2">
        <v>220.82</v>
      </c>
      <c r="E68" s="2"/>
      <c r="F68" s="19">
        <f t="shared" si="8"/>
        <v>4.234419877573452E-3</v>
      </c>
      <c r="G68" s="2"/>
      <c r="H68" s="2">
        <v>537.45000000000005</v>
      </c>
      <c r="I68" s="2"/>
      <c r="J68" s="19">
        <f t="shared" si="9"/>
        <v>1.1279925803714393E-2</v>
      </c>
      <c r="K68" s="2"/>
      <c r="L68" s="2">
        <f t="shared" si="10"/>
        <v>-316.63000000000005</v>
      </c>
      <c r="M68" s="2"/>
      <c r="N68" s="19">
        <f t="shared" si="11"/>
        <v>-0.58913387291841102</v>
      </c>
      <c r="O68" s="11"/>
      <c r="P68" s="2">
        <v>1274.55</v>
      </c>
      <c r="Q68" s="2"/>
      <c r="R68" s="19">
        <f t="shared" si="12"/>
        <v>3.9706483245798676E-3</v>
      </c>
      <c r="S68" s="2"/>
      <c r="T68" s="2">
        <v>5179.2</v>
      </c>
      <c r="U68" s="2"/>
      <c r="V68" s="19">
        <f t="shared" si="13"/>
        <v>1.6490299865748861E-2</v>
      </c>
      <c r="W68" s="2"/>
      <c r="X68" s="2">
        <f t="shared" si="14"/>
        <v>-3904.6499999999996</v>
      </c>
      <c r="Y68" s="2"/>
      <c r="Z68" s="19">
        <f t="shared" si="15"/>
        <v>-0.75390987025023171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6</v>
      </c>
      <c r="C70" s="28"/>
      <c r="D70" s="21">
        <f>D12-D48</f>
        <v>24554.519999999993</v>
      </c>
      <c r="E70" s="14"/>
      <c r="F70" s="22">
        <f>IF(D$12=0,0,D70/D$12)</f>
        <v>0.47085475759566553</v>
      </c>
      <c r="G70" s="14"/>
      <c r="H70" s="21">
        <f>H12-H48</f>
        <v>21605.909999999985</v>
      </c>
      <c r="I70" s="14"/>
      <c r="J70" s="22">
        <f>IF(H$12=0,0,H70/H$12)</f>
        <v>0.45346183221086733</v>
      </c>
      <c r="K70" s="16"/>
      <c r="L70" s="21">
        <f>+D70-H70</f>
        <v>2948.6100000000079</v>
      </c>
      <c r="M70" s="16"/>
      <c r="N70" s="22">
        <f>IF(H70=0,0,L70/H70)</f>
        <v>0.13647238186218538</v>
      </c>
      <c r="O70" s="29"/>
      <c r="P70" s="21">
        <f>P12-P48</f>
        <v>152211.61000000013</v>
      </c>
      <c r="Q70" s="14"/>
      <c r="R70" s="22">
        <f>IF(P$12=0,0,P70/P$12)</f>
        <v>0.47418992917351599</v>
      </c>
      <c r="S70" s="14"/>
      <c r="T70" s="21">
        <f>T12-T48</f>
        <v>144702.73999999996</v>
      </c>
      <c r="U70" s="14"/>
      <c r="V70" s="22">
        <f>IF(T$12=0,0,T70/T$12)</f>
        <v>0.4607258985935071</v>
      </c>
      <c r="W70" s="16"/>
      <c r="X70" s="21">
        <f>+P70-T70</f>
        <v>7508.87000000017</v>
      </c>
      <c r="Y70" s="16"/>
      <c r="Z70" s="22">
        <f>IF(T70=0,0,X70/T70)</f>
        <v>5.1891691891944633E-2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9</v>
      </c>
      <c r="C72" s="10"/>
      <c r="D72" s="20">
        <f>SUM(OSRRefD22x_0)</f>
        <v>13247.869999999995</v>
      </c>
      <c r="E72" s="20"/>
      <c r="F72" s="32">
        <f t="shared" ref="F72:F81" si="16">IF(D$12=0,0,D72/D$12)</f>
        <v>0.25403968872162391</v>
      </c>
      <c r="G72" s="20"/>
      <c r="H72" s="20">
        <f>SUM(OSRRefH22x_0)</f>
        <v>12667.65</v>
      </c>
      <c r="I72" s="20"/>
      <c r="J72" s="32">
        <f t="shared" ref="J72:J81" si="17">IF(H$12=0,0,H72/H$12)</f>
        <v>0.26586687525801955</v>
      </c>
      <c r="K72" s="4"/>
      <c r="L72" s="20">
        <f t="shared" ref="L72:L81" si="18">+D72-H72</f>
        <v>580.21999999999571</v>
      </c>
      <c r="M72" s="4"/>
      <c r="N72" s="32">
        <f t="shared" ref="N72:N81" si="19">IF(H72=0,0,L72/H72)</f>
        <v>4.5803286323824521E-2</v>
      </c>
      <c r="O72" s="10"/>
      <c r="P72" s="20">
        <f>SUM(OSRRefP22x_0)</f>
        <v>83917.210000000021</v>
      </c>
      <c r="Q72" s="20"/>
      <c r="R72" s="32">
        <f t="shared" ref="R72:R81" si="20">IF(P$12=0,0,P72/P$12)</f>
        <v>0.26143009633981956</v>
      </c>
      <c r="S72" s="20"/>
      <c r="T72" s="20">
        <f>SUM(OSRRefT22x_0)</f>
        <v>77134.45</v>
      </c>
      <c r="U72" s="20"/>
      <c r="V72" s="32">
        <f t="shared" ref="V72:V81" si="21">IF(T$12=0,0,T72/T$12)</f>
        <v>0.24559202395729307</v>
      </c>
      <c r="W72" s="4"/>
      <c r="X72" s="20">
        <f t="shared" ref="X72:X81" si="22">+P72-T72</f>
        <v>6782.7600000000239</v>
      </c>
      <c r="Y72" s="4"/>
      <c r="Z72" s="32">
        <f t="shared" ref="Z72:Z81" si="23">IF(T72=0,0,X72/T72)</f>
        <v>8.7934249871490941E-2</v>
      </c>
    </row>
    <row r="73" spans="1:26" s="26" customFormat="1" outlineLevel="1" collapsed="1" x14ac:dyDescent="0.25">
      <c r="A73" s="27"/>
      <c r="B73" s="13" t="str">
        <f>CONCATENATE("     ","*Benefits                                         ")</f>
        <v xml:space="preserve">     *Benefits                                         </v>
      </c>
      <c r="C73" s="13"/>
      <c r="D73" s="1">
        <f>SUM(OSRRefD22_0x_0)</f>
        <v>2037.05</v>
      </c>
      <c r="E73" s="1"/>
      <c r="F73" s="5">
        <f t="shared" si="16"/>
        <v>3.9062245320220096E-2</v>
      </c>
      <c r="G73" s="1"/>
      <c r="H73" s="1">
        <f>SUM(OSRRefH22_0x_0)</f>
        <v>1889.9199999999998</v>
      </c>
      <c r="I73" s="1"/>
      <c r="J73" s="5">
        <f t="shared" si="17"/>
        <v>3.9665377942052105E-2</v>
      </c>
      <c r="K73" s="1"/>
      <c r="L73" s="1">
        <f t="shared" si="18"/>
        <v>147.13000000000011</v>
      </c>
      <c r="M73" s="1"/>
      <c r="N73" s="5">
        <f t="shared" si="19"/>
        <v>7.7849856078564234E-2</v>
      </c>
      <c r="O73" s="13"/>
      <c r="P73" s="1">
        <f>SUM(OSRRefP22_0x_0)</f>
        <v>13641.510000000002</v>
      </c>
      <c r="Q73" s="1"/>
      <c r="R73" s="5">
        <f t="shared" si="20"/>
        <v>4.2497853223678571E-2</v>
      </c>
      <c r="S73" s="1"/>
      <c r="T73" s="1">
        <f>SUM(OSRRefT22_0x_0)</f>
        <v>12612.460000000001</v>
      </c>
      <c r="U73" s="1"/>
      <c r="V73" s="5">
        <f t="shared" si="21"/>
        <v>4.0157407986708936E-2</v>
      </c>
      <c r="W73" s="1"/>
      <c r="X73" s="1">
        <f t="shared" si="22"/>
        <v>1029.0500000000011</v>
      </c>
      <c r="Y73" s="1"/>
      <c r="Z73" s="5">
        <f t="shared" si="23"/>
        <v>8.1589951524127804E-2</v>
      </c>
    </row>
    <row r="74" spans="1:26" s="24" customFormat="1" hidden="1" outlineLevel="2" x14ac:dyDescent="0.25">
      <c r="A74" s="25"/>
      <c r="B74" s="11" t="str">
        <f>CONCATENATE("          ", "6111", " - ", "F.I.C.A.")</f>
        <v xml:space="preserve">          6111 - F.I.C.A.</v>
      </c>
      <c r="C74" s="11"/>
      <c r="D74" s="6">
        <v>241.95</v>
      </c>
      <c r="E74" s="2"/>
      <c r="F74" s="7">
        <f t="shared" si="16"/>
        <v>4.6396064187070769E-3</v>
      </c>
      <c r="G74" s="2"/>
      <c r="H74" s="6">
        <v>237.92</v>
      </c>
      <c r="I74" s="2"/>
      <c r="J74" s="7">
        <f t="shared" si="17"/>
        <v>4.993431848952885E-3</v>
      </c>
      <c r="K74" s="2"/>
      <c r="L74" s="6">
        <f t="shared" si="18"/>
        <v>4.0300000000000011</v>
      </c>
      <c r="M74" s="2"/>
      <c r="N74" s="7">
        <f t="shared" si="19"/>
        <v>1.6938466711499671E-2</v>
      </c>
      <c r="O74" s="11"/>
      <c r="P74" s="6">
        <v>2019.38</v>
      </c>
      <c r="Q74" s="2"/>
      <c r="R74" s="7">
        <f t="shared" si="20"/>
        <v>6.291042182488011E-3</v>
      </c>
      <c r="S74" s="2"/>
      <c r="T74" s="6">
        <v>2710.82</v>
      </c>
      <c r="U74" s="2"/>
      <c r="V74" s="7">
        <f t="shared" si="21"/>
        <v>8.6311080248048615E-3</v>
      </c>
      <c r="W74" s="2"/>
      <c r="X74" s="6">
        <f t="shared" si="22"/>
        <v>-691.44</v>
      </c>
      <c r="Y74" s="2"/>
      <c r="Z74" s="7">
        <f t="shared" si="23"/>
        <v>-0.25506673257538309</v>
      </c>
    </row>
    <row r="75" spans="1:26" s="24" customFormat="1" hidden="1" outlineLevel="2" x14ac:dyDescent="0.25">
      <c r="A75" s="25"/>
      <c r="B75" s="11" t="str">
        <f>CONCATENATE("          ", "6112", " - ", "COMPENSATION INSURANCE")</f>
        <v xml:space="preserve">          6112 - COMPENSATION INSURANCE</v>
      </c>
      <c r="C75" s="11"/>
      <c r="D75" s="6">
        <v>99.94</v>
      </c>
      <c r="E75" s="2"/>
      <c r="F75" s="7">
        <f t="shared" si="16"/>
        <v>1.9164383777044236E-3</v>
      </c>
      <c r="G75" s="2"/>
      <c r="H75" s="6">
        <v>77.14</v>
      </c>
      <c r="I75" s="2"/>
      <c r="J75" s="7">
        <f t="shared" si="17"/>
        <v>1.6190035845167518E-3</v>
      </c>
      <c r="K75" s="2"/>
      <c r="L75" s="6">
        <f t="shared" si="18"/>
        <v>22.799999999999997</v>
      </c>
      <c r="M75" s="2"/>
      <c r="N75" s="7">
        <f t="shared" si="19"/>
        <v>0.29556650246305416</v>
      </c>
      <c r="O75" s="11"/>
      <c r="P75" s="6">
        <v>911.41</v>
      </c>
      <c r="Q75" s="2"/>
      <c r="R75" s="7">
        <f t="shared" si="20"/>
        <v>2.8393461139267486E-3</v>
      </c>
      <c r="S75" s="2"/>
      <c r="T75" s="6">
        <v>663.31</v>
      </c>
      <c r="U75" s="2"/>
      <c r="V75" s="7">
        <f t="shared" si="21"/>
        <v>2.1119440847910636E-3</v>
      </c>
      <c r="W75" s="2"/>
      <c r="X75" s="6">
        <f t="shared" si="22"/>
        <v>248.10000000000002</v>
      </c>
      <c r="Y75" s="2"/>
      <c r="Z75" s="7">
        <f t="shared" si="23"/>
        <v>0.3740332574512672</v>
      </c>
    </row>
    <row r="76" spans="1:26" s="24" customFormat="1" hidden="1" outlineLevel="2" x14ac:dyDescent="0.25">
      <c r="A76" s="25"/>
      <c r="B76" s="11" t="str">
        <f>CONCATENATE("          ", "6113", " - ", "GROUP INSURANCE")</f>
        <v xml:space="preserve">          6113 - GROUP INSURANCE</v>
      </c>
      <c r="C76" s="11"/>
      <c r="D76" s="6">
        <v>1024.02</v>
      </c>
      <c r="E76" s="2"/>
      <c r="F76" s="7">
        <f t="shared" si="16"/>
        <v>1.9636494171871962E-2</v>
      </c>
      <c r="G76" s="2"/>
      <c r="H76" s="6">
        <v>488.51</v>
      </c>
      <c r="I76" s="2"/>
      <c r="J76" s="7">
        <f t="shared" si="17"/>
        <v>1.0252779894636743E-2</v>
      </c>
      <c r="K76" s="2"/>
      <c r="L76" s="6">
        <f t="shared" si="18"/>
        <v>535.51</v>
      </c>
      <c r="M76" s="2"/>
      <c r="N76" s="7">
        <f t="shared" si="19"/>
        <v>1.0962109271048699</v>
      </c>
      <c r="O76" s="11"/>
      <c r="P76" s="6">
        <v>6085.5</v>
      </c>
      <c r="Q76" s="2"/>
      <c r="R76" s="7">
        <f t="shared" si="20"/>
        <v>1.8958362072284952E-2</v>
      </c>
      <c r="S76" s="2"/>
      <c r="T76" s="6">
        <v>3644.81</v>
      </c>
      <c r="U76" s="2"/>
      <c r="V76" s="7">
        <f t="shared" si="21"/>
        <v>1.1604882965261066E-2</v>
      </c>
      <c r="W76" s="2"/>
      <c r="X76" s="6">
        <f t="shared" si="22"/>
        <v>2440.69</v>
      </c>
      <c r="Y76" s="2"/>
      <c r="Z76" s="7">
        <f t="shared" si="23"/>
        <v>0.66963435679774808</v>
      </c>
    </row>
    <row r="77" spans="1:26" s="24" customFormat="1" hidden="1" outlineLevel="2" x14ac:dyDescent="0.25">
      <c r="A77" s="25"/>
      <c r="B77" s="11" t="str">
        <f>CONCATENATE("          ", "6114", " - ", "STATE UNEMPLOYMENT INSURANCE")</f>
        <v xml:space="preserve">          6114 - STATE UNEMPLOYMENT INSURANCE</v>
      </c>
      <c r="C77" s="11"/>
      <c r="D77" s="6">
        <v>13.68</v>
      </c>
      <c r="E77" s="2"/>
      <c r="F77" s="7">
        <f t="shared" si="16"/>
        <v>2.6232616576942679E-4</v>
      </c>
      <c r="G77" s="2"/>
      <c r="H77" s="6">
        <v>16.850000000000001</v>
      </c>
      <c r="I77" s="2"/>
      <c r="J77" s="7">
        <f t="shared" si="17"/>
        <v>3.5364545500527958E-4</v>
      </c>
      <c r="K77" s="2"/>
      <c r="L77" s="6">
        <f t="shared" si="18"/>
        <v>-3.1700000000000017</v>
      </c>
      <c r="M77" s="2"/>
      <c r="N77" s="7">
        <f t="shared" si="19"/>
        <v>-0.18813056379821966</v>
      </c>
      <c r="O77" s="11"/>
      <c r="P77" s="6">
        <v>147.12</v>
      </c>
      <c r="Q77" s="2"/>
      <c r="R77" s="7">
        <f t="shared" si="20"/>
        <v>4.5832786592302395E-4</v>
      </c>
      <c r="S77" s="2"/>
      <c r="T77" s="6">
        <v>144.91999999999999</v>
      </c>
      <c r="U77" s="2"/>
      <c r="V77" s="7">
        <f t="shared" si="21"/>
        <v>4.6141764298430739E-4</v>
      </c>
      <c r="W77" s="2"/>
      <c r="X77" s="6">
        <f t="shared" si="22"/>
        <v>2.2000000000000171</v>
      </c>
      <c r="Y77" s="2"/>
      <c r="Z77" s="7">
        <f t="shared" si="23"/>
        <v>1.5180789401048974E-2</v>
      </c>
    </row>
    <row r="78" spans="1:26" s="24" customFormat="1" hidden="1" outlineLevel="2" x14ac:dyDescent="0.25">
      <c r="A78" s="25"/>
      <c r="B78" s="11" t="str">
        <f>CONCATENATE("          ", "6115", " - ", "P.E.R.S.")</f>
        <v xml:space="preserve">          6115 - P.E.R.S.</v>
      </c>
      <c r="C78" s="11"/>
      <c r="D78" s="6">
        <v>233.73</v>
      </c>
      <c r="E78" s="2"/>
      <c r="F78" s="7">
        <f t="shared" si="16"/>
        <v>4.4819806085736932E-3</v>
      </c>
      <c r="G78" s="2"/>
      <c r="H78" s="6">
        <v>290.97000000000003</v>
      </c>
      <c r="I78" s="2"/>
      <c r="J78" s="7">
        <f t="shared" si="17"/>
        <v>6.1068378660466592E-3</v>
      </c>
      <c r="K78" s="2"/>
      <c r="L78" s="6">
        <f t="shared" si="18"/>
        <v>-57.240000000000038</v>
      </c>
      <c r="M78" s="2"/>
      <c r="N78" s="7">
        <f t="shared" si="19"/>
        <v>-0.19672131147540994</v>
      </c>
      <c r="O78" s="11"/>
      <c r="P78" s="6">
        <v>1476.85</v>
      </c>
      <c r="Q78" s="2"/>
      <c r="R78" s="7">
        <f t="shared" si="20"/>
        <v>4.6008802935591214E-3</v>
      </c>
      <c r="S78" s="2"/>
      <c r="T78" s="6">
        <v>1790.03</v>
      </c>
      <c r="U78" s="2"/>
      <c r="V78" s="7">
        <f t="shared" si="21"/>
        <v>5.6993611887330934E-3</v>
      </c>
      <c r="W78" s="2"/>
      <c r="X78" s="6">
        <f t="shared" si="22"/>
        <v>-313.18000000000006</v>
      </c>
      <c r="Y78" s="2"/>
      <c r="Z78" s="7">
        <f t="shared" si="23"/>
        <v>-0.17495796159840901</v>
      </c>
    </row>
    <row r="79" spans="1:26" s="24" customFormat="1" hidden="1" outlineLevel="2" x14ac:dyDescent="0.25">
      <c r="A79" s="25"/>
      <c r="B79" s="11" t="str">
        <f>CONCATENATE("          ", "6118", " - ", "VACATION")</f>
        <v xml:space="preserve">          6118 - VACATION</v>
      </c>
      <c r="C79" s="11"/>
      <c r="D79" s="6">
        <v>145.84</v>
      </c>
      <c r="E79" s="2"/>
      <c r="F79" s="7">
        <f t="shared" si="16"/>
        <v>2.7966116970623688E-3</v>
      </c>
      <c r="G79" s="2"/>
      <c r="H79" s="6">
        <v>267.14</v>
      </c>
      <c r="I79" s="2"/>
      <c r="J79" s="7">
        <f t="shared" si="17"/>
        <v>5.6066971424397856E-3</v>
      </c>
      <c r="K79" s="2"/>
      <c r="L79" s="6">
        <f t="shared" si="18"/>
        <v>-121.29999999999998</v>
      </c>
      <c r="M79" s="2"/>
      <c r="N79" s="7">
        <f t="shared" si="19"/>
        <v>-0.45406902747622963</v>
      </c>
      <c r="O79" s="11"/>
      <c r="P79" s="6">
        <v>1395.16</v>
      </c>
      <c r="Q79" s="2"/>
      <c r="R79" s="7">
        <f t="shared" si="20"/>
        <v>4.346388699165077E-3</v>
      </c>
      <c r="S79" s="2"/>
      <c r="T79" s="6">
        <v>1076.4100000000001</v>
      </c>
      <c r="U79" s="2"/>
      <c r="V79" s="7">
        <f t="shared" si="21"/>
        <v>3.427232715185885E-3</v>
      </c>
      <c r="W79" s="2"/>
      <c r="X79" s="6">
        <f t="shared" si="22"/>
        <v>318.75</v>
      </c>
      <c r="Y79" s="2"/>
      <c r="Z79" s="7">
        <f t="shared" si="23"/>
        <v>0.29612322442192102</v>
      </c>
    </row>
    <row r="80" spans="1:26" s="24" customFormat="1" hidden="1" outlineLevel="2" x14ac:dyDescent="0.25">
      <c r="A80" s="25"/>
      <c r="B80" s="11" t="str">
        <f>CONCATENATE("          ", "6119", " - ", "SICK LEAVE")</f>
        <v xml:space="preserve">          6119 - SICK LEAVE</v>
      </c>
      <c r="C80" s="11"/>
      <c r="D80" s="6">
        <v>102.89</v>
      </c>
      <c r="E80" s="2"/>
      <c r="F80" s="7">
        <f t="shared" si="16"/>
        <v>1.973007251170784E-3</v>
      </c>
      <c r="G80" s="2"/>
      <c r="H80" s="6">
        <v>362.19</v>
      </c>
      <c r="I80" s="2"/>
      <c r="J80" s="7">
        <f t="shared" si="17"/>
        <v>7.6015933144428609E-3</v>
      </c>
      <c r="K80" s="2"/>
      <c r="L80" s="6">
        <f t="shared" si="18"/>
        <v>-259.3</v>
      </c>
      <c r="M80" s="2"/>
      <c r="N80" s="7">
        <f t="shared" si="19"/>
        <v>-0.71592258207018422</v>
      </c>
      <c r="O80" s="11"/>
      <c r="P80" s="6">
        <v>479.03</v>
      </c>
      <c r="Q80" s="2"/>
      <c r="R80" s="7">
        <f t="shared" si="20"/>
        <v>1.4923382110733152E-3</v>
      </c>
      <c r="S80" s="2"/>
      <c r="T80" s="6">
        <v>1534.22</v>
      </c>
      <c r="U80" s="2"/>
      <c r="V80" s="7">
        <f t="shared" si="21"/>
        <v>4.8848756294464822E-3</v>
      </c>
      <c r="W80" s="2"/>
      <c r="X80" s="6">
        <f t="shared" si="22"/>
        <v>-1055.19</v>
      </c>
      <c r="Y80" s="2"/>
      <c r="Z80" s="7">
        <f t="shared" si="23"/>
        <v>-0.68776968101054614</v>
      </c>
    </row>
    <row r="81" spans="1:26" s="24" customFormat="1" hidden="1" outlineLevel="2" x14ac:dyDescent="0.25">
      <c r="A81" s="25"/>
      <c r="B81" s="11" t="str">
        <f>CONCATENATE("          ", "6156", " - ", "EMPLOYEE MEALS")</f>
        <v xml:space="preserve">          6156 - EMPLOYEE MEALS</v>
      </c>
      <c r="C81" s="11"/>
      <c r="D81" s="6">
        <v>175</v>
      </c>
      <c r="E81" s="2"/>
      <c r="F81" s="7">
        <f t="shared" si="16"/>
        <v>3.3557806293603577E-3</v>
      </c>
      <c r="G81" s="2"/>
      <c r="H81" s="6">
        <v>149.19999999999999</v>
      </c>
      <c r="I81" s="2"/>
      <c r="J81" s="7">
        <f t="shared" si="17"/>
        <v>3.1313888360111398E-3</v>
      </c>
      <c r="K81" s="2"/>
      <c r="L81" s="6">
        <f t="shared" si="18"/>
        <v>25.800000000000011</v>
      </c>
      <c r="M81" s="2"/>
      <c r="N81" s="7">
        <f t="shared" si="19"/>
        <v>0.17292225201072395</v>
      </c>
      <c r="O81" s="11"/>
      <c r="P81" s="6">
        <v>1127.06</v>
      </c>
      <c r="Q81" s="2"/>
      <c r="R81" s="7">
        <f t="shared" si="20"/>
        <v>3.5111677852583153E-3</v>
      </c>
      <c r="S81" s="2"/>
      <c r="T81" s="6">
        <v>1047.94</v>
      </c>
      <c r="U81" s="2"/>
      <c r="V81" s="7">
        <f t="shared" si="21"/>
        <v>3.3365857355021748E-3</v>
      </c>
      <c r="W81" s="2"/>
      <c r="X81" s="6">
        <f t="shared" si="22"/>
        <v>79.119999999999891</v>
      </c>
      <c r="Y81" s="2"/>
      <c r="Z81" s="7">
        <f t="shared" si="23"/>
        <v>7.5500505754146116E-2</v>
      </c>
    </row>
    <row r="82" spans="1:26" s="26" customFormat="1" outlineLevel="1" collapsed="1" x14ac:dyDescent="0.25">
      <c r="A82" s="27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8939.4599999999991</v>
      </c>
      <c r="E82" s="1"/>
      <c r="F82" s="5">
        <f t="shared" ref="F82:F86" si="24">IF(D$12=0,0,D82/D$12)</f>
        <v>0.17142209545680995</v>
      </c>
      <c r="G82" s="1"/>
      <c r="H82" s="1">
        <f>SUM(OSRRefH22_1x_0)</f>
        <v>8666.3799999999992</v>
      </c>
      <c r="I82" s="1"/>
      <c r="J82" s="5">
        <f t="shared" ref="J82:J86" si="25">IF(H$12=0,0,H82/H$12)</f>
        <v>0.18188877735006853</v>
      </c>
      <c r="K82" s="1"/>
      <c r="L82" s="1">
        <f t="shared" ref="L82:L86" si="26">+D82-H82</f>
        <v>273.07999999999993</v>
      </c>
      <c r="M82" s="1"/>
      <c r="N82" s="5">
        <f t="shared" ref="N82:N86" si="27">IF(H82=0,0,L82/H82)</f>
        <v>3.1510273032107981E-2</v>
      </c>
      <c r="O82" s="13"/>
      <c r="P82" s="1">
        <f>SUM(OSRRefP22_1x_0)</f>
        <v>56579.5</v>
      </c>
      <c r="Q82" s="1"/>
      <c r="R82" s="5">
        <f t="shared" ref="R82:R86" si="28">IF(P$12=0,0,P82/P$12)</f>
        <v>0.17626401230282582</v>
      </c>
      <c r="S82" s="1"/>
      <c r="T82" s="1">
        <f>SUM(OSRRefT22_1x_0)</f>
        <v>50241.979999999996</v>
      </c>
      <c r="U82" s="1"/>
      <c r="V82" s="5">
        <f t="shared" ref="V82:V86" si="29">IF(T$12=0,0,T82/T$12)</f>
        <v>0.15996781666067289</v>
      </c>
      <c r="W82" s="1"/>
      <c r="X82" s="1">
        <f t="shared" ref="X82:X86" si="30">+P82-T82</f>
        <v>6337.5200000000041</v>
      </c>
      <c r="Y82" s="1"/>
      <c r="Z82" s="5">
        <f t="shared" ref="Z82:Z86" si="31">IF(T82=0,0,X82/T82)</f>
        <v>0.12613993317938513</v>
      </c>
    </row>
    <row r="83" spans="1:26" s="24" customFormat="1" hidden="1" outlineLevel="2" x14ac:dyDescent="0.25">
      <c r="A83" s="25"/>
      <c r="B83" s="11" t="str">
        <f>CONCATENATE("          ", "6002", " - ", "STAFF SALARIES")</f>
        <v xml:space="preserve">          6002 - STAFF SALARIES</v>
      </c>
      <c r="C83" s="11"/>
      <c r="D83" s="6">
        <v>3122.7</v>
      </c>
      <c r="E83" s="2"/>
      <c r="F83" s="7">
        <f t="shared" si="24"/>
        <v>5.9880549550306215E-2</v>
      </c>
      <c r="G83" s="2"/>
      <c r="H83" s="6">
        <v>3473.06</v>
      </c>
      <c r="I83" s="2"/>
      <c r="J83" s="7">
        <f t="shared" si="25"/>
        <v>7.289209993831669E-2</v>
      </c>
      <c r="K83" s="2"/>
      <c r="L83" s="6">
        <f t="shared" si="26"/>
        <v>-350.36000000000013</v>
      </c>
      <c r="M83" s="2"/>
      <c r="N83" s="7">
        <f t="shared" si="27"/>
        <v>-0.10087933983288516</v>
      </c>
      <c r="O83" s="11"/>
      <c r="P83" s="6">
        <v>18958.72</v>
      </c>
      <c r="Q83" s="2"/>
      <c r="R83" s="7">
        <f t="shared" si="28"/>
        <v>5.9062735713921649E-2</v>
      </c>
      <c r="S83" s="2"/>
      <c r="T83" s="6">
        <v>20225.38</v>
      </c>
      <c r="U83" s="2"/>
      <c r="V83" s="7">
        <f t="shared" si="29"/>
        <v>6.4396544079919626E-2</v>
      </c>
      <c r="W83" s="2"/>
      <c r="X83" s="6">
        <f t="shared" si="30"/>
        <v>-1266.6599999999999</v>
      </c>
      <c r="Y83" s="2"/>
      <c r="Z83" s="7">
        <f t="shared" si="31"/>
        <v>-6.2627253480527917E-2</v>
      </c>
    </row>
    <row r="84" spans="1:26" s="24" customFormat="1" hidden="1" outlineLevel="2" x14ac:dyDescent="0.25">
      <c r="A84" s="25"/>
      <c r="B84" s="11" t="str">
        <f>CONCATENATE("          ", "6005", " - ", "TEMPORARY WAGES-HOURLY")</f>
        <v xml:space="preserve">          6005 - TEMPORARY WAGES-HOURLY</v>
      </c>
      <c r="C84" s="11"/>
      <c r="D84" s="6">
        <v>937.07</v>
      </c>
      <c r="E84" s="2"/>
      <c r="F84" s="7">
        <f t="shared" si="24"/>
        <v>1.7969150596312631E-2</v>
      </c>
      <c r="G84" s="2"/>
      <c r="H84" s="6"/>
      <c r="I84" s="2"/>
      <c r="J84" s="7">
        <f t="shared" si="25"/>
        <v>0</v>
      </c>
      <c r="K84" s="2"/>
      <c r="L84" s="6">
        <f t="shared" si="26"/>
        <v>937.07</v>
      </c>
      <c r="M84" s="2"/>
      <c r="N84" s="7">
        <f t="shared" si="27"/>
        <v>0</v>
      </c>
      <c r="O84" s="11"/>
      <c r="P84" s="6">
        <v>3713.84</v>
      </c>
      <c r="Q84" s="2"/>
      <c r="R84" s="7">
        <f t="shared" si="28"/>
        <v>1.1569850201057391E-2</v>
      </c>
      <c r="S84" s="2"/>
      <c r="T84" s="6"/>
      <c r="U84" s="2"/>
      <c r="V84" s="7">
        <f t="shared" si="29"/>
        <v>0</v>
      </c>
      <c r="W84" s="2"/>
      <c r="X84" s="6">
        <f t="shared" si="30"/>
        <v>3713.84</v>
      </c>
      <c r="Y84" s="2"/>
      <c r="Z84" s="7">
        <f t="shared" si="31"/>
        <v>0</v>
      </c>
    </row>
    <row r="85" spans="1:26" s="24" customFormat="1" hidden="1" outlineLevel="2" x14ac:dyDescent="0.25">
      <c r="A85" s="25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4"/>
        <v>0</v>
      </c>
      <c r="G85" s="2"/>
      <c r="H85" s="6">
        <v>213</v>
      </c>
      <c r="I85" s="2"/>
      <c r="J85" s="7">
        <f t="shared" si="25"/>
        <v>4.4704143570400328E-3</v>
      </c>
      <c r="K85" s="2"/>
      <c r="L85" s="6">
        <f t="shared" si="26"/>
        <v>-213</v>
      </c>
      <c r="M85" s="2"/>
      <c r="N85" s="7">
        <f t="shared" si="27"/>
        <v>-1</v>
      </c>
      <c r="O85" s="11"/>
      <c r="P85" s="6">
        <v>25.5</v>
      </c>
      <c r="Q85" s="2"/>
      <c r="R85" s="7">
        <f t="shared" si="28"/>
        <v>7.9441004493183183E-5</v>
      </c>
      <c r="S85" s="2"/>
      <c r="T85" s="6">
        <v>4090.5</v>
      </c>
      <c r="U85" s="2"/>
      <c r="V85" s="7">
        <f t="shared" si="29"/>
        <v>1.3023936438223225E-2</v>
      </c>
      <c r="W85" s="2"/>
      <c r="X85" s="6">
        <f t="shared" si="30"/>
        <v>-4065</v>
      </c>
      <c r="Y85" s="2"/>
      <c r="Z85" s="7">
        <f t="shared" si="31"/>
        <v>-0.99376604327099372</v>
      </c>
    </row>
    <row r="86" spans="1:26" s="24" customFormat="1" hidden="1" outlineLevel="2" x14ac:dyDescent="0.25">
      <c r="A86" s="25"/>
      <c r="B86" s="11" t="str">
        <f>CONCATENATE("          ", "6007", " - ", "STUDENT HOURLY")</f>
        <v xml:space="preserve">          6007 - STUDENT HOURLY</v>
      </c>
      <c r="C86" s="11"/>
      <c r="D86" s="6">
        <v>4879.6899999999996</v>
      </c>
      <c r="E86" s="2"/>
      <c r="F86" s="7">
        <f t="shared" si="24"/>
        <v>9.3572395310191098E-2</v>
      </c>
      <c r="G86" s="2"/>
      <c r="H86" s="6">
        <v>4980.32</v>
      </c>
      <c r="I86" s="2"/>
      <c r="J86" s="7">
        <f t="shared" si="25"/>
        <v>0.1045262630547118</v>
      </c>
      <c r="K86" s="2"/>
      <c r="L86" s="6">
        <f t="shared" si="26"/>
        <v>-100.63000000000011</v>
      </c>
      <c r="M86" s="2"/>
      <c r="N86" s="7">
        <f t="shared" si="27"/>
        <v>-2.0205528961994432E-2</v>
      </c>
      <c r="O86" s="11"/>
      <c r="P86" s="6">
        <v>33881.440000000002</v>
      </c>
      <c r="Q86" s="2"/>
      <c r="R86" s="7">
        <f t="shared" si="28"/>
        <v>0.1055519853833536</v>
      </c>
      <c r="S86" s="2"/>
      <c r="T86" s="6">
        <v>25926.1</v>
      </c>
      <c r="U86" s="2"/>
      <c r="V86" s="7">
        <f t="shared" si="29"/>
        <v>8.2547336142530042E-2</v>
      </c>
      <c r="W86" s="2"/>
      <c r="X86" s="6">
        <f t="shared" si="30"/>
        <v>7955.3400000000038</v>
      </c>
      <c r="Y86" s="2"/>
      <c r="Z86" s="7">
        <f t="shared" si="31"/>
        <v>0.30684676831455576</v>
      </c>
    </row>
    <row r="87" spans="1:26" s="26" customFormat="1" outlineLevel="1" collapsed="1" x14ac:dyDescent="0.25">
      <c r="A87" s="27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0</v>
      </c>
      <c r="E87" s="1"/>
      <c r="F87" s="5">
        <f t="shared" ref="F87:F93" si="32">IF(D$12=0,0,D87/D$12)</f>
        <v>0</v>
      </c>
      <c r="G87" s="1"/>
      <c r="H87" s="1">
        <f>SUM(OSRRefH22_2x_0)</f>
        <v>0</v>
      </c>
      <c r="I87" s="1"/>
      <c r="J87" s="5">
        <f t="shared" ref="J87:J93" si="33">IF(H$12=0,0,H87/H$12)</f>
        <v>0</v>
      </c>
      <c r="K87" s="1"/>
      <c r="L87" s="1">
        <f t="shared" ref="L87:L93" si="34">+D87-H87</f>
        <v>0</v>
      </c>
      <c r="M87" s="1"/>
      <c r="N87" s="5">
        <f t="shared" ref="N87:N93" si="35">IF(H87=0,0,L87/H87)</f>
        <v>0</v>
      </c>
      <c r="O87" s="13"/>
      <c r="P87" s="1">
        <f>SUM(OSRRefP22_2x_0)</f>
        <v>963.62</v>
      </c>
      <c r="Q87" s="1"/>
      <c r="R87" s="5">
        <f t="shared" ref="R87:R93" si="36">IF(P$12=0,0,P87/P$12)</f>
        <v>3.0019976764596545E-3</v>
      </c>
      <c r="S87" s="1"/>
      <c r="T87" s="1">
        <f>SUM(OSRRefT22_2x_0)</f>
        <v>0</v>
      </c>
      <c r="U87" s="1"/>
      <c r="V87" s="5">
        <f t="shared" ref="V87:V93" si="37">IF(T$12=0,0,T87/T$12)</f>
        <v>0</v>
      </c>
      <c r="W87" s="1"/>
      <c r="X87" s="1">
        <f t="shared" ref="X87:X93" si="38">+P87-T87</f>
        <v>963.62</v>
      </c>
      <c r="Y87" s="1"/>
      <c r="Z87" s="5">
        <f t="shared" ref="Z87:Z93" si="39">IF(T87=0,0,X87/T87)</f>
        <v>0</v>
      </c>
    </row>
    <row r="88" spans="1:26" s="24" customFormat="1" hidden="1" outlineLevel="2" x14ac:dyDescent="0.25">
      <c r="A88" s="25"/>
      <c r="B88" s="11" t="str">
        <f>CONCATENATE("          ", "6362", " - ", "ADVERTISING EXPENSE")</f>
        <v xml:space="preserve">          6362 - ADVERTISING EXPENSE</v>
      </c>
      <c r="C88" s="11"/>
      <c r="D88" s="6"/>
      <c r="E88" s="2"/>
      <c r="F88" s="7">
        <f t="shared" si="32"/>
        <v>0</v>
      </c>
      <c r="G88" s="2"/>
      <c r="H88" s="6"/>
      <c r="I88" s="2"/>
      <c r="J88" s="7">
        <f t="shared" si="33"/>
        <v>0</v>
      </c>
      <c r="K88" s="2"/>
      <c r="L88" s="6">
        <f t="shared" si="34"/>
        <v>0</v>
      </c>
      <c r="M88" s="2"/>
      <c r="N88" s="7">
        <f t="shared" si="35"/>
        <v>0</v>
      </c>
      <c r="O88" s="11"/>
      <c r="P88" s="6">
        <v>963.62</v>
      </c>
      <c r="Q88" s="2"/>
      <c r="R88" s="7">
        <f t="shared" si="36"/>
        <v>3.0019976764596545E-3</v>
      </c>
      <c r="S88" s="2"/>
      <c r="T88" s="6"/>
      <c r="U88" s="2"/>
      <c r="V88" s="7">
        <f t="shared" si="37"/>
        <v>0</v>
      </c>
      <c r="W88" s="2"/>
      <c r="X88" s="6">
        <f t="shared" si="38"/>
        <v>963.62</v>
      </c>
      <c r="Y88" s="2"/>
      <c r="Z88" s="7">
        <f t="shared" si="39"/>
        <v>0</v>
      </c>
    </row>
    <row r="89" spans="1:26" s="26" customFormat="1" outlineLevel="1" collapsed="1" x14ac:dyDescent="0.25">
      <c r="A89" s="27"/>
      <c r="B89" s="13" t="str">
        <f>CONCATENATE("     ","Bad Debts/Over/Short                              ")</f>
        <v xml:space="preserve">     Bad Debts/Over/Short                              </v>
      </c>
      <c r="C89" s="13"/>
      <c r="D89" s="1">
        <f>SUM(OSRRefD22_3x_0)</f>
        <v>-21.52</v>
      </c>
      <c r="E89" s="1"/>
      <c r="F89" s="5">
        <f t="shared" si="32"/>
        <v>-4.1266513796477084E-4</v>
      </c>
      <c r="G89" s="1"/>
      <c r="H89" s="1">
        <f>SUM(OSRRefH22_3x_0)</f>
        <v>0.96</v>
      </c>
      <c r="I89" s="1"/>
      <c r="J89" s="5">
        <f t="shared" si="33"/>
        <v>2.0148346397926908E-5</v>
      </c>
      <c r="K89" s="1"/>
      <c r="L89" s="1">
        <f t="shared" si="34"/>
        <v>-22.48</v>
      </c>
      <c r="M89" s="1"/>
      <c r="N89" s="5">
        <f t="shared" si="35"/>
        <v>-23.416666666666668</v>
      </c>
      <c r="O89" s="13"/>
      <c r="P89" s="1">
        <f>SUM(OSRRefP22_3x_0)</f>
        <v>-68.5</v>
      </c>
      <c r="Q89" s="1"/>
      <c r="R89" s="5">
        <f t="shared" si="36"/>
        <v>-2.1340034540325681E-4</v>
      </c>
      <c r="S89" s="1"/>
      <c r="T89" s="1">
        <f>SUM(OSRRefT22_3x_0)</f>
        <v>10.68</v>
      </c>
      <c r="U89" s="1"/>
      <c r="V89" s="5">
        <f t="shared" si="37"/>
        <v>3.4004557183773141E-5</v>
      </c>
      <c r="W89" s="1"/>
      <c r="X89" s="1">
        <f t="shared" si="38"/>
        <v>-79.180000000000007</v>
      </c>
      <c r="Y89" s="1"/>
      <c r="Z89" s="5">
        <f t="shared" si="39"/>
        <v>-7.4138576779026222</v>
      </c>
    </row>
    <row r="90" spans="1:26" s="24" customFormat="1" hidden="1" outlineLevel="2" x14ac:dyDescent="0.25">
      <c r="A90" s="25"/>
      <c r="B90" s="11" t="str">
        <f>CONCATENATE("          ", "6272", " - ", "CASH (OVER/SHORT)")</f>
        <v xml:space="preserve">          6272 - CASH (OVER/SHORT)</v>
      </c>
      <c r="C90" s="11"/>
      <c r="D90" s="6">
        <v>-21.52</v>
      </c>
      <c r="E90" s="2"/>
      <c r="F90" s="7">
        <f t="shared" si="32"/>
        <v>-4.1266513796477084E-4</v>
      </c>
      <c r="G90" s="2"/>
      <c r="H90" s="6">
        <v>0.96</v>
      </c>
      <c r="I90" s="2"/>
      <c r="J90" s="7">
        <f t="shared" si="33"/>
        <v>2.0148346397926908E-5</v>
      </c>
      <c r="K90" s="2"/>
      <c r="L90" s="6">
        <f t="shared" si="34"/>
        <v>-22.48</v>
      </c>
      <c r="M90" s="2"/>
      <c r="N90" s="7">
        <f t="shared" si="35"/>
        <v>-23.416666666666668</v>
      </c>
      <c r="O90" s="11"/>
      <c r="P90" s="6">
        <v>-68.5</v>
      </c>
      <c r="Q90" s="2"/>
      <c r="R90" s="7">
        <f t="shared" si="36"/>
        <v>-2.1340034540325681E-4</v>
      </c>
      <c r="S90" s="2"/>
      <c r="T90" s="6">
        <v>10.68</v>
      </c>
      <c r="U90" s="2"/>
      <c r="V90" s="7">
        <f t="shared" si="37"/>
        <v>3.4004557183773141E-5</v>
      </c>
      <c r="W90" s="2"/>
      <c r="X90" s="6">
        <f t="shared" si="38"/>
        <v>-79.180000000000007</v>
      </c>
      <c r="Y90" s="2"/>
      <c r="Z90" s="7">
        <f t="shared" si="39"/>
        <v>-7.4138576779026222</v>
      </c>
    </row>
    <row r="91" spans="1:26" s="26" customFormat="1" outlineLevel="1" collapsed="1" x14ac:dyDescent="0.25">
      <c r="A91" s="27"/>
      <c r="B91" s="13" t="str">
        <f>CONCATENATE("     ","Discounts and Markdowns                           ")</f>
        <v xml:space="preserve">     Discounts and Markdowns                           </v>
      </c>
      <c r="C91" s="13"/>
      <c r="D91" s="1">
        <f>SUM(OSRRefD22_4x_0)</f>
        <v>1798.22</v>
      </c>
      <c r="E91" s="1"/>
      <c r="F91" s="5">
        <f t="shared" si="32"/>
        <v>3.4482467676162185E-2</v>
      </c>
      <c r="G91" s="1"/>
      <c r="H91" s="1">
        <f>SUM(OSRRefH22_4x_0)</f>
        <v>1329.8100000000002</v>
      </c>
      <c r="I91" s="1"/>
      <c r="J91" s="5">
        <f t="shared" si="33"/>
        <v>2.7909867211903316E-2</v>
      </c>
      <c r="K91" s="1"/>
      <c r="L91" s="1">
        <f t="shared" si="34"/>
        <v>468.40999999999985</v>
      </c>
      <c r="M91" s="1"/>
      <c r="N91" s="5">
        <f t="shared" si="35"/>
        <v>0.35223828968048049</v>
      </c>
      <c r="O91" s="13"/>
      <c r="P91" s="1">
        <f>SUM(OSRRefP22_4x_0)</f>
        <v>7335.6</v>
      </c>
      <c r="Q91" s="1"/>
      <c r="R91" s="5">
        <f t="shared" si="36"/>
        <v>2.2852840492556651E-2</v>
      </c>
      <c r="S91" s="1"/>
      <c r="T91" s="1">
        <f>SUM(OSRRefT22_4x_0)</f>
        <v>6857.69</v>
      </c>
      <c r="U91" s="1"/>
      <c r="V91" s="5">
        <f t="shared" si="37"/>
        <v>2.1834523572433446E-2</v>
      </c>
      <c r="W91" s="1"/>
      <c r="X91" s="1">
        <f t="shared" si="38"/>
        <v>477.91000000000076</v>
      </c>
      <c r="Y91" s="1"/>
      <c r="Z91" s="5">
        <f t="shared" si="39"/>
        <v>6.9689647680195629E-2</v>
      </c>
    </row>
    <row r="92" spans="1:26" s="24" customFormat="1" hidden="1" outlineLevel="2" x14ac:dyDescent="0.25">
      <c r="A92" s="25"/>
      <c r="B92" s="11" t="str">
        <f>CONCATENATE("          ", "6382", " - ", "DISCOUNTS/MARK DOWNS")</f>
        <v xml:space="preserve">          6382 - DISCOUNTS/MARK DOWNS</v>
      </c>
      <c r="C92" s="11"/>
      <c r="D92" s="6">
        <v>1798.22</v>
      </c>
      <c r="E92" s="2"/>
      <c r="F92" s="7">
        <f t="shared" si="32"/>
        <v>3.4482467676162185E-2</v>
      </c>
      <c r="G92" s="2"/>
      <c r="H92" s="6">
        <v>1328.64</v>
      </c>
      <c r="I92" s="2"/>
      <c r="J92" s="7">
        <f t="shared" si="33"/>
        <v>2.7885311414730843E-2</v>
      </c>
      <c r="K92" s="2"/>
      <c r="L92" s="6">
        <f t="shared" si="34"/>
        <v>469.57999999999993</v>
      </c>
      <c r="M92" s="2"/>
      <c r="N92" s="7">
        <f t="shared" si="35"/>
        <v>0.35342907032755289</v>
      </c>
      <c r="O92" s="11"/>
      <c r="P92" s="6">
        <v>7335.6</v>
      </c>
      <c r="Q92" s="2"/>
      <c r="R92" s="7">
        <f t="shared" si="36"/>
        <v>2.2852840492556651E-2</v>
      </c>
      <c r="S92" s="2"/>
      <c r="T92" s="6">
        <v>6926.65</v>
      </c>
      <c r="U92" s="2"/>
      <c r="V92" s="7">
        <f t="shared" si="37"/>
        <v>2.2054088578369123E-2</v>
      </c>
      <c r="W92" s="2"/>
      <c r="X92" s="6">
        <f t="shared" si="38"/>
        <v>408.95000000000073</v>
      </c>
      <c r="Y92" s="2"/>
      <c r="Z92" s="7">
        <f t="shared" si="39"/>
        <v>5.9040084312041281E-2</v>
      </c>
    </row>
    <row r="93" spans="1:26" s="24" customFormat="1" hidden="1" outlineLevel="2" x14ac:dyDescent="0.25">
      <c r="A93" s="25"/>
      <c r="B93" s="11" t="str">
        <f>CONCATENATE("          ", "9175", " - ", "EARNED DISCOUNTS")</f>
        <v xml:space="preserve">          9175 - EARNED DISCOUNTS</v>
      </c>
      <c r="C93" s="11"/>
      <c r="D93" s="6"/>
      <c r="E93" s="2"/>
      <c r="F93" s="7">
        <f t="shared" si="32"/>
        <v>0</v>
      </c>
      <c r="G93" s="2"/>
      <c r="H93" s="6">
        <v>1.17</v>
      </c>
      <c r="I93" s="2"/>
      <c r="J93" s="7">
        <f t="shared" si="33"/>
        <v>2.4555797172473416E-5</v>
      </c>
      <c r="K93" s="2"/>
      <c r="L93" s="6">
        <f t="shared" si="34"/>
        <v>-1.17</v>
      </c>
      <c r="M93" s="2"/>
      <c r="N93" s="7">
        <f t="shared" si="35"/>
        <v>-1</v>
      </c>
      <c r="O93" s="11"/>
      <c r="P93" s="6">
        <v>0</v>
      </c>
      <c r="Q93" s="2"/>
      <c r="R93" s="7">
        <f t="shared" si="36"/>
        <v>0</v>
      </c>
      <c r="S93" s="2"/>
      <c r="T93" s="6">
        <v>-68.959999999999994</v>
      </c>
      <c r="U93" s="2"/>
      <c r="V93" s="7">
        <f t="shared" si="37"/>
        <v>-2.1956500593567374E-4</v>
      </c>
      <c r="W93" s="2"/>
      <c r="X93" s="6">
        <f t="shared" si="38"/>
        <v>68.959999999999994</v>
      </c>
      <c r="Y93" s="2"/>
      <c r="Z93" s="7">
        <f t="shared" si="39"/>
        <v>-1</v>
      </c>
    </row>
    <row r="94" spans="1:26" s="26" customFormat="1" outlineLevel="1" collapsed="1" x14ac:dyDescent="0.25">
      <c r="A94" s="27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SUM(OSRRefD22_5x_0)</f>
        <v>0</v>
      </c>
      <c r="E94" s="1"/>
      <c r="F94" s="5">
        <f t="shared" ref="F94:F104" si="40">IF(D$12=0,0,D94/D$12)</f>
        <v>0</v>
      </c>
      <c r="G94" s="1"/>
      <c r="H94" s="1">
        <f>SUM(OSRRefH22_5x_0)</f>
        <v>0</v>
      </c>
      <c r="I94" s="1"/>
      <c r="J94" s="5">
        <f t="shared" ref="J94:J104" si="41">IF(H$12=0,0,H94/H$12)</f>
        <v>0</v>
      </c>
      <c r="K94" s="1"/>
      <c r="L94" s="1">
        <f t="shared" ref="L94:L104" si="42">+D94-H94</f>
        <v>0</v>
      </c>
      <c r="M94" s="1"/>
      <c r="N94" s="5">
        <f t="shared" ref="N94:N104" si="43">IF(H94=0,0,L94/H94)</f>
        <v>0</v>
      </c>
      <c r="O94" s="13"/>
      <c r="P94" s="1">
        <f>SUM(OSRRefP22_5x_0)</f>
        <v>954.05</v>
      </c>
      <c r="Q94" s="1"/>
      <c r="R94" s="5">
        <f t="shared" ref="R94:R104" si="44">IF(P$12=0,0,P94/P$12)</f>
        <v>2.9721839347733891E-3</v>
      </c>
      <c r="S94" s="1"/>
      <c r="T94" s="1">
        <f>SUM(OSRRefT22_5x_0)</f>
        <v>829.2</v>
      </c>
      <c r="U94" s="1"/>
      <c r="V94" s="5">
        <f t="shared" ref="V94:V104" si="45">IF(T$12=0,0,T94/T$12)</f>
        <v>2.6401291026951958E-3</v>
      </c>
      <c r="W94" s="1"/>
      <c r="X94" s="1">
        <f t="shared" ref="X94:X104" si="46">+P94-T94</f>
        <v>124.84999999999991</v>
      </c>
      <c r="Y94" s="1"/>
      <c r="Z94" s="5">
        <f t="shared" ref="Z94:Z104" si="47">IF(T94=0,0,X94/T94)</f>
        <v>0.15056681138446684</v>
      </c>
    </row>
    <row r="95" spans="1:26" s="24" customFormat="1" hidden="1" outlineLevel="2" x14ac:dyDescent="0.25">
      <c r="A95" s="25"/>
      <c r="B95" s="11" t="str">
        <f>CONCATENATE("          ", "6279", " - ", "GENERAL EXPENSE")</f>
        <v xml:space="preserve">          6279 - GENERAL EXPENSE</v>
      </c>
      <c r="C95" s="11"/>
      <c r="D95" s="6"/>
      <c r="E95" s="2"/>
      <c r="F95" s="7">
        <f t="shared" si="40"/>
        <v>0</v>
      </c>
      <c r="G95" s="2"/>
      <c r="H95" s="6"/>
      <c r="I95" s="2"/>
      <c r="J95" s="7">
        <f t="shared" si="41"/>
        <v>0</v>
      </c>
      <c r="K95" s="2"/>
      <c r="L95" s="6">
        <f t="shared" si="42"/>
        <v>0</v>
      </c>
      <c r="M95" s="2"/>
      <c r="N95" s="7">
        <f t="shared" si="43"/>
        <v>0</v>
      </c>
      <c r="O95" s="11"/>
      <c r="P95" s="6">
        <v>954.05</v>
      </c>
      <c r="Q95" s="2"/>
      <c r="R95" s="7">
        <f t="shared" si="44"/>
        <v>2.9721839347733891E-3</v>
      </c>
      <c r="S95" s="2"/>
      <c r="T95" s="6">
        <v>829.2</v>
      </c>
      <c r="U95" s="2"/>
      <c r="V95" s="7">
        <f t="shared" si="45"/>
        <v>2.6401291026951958E-3</v>
      </c>
      <c r="W95" s="2"/>
      <c r="X95" s="6">
        <f t="shared" si="46"/>
        <v>124.84999999999991</v>
      </c>
      <c r="Y95" s="2"/>
      <c r="Z95" s="7">
        <f t="shared" si="47"/>
        <v>0.15056681138446684</v>
      </c>
    </row>
    <row r="96" spans="1:26" s="26" customFormat="1" outlineLevel="1" collapsed="1" x14ac:dyDescent="0.25">
      <c r="A96" s="27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SUM(OSRRefD22_6x_0)</f>
        <v>0</v>
      </c>
      <c r="E96" s="1"/>
      <c r="F96" s="5">
        <f t="shared" si="40"/>
        <v>0</v>
      </c>
      <c r="G96" s="1"/>
      <c r="H96" s="1">
        <f>SUM(OSRRefH22_6x_0)</f>
        <v>400</v>
      </c>
      <c r="I96" s="1"/>
      <c r="J96" s="5">
        <f t="shared" si="41"/>
        <v>8.3951443324695452E-3</v>
      </c>
      <c r="K96" s="1"/>
      <c r="L96" s="1">
        <f t="shared" si="42"/>
        <v>-400</v>
      </c>
      <c r="M96" s="1"/>
      <c r="N96" s="5">
        <f t="shared" si="43"/>
        <v>-1</v>
      </c>
      <c r="O96" s="13"/>
      <c r="P96" s="1">
        <f>SUM(OSRRefP22_6x_0)</f>
        <v>0</v>
      </c>
      <c r="Q96" s="1"/>
      <c r="R96" s="5">
        <f t="shared" si="44"/>
        <v>0</v>
      </c>
      <c r="S96" s="1"/>
      <c r="T96" s="1">
        <f>SUM(OSRRefT22_6x_0)</f>
        <v>2800</v>
      </c>
      <c r="U96" s="1"/>
      <c r="V96" s="5">
        <f t="shared" si="45"/>
        <v>8.9150524451839692E-3</v>
      </c>
      <c r="W96" s="1"/>
      <c r="X96" s="1">
        <f t="shared" si="46"/>
        <v>-2800</v>
      </c>
      <c r="Y96" s="1"/>
      <c r="Z96" s="5">
        <f t="shared" si="47"/>
        <v>-1</v>
      </c>
    </row>
    <row r="97" spans="1:26" s="24" customFormat="1" hidden="1" outlineLevel="2" x14ac:dyDescent="0.25">
      <c r="A97" s="25"/>
      <c r="B97" s="11" t="str">
        <f>CONCATENATE("          ", "6408", " - ", "INVENTORY ADJUSTMENT")</f>
        <v xml:space="preserve">          6408 - INVENTORY ADJUSTMENT</v>
      </c>
      <c r="C97" s="11"/>
      <c r="D97" s="6"/>
      <c r="E97" s="2"/>
      <c r="F97" s="7">
        <f t="shared" si="40"/>
        <v>0</v>
      </c>
      <c r="G97" s="2"/>
      <c r="H97" s="6">
        <v>400</v>
      </c>
      <c r="I97" s="2"/>
      <c r="J97" s="7">
        <f t="shared" si="41"/>
        <v>8.3951443324695452E-3</v>
      </c>
      <c r="K97" s="2"/>
      <c r="L97" s="6">
        <f t="shared" si="42"/>
        <v>-400</v>
      </c>
      <c r="M97" s="2"/>
      <c r="N97" s="7">
        <f t="shared" si="43"/>
        <v>-1</v>
      </c>
      <c r="O97" s="11"/>
      <c r="P97" s="6"/>
      <c r="Q97" s="2"/>
      <c r="R97" s="7">
        <f t="shared" si="44"/>
        <v>0</v>
      </c>
      <c r="S97" s="2"/>
      <c r="T97" s="6">
        <v>2800</v>
      </c>
      <c r="U97" s="2"/>
      <c r="V97" s="7">
        <f t="shared" si="45"/>
        <v>8.9150524451839692E-3</v>
      </c>
      <c r="W97" s="2"/>
      <c r="X97" s="6">
        <f t="shared" si="46"/>
        <v>-2800</v>
      </c>
      <c r="Y97" s="2"/>
      <c r="Z97" s="7">
        <f t="shared" si="47"/>
        <v>-1</v>
      </c>
    </row>
    <row r="98" spans="1:26" s="26" customFormat="1" outlineLevel="1" collapsed="1" x14ac:dyDescent="0.25">
      <c r="A98" s="27"/>
      <c r="B98" s="13" t="str">
        <f>CONCATENATE("     ","Professional Services                             ")</f>
        <v xml:space="preserve">     Professional Services                             </v>
      </c>
      <c r="C98" s="13"/>
      <c r="D98" s="1">
        <f>SUM(OSRRefD22_7x_0)</f>
        <v>0</v>
      </c>
      <c r="E98" s="1"/>
      <c r="F98" s="5">
        <f t="shared" si="40"/>
        <v>0</v>
      </c>
      <c r="G98" s="1"/>
      <c r="H98" s="1">
        <f>SUM(OSRRefH22_7x_0)</f>
        <v>0</v>
      </c>
      <c r="I98" s="1"/>
      <c r="J98" s="5">
        <f t="shared" si="41"/>
        <v>0</v>
      </c>
      <c r="K98" s="1"/>
      <c r="L98" s="1">
        <f t="shared" si="42"/>
        <v>0</v>
      </c>
      <c r="M98" s="1"/>
      <c r="N98" s="5">
        <f t="shared" si="43"/>
        <v>0</v>
      </c>
      <c r="O98" s="13"/>
      <c r="P98" s="1">
        <f>SUM(OSRRefP22_7x_0)</f>
        <v>791.15</v>
      </c>
      <c r="Q98" s="1"/>
      <c r="R98" s="5">
        <f t="shared" si="44"/>
        <v>2.4646961060698774E-3</v>
      </c>
      <c r="S98" s="1"/>
      <c r="T98" s="1">
        <f>SUM(OSRRefT22_7x_0)</f>
        <v>750</v>
      </c>
      <c r="U98" s="1"/>
      <c r="V98" s="5">
        <f t="shared" si="45"/>
        <v>2.3879604763885633E-3</v>
      </c>
      <c r="W98" s="1"/>
      <c r="X98" s="1">
        <f t="shared" si="46"/>
        <v>41.149999999999977</v>
      </c>
      <c r="Y98" s="1"/>
      <c r="Z98" s="5">
        <f t="shared" si="47"/>
        <v>5.4866666666666633E-2</v>
      </c>
    </row>
    <row r="99" spans="1:26" s="24" customFormat="1" hidden="1" outlineLevel="2" x14ac:dyDescent="0.25">
      <c r="A99" s="25"/>
      <c r="B99" s="11" t="str">
        <f>CONCATENATE("          ", "6336", " - ", "PROFESSIONAL SERVICES")</f>
        <v xml:space="preserve">          6336 - PROFESSIONAL SERVICES</v>
      </c>
      <c r="C99" s="11"/>
      <c r="D99" s="6"/>
      <c r="E99" s="2"/>
      <c r="F99" s="7">
        <f t="shared" si="40"/>
        <v>0</v>
      </c>
      <c r="G99" s="2"/>
      <c r="H99" s="6"/>
      <c r="I99" s="2"/>
      <c r="J99" s="7">
        <f t="shared" si="41"/>
        <v>0</v>
      </c>
      <c r="K99" s="2"/>
      <c r="L99" s="6">
        <f t="shared" si="42"/>
        <v>0</v>
      </c>
      <c r="M99" s="2"/>
      <c r="N99" s="7">
        <f t="shared" si="43"/>
        <v>0</v>
      </c>
      <c r="O99" s="11"/>
      <c r="P99" s="6">
        <v>791.15</v>
      </c>
      <c r="Q99" s="2"/>
      <c r="R99" s="7">
        <f t="shared" si="44"/>
        <v>2.4646961060698774E-3</v>
      </c>
      <c r="S99" s="2"/>
      <c r="T99" s="6">
        <v>750</v>
      </c>
      <c r="U99" s="2"/>
      <c r="V99" s="7">
        <f t="shared" si="45"/>
        <v>2.3879604763885633E-3</v>
      </c>
      <c r="W99" s="2"/>
      <c r="X99" s="6">
        <f t="shared" si="46"/>
        <v>41.149999999999977</v>
      </c>
      <c r="Y99" s="2"/>
      <c r="Z99" s="7">
        <f t="shared" si="47"/>
        <v>5.4866666666666633E-2</v>
      </c>
    </row>
    <row r="100" spans="1:26" s="26" customFormat="1" outlineLevel="1" collapsed="1" x14ac:dyDescent="0.25">
      <c r="A100" s="27"/>
      <c r="B100" s="13" t="str">
        <f>CONCATENATE("     ","Rent                                              ")</f>
        <v xml:space="preserve">     Rent                                              </v>
      </c>
      <c r="C100" s="13"/>
      <c r="D100" s="1">
        <f>SUM(OSRRefD22_8x_0)</f>
        <v>0</v>
      </c>
      <c r="E100" s="1"/>
      <c r="F100" s="5">
        <f t="shared" si="40"/>
        <v>0</v>
      </c>
      <c r="G100" s="1"/>
      <c r="H100" s="1">
        <f>SUM(OSRRefH22_8x_0)</f>
        <v>0</v>
      </c>
      <c r="I100" s="1"/>
      <c r="J100" s="5">
        <f t="shared" si="41"/>
        <v>0</v>
      </c>
      <c r="K100" s="1"/>
      <c r="L100" s="1">
        <f t="shared" si="42"/>
        <v>0</v>
      </c>
      <c r="M100" s="1"/>
      <c r="N100" s="5">
        <f t="shared" si="43"/>
        <v>0</v>
      </c>
      <c r="O100" s="13"/>
      <c r="P100" s="1">
        <f>SUM(OSRRefP22_8x_0)</f>
        <v>0</v>
      </c>
      <c r="Q100" s="1"/>
      <c r="R100" s="5">
        <f t="shared" si="44"/>
        <v>0</v>
      </c>
      <c r="S100" s="1"/>
      <c r="T100" s="1">
        <f>SUM(OSRRefT22_8x_0)</f>
        <v>-0.23</v>
      </c>
      <c r="U100" s="1"/>
      <c r="V100" s="5">
        <f t="shared" si="45"/>
        <v>-7.3230787942582607E-7</v>
      </c>
      <c r="W100" s="1"/>
      <c r="X100" s="1">
        <f t="shared" si="46"/>
        <v>0.23</v>
      </c>
      <c r="Y100" s="1"/>
      <c r="Z100" s="5">
        <f t="shared" si="47"/>
        <v>-1</v>
      </c>
    </row>
    <row r="101" spans="1:26" s="24" customFormat="1" hidden="1" outlineLevel="2" x14ac:dyDescent="0.25">
      <c r="A101" s="25"/>
      <c r="B101" s="11" t="str">
        <f>CONCATENATE("          ", "6273", " - ", "RENT")</f>
        <v xml:space="preserve">          6273 - RENT</v>
      </c>
      <c r="C101" s="11"/>
      <c r="D101" s="6"/>
      <c r="E101" s="2"/>
      <c r="F101" s="7">
        <f t="shared" si="40"/>
        <v>0</v>
      </c>
      <c r="G101" s="2"/>
      <c r="H101" s="6"/>
      <c r="I101" s="2"/>
      <c r="J101" s="7">
        <f t="shared" si="41"/>
        <v>0</v>
      </c>
      <c r="K101" s="2"/>
      <c r="L101" s="6">
        <f t="shared" si="42"/>
        <v>0</v>
      </c>
      <c r="M101" s="2"/>
      <c r="N101" s="7">
        <f t="shared" si="43"/>
        <v>0</v>
      </c>
      <c r="O101" s="11"/>
      <c r="P101" s="6"/>
      <c r="Q101" s="2"/>
      <c r="R101" s="7">
        <f t="shared" si="44"/>
        <v>0</v>
      </c>
      <c r="S101" s="2"/>
      <c r="T101" s="6">
        <v>-0.23</v>
      </c>
      <c r="U101" s="2"/>
      <c r="V101" s="7">
        <f t="shared" si="45"/>
        <v>-7.3230787942582607E-7</v>
      </c>
      <c r="W101" s="2"/>
      <c r="X101" s="6">
        <f t="shared" si="46"/>
        <v>0.23</v>
      </c>
      <c r="Y101" s="2"/>
      <c r="Z101" s="7">
        <f t="shared" si="47"/>
        <v>-1</v>
      </c>
    </row>
    <row r="102" spans="1:26" s="26" customFormat="1" outlineLevel="1" collapsed="1" x14ac:dyDescent="0.25">
      <c r="A102" s="27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0</v>
      </c>
      <c r="E102" s="1"/>
      <c r="F102" s="5">
        <f t="shared" si="40"/>
        <v>0</v>
      </c>
      <c r="G102" s="1"/>
      <c r="H102" s="1">
        <f>SUM(OSRRefH22_9x_0)</f>
        <v>53.03</v>
      </c>
      <c r="I102" s="1"/>
      <c r="J102" s="5">
        <f t="shared" si="41"/>
        <v>1.11298625987715E-3</v>
      </c>
      <c r="K102" s="1"/>
      <c r="L102" s="1">
        <f t="shared" si="42"/>
        <v>-53.03</v>
      </c>
      <c r="M102" s="1"/>
      <c r="N102" s="5">
        <f t="shared" si="43"/>
        <v>-1</v>
      </c>
      <c r="O102" s="13"/>
      <c r="P102" s="1">
        <f>SUM(OSRRefP22_9x_0)</f>
        <v>129.53</v>
      </c>
      <c r="Q102" s="1"/>
      <c r="R102" s="5">
        <f t="shared" si="44"/>
        <v>4.0352914949027527E-4</v>
      </c>
      <c r="S102" s="1"/>
      <c r="T102" s="1">
        <f>SUM(OSRRefT22_9x_0)</f>
        <v>178.78</v>
      </c>
      <c r="U102" s="1"/>
      <c r="V102" s="5">
        <f t="shared" si="45"/>
        <v>5.6922609862499645E-4</v>
      </c>
      <c r="W102" s="1"/>
      <c r="X102" s="1">
        <f t="shared" si="46"/>
        <v>-49.25</v>
      </c>
      <c r="Y102" s="1"/>
      <c r="Z102" s="5">
        <f t="shared" si="47"/>
        <v>-0.27547824141402844</v>
      </c>
    </row>
    <row r="103" spans="1:26" s="24" customFormat="1" hidden="1" outlineLevel="2" x14ac:dyDescent="0.25">
      <c r="A103" s="25"/>
      <c r="B103" s="11" t="str">
        <f>CONCATENATE("          ", "6373", " - ", "MAINTENANCE CONTRACTS")</f>
        <v xml:space="preserve">          6373 - MAINTENANCE CONTRACTS</v>
      </c>
      <c r="C103" s="11"/>
      <c r="D103" s="6"/>
      <c r="E103" s="2"/>
      <c r="F103" s="7">
        <f t="shared" si="40"/>
        <v>0</v>
      </c>
      <c r="G103" s="2"/>
      <c r="H103" s="6"/>
      <c r="I103" s="2"/>
      <c r="J103" s="7">
        <f t="shared" si="41"/>
        <v>0</v>
      </c>
      <c r="K103" s="2"/>
      <c r="L103" s="6">
        <f t="shared" si="42"/>
        <v>0</v>
      </c>
      <c r="M103" s="2"/>
      <c r="N103" s="7">
        <f t="shared" si="43"/>
        <v>0</v>
      </c>
      <c r="O103" s="11"/>
      <c r="P103" s="6">
        <v>119.73</v>
      </c>
      <c r="Q103" s="2"/>
      <c r="R103" s="7">
        <f t="shared" si="44"/>
        <v>3.7299888109681664E-4</v>
      </c>
      <c r="S103" s="2"/>
      <c r="T103" s="6">
        <v>99.24</v>
      </c>
      <c r="U103" s="2"/>
      <c r="V103" s="7">
        <f t="shared" si="45"/>
        <v>3.1597493023573469E-4</v>
      </c>
      <c r="W103" s="2"/>
      <c r="X103" s="6">
        <f t="shared" si="46"/>
        <v>20.490000000000009</v>
      </c>
      <c r="Y103" s="2"/>
      <c r="Z103" s="7">
        <f t="shared" si="47"/>
        <v>0.20646916565900858</v>
      </c>
    </row>
    <row r="104" spans="1:26" s="24" customFormat="1" hidden="1" outlineLevel="2" x14ac:dyDescent="0.25">
      <c r="A104" s="25"/>
      <c r="B104" s="11" t="str">
        <f>CONCATENATE("          ", "6375", " - ", "OUTSIDE REPAIRS &amp; MAINTENANCE")</f>
        <v xml:space="preserve">          6375 - OUTSIDE REPAIRS &amp; MAINTENANCE</v>
      </c>
      <c r="C104" s="11"/>
      <c r="D104" s="6"/>
      <c r="E104" s="2"/>
      <c r="F104" s="7">
        <f t="shared" si="40"/>
        <v>0</v>
      </c>
      <c r="G104" s="2"/>
      <c r="H104" s="6">
        <v>53.03</v>
      </c>
      <c r="I104" s="2"/>
      <c r="J104" s="7">
        <f t="shared" si="41"/>
        <v>1.11298625987715E-3</v>
      </c>
      <c r="K104" s="2"/>
      <c r="L104" s="6">
        <f t="shared" si="42"/>
        <v>-53.03</v>
      </c>
      <c r="M104" s="2"/>
      <c r="N104" s="7">
        <f t="shared" si="43"/>
        <v>-1</v>
      </c>
      <c r="O104" s="11"/>
      <c r="P104" s="6">
        <v>9.8000000000000007</v>
      </c>
      <c r="Q104" s="2"/>
      <c r="R104" s="7">
        <f t="shared" si="44"/>
        <v>3.0530268393458643E-5</v>
      </c>
      <c r="S104" s="2"/>
      <c r="T104" s="6">
        <v>79.540000000000006</v>
      </c>
      <c r="U104" s="2"/>
      <c r="V104" s="7">
        <f t="shared" si="45"/>
        <v>2.5325116838926181E-4</v>
      </c>
      <c r="W104" s="2"/>
      <c r="X104" s="6">
        <f t="shared" si="46"/>
        <v>-69.740000000000009</v>
      </c>
      <c r="Y104" s="2"/>
      <c r="Z104" s="7">
        <f t="shared" si="47"/>
        <v>-0.87679155142066889</v>
      </c>
    </row>
    <row r="105" spans="1:26" s="26" customFormat="1" outlineLevel="1" collapsed="1" x14ac:dyDescent="0.25">
      <c r="A105" s="27"/>
      <c r="B105" s="13" t="str">
        <f>CONCATENATE("     ","Services                                          ")</f>
        <v xml:space="preserve">     Services                                          </v>
      </c>
      <c r="C105" s="13"/>
      <c r="D105" s="1">
        <f>SUM(OSRRefD22_10x_0)</f>
        <v>338.16999999999996</v>
      </c>
      <c r="E105" s="1"/>
      <c r="F105" s="5">
        <f t="shared" ref="F105:F107" si="48">IF(D$12=0,0,D105/D$12)</f>
        <v>6.484710488175954E-3</v>
      </c>
      <c r="G105" s="1"/>
      <c r="H105" s="1">
        <f>SUM(OSRRefH22_10x_0)</f>
        <v>274.77</v>
      </c>
      <c r="I105" s="1"/>
      <c r="J105" s="5">
        <f t="shared" ref="J105:J107" si="49">IF(H$12=0,0,H105/H$12)</f>
        <v>5.7668345205816414E-3</v>
      </c>
      <c r="K105" s="1"/>
      <c r="L105" s="1">
        <f t="shared" ref="L105:L107" si="50">+D105-H105</f>
        <v>63.399999999999977</v>
      </c>
      <c r="M105" s="1"/>
      <c r="N105" s="5">
        <f t="shared" ref="N105:N107" si="51">IF(H105=0,0,L105/H105)</f>
        <v>0.23073843578265452</v>
      </c>
      <c r="O105" s="13"/>
      <c r="P105" s="1">
        <f>SUM(OSRRefP22_10x_0)</f>
        <v>1568.86</v>
      </c>
      <c r="Q105" s="1"/>
      <c r="R105" s="5">
        <f t="shared" ref="R105:R107" si="52">IF(P$12=0,0,P105/P$12)</f>
        <v>4.8875221297715833E-3</v>
      </c>
      <c r="S105" s="1"/>
      <c r="T105" s="1">
        <f>SUM(OSRRefT22_10x_0)</f>
        <v>1462.17</v>
      </c>
      <c r="U105" s="1"/>
      <c r="V105" s="5">
        <f t="shared" ref="V105:V107" si="53">IF(T$12=0,0,T105/T$12)</f>
        <v>4.6554722263480878E-3</v>
      </c>
      <c r="W105" s="1"/>
      <c r="X105" s="1">
        <f t="shared" ref="X105:X107" si="54">+P105-T105</f>
        <v>106.68999999999983</v>
      </c>
      <c r="Y105" s="1"/>
      <c r="Z105" s="5">
        <f t="shared" ref="Z105:Z107" si="55">IF(T105=0,0,X105/T105)</f>
        <v>7.296689167470255E-2</v>
      </c>
    </row>
    <row r="106" spans="1:26" s="24" customFormat="1" hidden="1" outlineLevel="2" x14ac:dyDescent="0.25">
      <c r="A106" s="25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65.02</v>
      </c>
      <c r="E106" s="2"/>
      <c r="F106" s="7">
        <f t="shared" si="48"/>
        <v>1.2468163229772025E-3</v>
      </c>
      <c r="G106" s="2"/>
      <c r="H106" s="6">
        <v>41.5</v>
      </c>
      <c r="I106" s="2"/>
      <c r="J106" s="7">
        <f t="shared" si="49"/>
        <v>8.7099622449371525E-4</v>
      </c>
      <c r="K106" s="2"/>
      <c r="L106" s="6">
        <f t="shared" si="50"/>
        <v>23.519999999999996</v>
      </c>
      <c r="M106" s="2"/>
      <c r="N106" s="7">
        <f t="shared" si="51"/>
        <v>0.56674698795180711</v>
      </c>
      <c r="O106" s="11"/>
      <c r="P106" s="6">
        <v>329.02</v>
      </c>
      <c r="Q106" s="2"/>
      <c r="R106" s="7">
        <f t="shared" si="52"/>
        <v>1.0250070313077306E-3</v>
      </c>
      <c r="S106" s="2"/>
      <c r="T106" s="6">
        <v>242.29</v>
      </c>
      <c r="U106" s="2"/>
      <c r="V106" s="7">
        <f t="shared" si="53"/>
        <v>7.7143859176557995E-4</v>
      </c>
      <c r="W106" s="2"/>
      <c r="X106" s="6">
        <f t="shared" si="54"/>
        <v>86.72999999999999</v>
      </c>
      <c r="Y106" s="2"/>
      <c r="Z106" s="7">
        <f t="shared" si="55"/>
        <v>0.35795947005654377</v>
      </c>
    </row>
    <row r="107" spans="1:26" s="24" customFormat="1" hidden="1" outlineLevel="2" x14ac:dyDescent="0.25">
      <c r="A107" s="25"/>
      <c r="B107" s="11" t="str">
        <f>CONCATENATE("          ", "6285", " - ", "JANITORIAL SERVICES")</f>
        <v xml:space="preserve">          6285 - JANITORIAL SERVICES</v>
      </c>
      <c r="C107" s="11"/>
      <c r="D107" s="6">
        <v>273.14999999999998</v>
      </c>
      <c r="E107" s="2"/>
      <c r="F107" s="7">
        <f t="shared" si="48"/>
        <v>5.2378941651987521E-3</v>
      </c>
      <c r="G107" s="2"/>
      <c r="H107" s="6">
        <v>233.27</v>
      </c>
      <c r="I107" s="2"/>
      <c r="J107" s="7">
        <f t="shared" si="49"/>
        <v>4.8958382960879272E-3</v>
      </c>
      <c r="K107" s="2"/>
      <c r="L107" s="6">
        <f t="shared" si="50"/>
        <v>39.879999999999967</v>
      </c>
      <c r="M107" s="2"/>
      <c r="N107" s="7">
        <f t="shared" si="51"/>
        <v>0.17096068932996084</v>
      </c>
      <c r="O107" s="11"/>
      <c r="P107" s="6">
        <v>1239.8399999999999</v>
      </c>
      <c r="Q107" s="2"/>
      <c r="R107" s="7">
        <f t="shared" si="52"/>
        <v>3.8625150984638525E-3</v>
      </c>
      <c r="S107" s="2"/>
      <c r="T107" s="6">
        <v>1219.8800000000001</v>
      </c>
      <c r="U107" s="2"/>
      <c r="V107" s="7">
        <f t="shared" si="53"/>
        <v>3.8840336345825079E-3</v>
      </c>
      <c r="W107" s="2"/>
      <c r="X107" s="6">
        <f t="shared" si="54"/>
        <v>19.959999999999809</v>
      </c>
      <c r="Y107" s="2"/>
      <c r="Z107" s="7">
        <f t="shared" si="55"/>
        <v>1.6362265140833367E-2</v>
      </c>
    </row>
    <row r="108" spans="1:26" s="26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53.489999999999995</v>
      </c>
      <c r="E108" s="1"/>
      <c r="F108" s="5">
        <f t="shared" ref="F108:F111" si="56">IF(D$12=0,0,D108/D$12)</f>
        <v>1.0257183192256315E-3</v>
      </c>
      <c r="G108" s="1"/>
      <c r="H108" s="1">
        <f>SUM(OSRRefH22_11x_0)</f>
        <v>31.78</v>
      </c>
      <c r="I108" s="1"/>
      <c r="J108" s="5">
        <f t="shared" ref="J108:J111" si="57">IF(H$12=0,0,H108/H$12)</f>
        <v>6.6699421721470539E-4</v>
      </c>
      <c r="K108" s="1"/>
      <c r="L108" s="1">
        <f t="shared" ref="L108:L111" si="58">+D108-H108</f>
        <v>21.709999999999994</v>
      </c>
      <c r="M108" s="1"/>
      <c r="N108" s="5">
        <f t="shared" ref="N108:N111" si="59">IF(H108=0,0,L108/H108)</f>
        <v>0.68313404657016974</v>
      </c>
      <c r="O108" s="13"/>
      <c r="P108" s="1">
        <f>SUM(OSRRefP22_11x_0)</f>
        <v>1262.32</v>
      </c>
      <c r="Q108" s="1"/>
      <c r="R108" s="5">
        <f t="shared" ref="R108:R111" si="60">IF(P$12=0,0,P108/P$12)</f>
        <v>3.9325477957582351E-3</v>
      </c>
      <c r="S108" s="1"/>
      <c r="T108" s="1">
        <f>SUM(OSRRefT22_11x_0)</f>
        <v>818.77</v>
      </c>
      <c r="U108" s="1"/>
      <c r="V108" s="5">
        <f t="shared" ref="V108:V111" si="61">IF(T$12=0,0,T108/T$12)</f>
        <v>2.6069205323368851E-3</v>
      </c>
      <c r="W108" s="1"/>
      <c r="X108" s="1">
        <f t="shared" ref="X108:X111" si="62">+P108-T108</f>
        <v>443.54999999999995</v>
      </c>
      <c r="Y108" s="1"/>
      <c r="Z108" s="5">
        <f t="shared" ref="Z108:Z111" si="63">IF(T108=0,0,X108/T108)</f>
        <v>0.54172722498381709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6">
        <v>31.64</v>
      </c>
      <c r="E109" s="2"/>
      <c r="F109" s="7">
        <f t="shared" si="56"/>
        <v>6.0672513778835268E-4</v>
      </c>
      <c r="G109" s="2"/>
      <c r="H109" s="6">
        <v>31.78</v>
      </c>
      <c r="I109" s="2"/>
      <c r="J109" s="7">
        <f t="shared" si="57"/>
        <v>6.6699421721470539E-4</v>
      </c>
      <c r="K109" s="2"/>
      <c r="L109" s="6">
        <f t="shared" si="58"/>
        <v>-0.14000000000000057</v>
      </c>
      <c r="M109" s="2"/>
      <c r="N109" s="7">
        <f t="shared" si="59"/>
        <v>-4.4052863436123526E-3</v>
      </c>
      <c r="O109" s="11"/>
      <c r="P109" s="6">
        <v>1240.97</v>
      </c>
      <c r="Q109" s="2"/>
      <c r="R109" s="7">
        <f t="shared" si="60"/>
        <v>3.866035425329629E-3</v>
      </c>
      <c r="S109" s="2"/>
      <c r="T109" s="6">
        <v>819.67</v>
      </c>
      <c r="U109" s="2"/>
      <c r="V109" s="7">
        <f t="shared" si="61"/>
        <v>2.6097860849085513E-3</v>
      </c>
      <c r="W109" s="2"/>
      <c r="X109" s="6">
        <f t="shared" si="62"/>
        <v>421.30000000000007</v>
      </c>
      <c r="Y109" s="2"/>
      <c r="Z109" s="7">
        <f t="shared" si="63"/>
        <v>0.51398733636707461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6">
        <v>22.05</v>
      </c>
      <c r="E110" s="2"/>
      <c r="F110" s="7">
        <f t="shared" si="56"/>
        <v>4.2282835929940505E-4</v>
      </c>
      <c r="G110" s="2"/>
      <c r="H110" s="6"/>
      <c r="I110" s="2"/>
      <c r="J110" s="7">
        <f t="shared" si="57"/>
        <v>0</v>
      </c>
      <c r="K110" s="2"/>
      <c r="L110" s="6">
        <f t="shared" si="58"/>
        <v>22.05</v>
      </c>
      <c r="M110" s="2"/>
      <c r="N110" s="7">
        <f t="shared" si="59"/>
        <v>0</v>
      </c>
      <c r="O110" s="11"/>
      <c r="P110" s="6">
        <v>22.05</v>
      </c>
      <c r="Q110" s="2"/>
      <c r="R110" s="7">
        <f t="shared" si="60"/>
        <v>6.8693103885281943E-5</v>
      </c>
      <c r="S110" s="2"/>
      <c r="T110" s="6"/>
      <c r="U110" s="2"/>
      <c r="V110" s="7">
        <f t="shared" si="61"/>
        <v>0</v>
      </c>
      <c r="W110" s="2"/>
      <c r="X110" s="6">
        <f t="shared" si="62"/>
        <v>22.05</v>
      </c>
      <c r="Y110" s="2"/>
      <c r="Z110" s="7">
        <f t="shared" si="63"/>
        <v>0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6">
        <v>-0.2</v>
      </c>
      <c r="E111" s="2"/>
      <c r="F111" s="7">
        <f t="shared" si="56"/>
        <v>-3.8351778621261229E-6</v>
      </c>
      <c r="G111" s="2"/>
      <c r="H111" s="6"/>
      <c r="I111" s="2"/>
      <c r="J111" s="7">
        <f t="shared" si="57"/>
        <v>0</v>
      </c>
      <c r="K111" s="2"/>
      <c r="L111" s="6">
        <f t="shared" si="58"/>
        <v>-0.2</v>
      </c>
      <c r="M111" s="2"/>
      <c r="N111" s="7">
        <f t="shared" si="59"/>
        <v>0</v>
      </c>
      <c r="O111" s="11"/>
      <c r="P111" s="6">
        <v>-0.7</v>
      </c>
      <c r="Q111" s="2"/>
      <c r="R111" s="7">
        <f t="shared" si="60"/>
        <v>-2.1807334566756167E-6</v>
      </c>
      <c r="S111" s="2"/>
      <c r="T111" s="6">
        <v>-0.9</v>
      </c>
      <c r="U111" s="2"/>
      <c r="V111" s="7">
        <f t="shared" si="61"/>
        <v>-2.8655525716662758E-6</v>
      </c>
      <c r="W111" s="2"/>
      <c r="X111" s="6">
        <f t="shared" si="62"/>
        <v>0.20000000000000007</v>
      </c>
      <c r="Y111" s="2"/>
      <c r="Z111" s="7">
        <f t="shared" si="63"/>
        <v>-0.22222222222222229</v>
      </c>
    </row>
    <row r="112" spans="1:26" s="26" customFormat="1" outlineLevel="1" collapsed="1" x14ac:dyDescent="0.25">
      <c r="A112" s="27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103</v>
      </c>
      <c r="E112" s="1"/>
      <c r="F112" s="5">
        <f t="shared" ref="F112:F115" si="64">IF(D$12=0,0,D112/D$12)</f>
        <v>1.9751165989949533E-3</v>
      </c>
      <c r="G112" s="1"/>
      <c r="H112" s="1">
        <f>SUM(OSRRefH22_12x_0)</f>
        <v>21</v>
      </c>
      <c r="I112" s="1"/>
      <c r="J112" s="5">
        <f t="shared" ref="J112:J115" si="65">IF(H$12=0,0,H112/H$12)</f>
        <v>4.4074507745465113E-4</v>
      </c>
      <c r="K112" s="1"/>
      <c r="L112" s="1">
        <f t="shared" ref="L112:L115" si="66">+D112-H112</f>
        <v>82</v>
      </c>
      <c r="M112" s="1"/>
      <c r="N112" s="5">
        <f t="shared" ref="N112:N115" si="67">IF(H112=0,0,L112/H112)</f>
        <v>3.9047619047619047</v>
      </c>
      <c r="O112" s="13"/>
      <c r="P112" s="1">
        <f>SUM(OSRRefP22_12x_0)</f>
        <v>679.57</v>
      </c>
      <c r="Q112" s="1"/>
      <c r="R112" s="5">
        <f t="shared" ref="R112:R115" si="68">IF(P$12=0,0,P112/P$12)</f>
        <v>2.1170871930757847E-3</v>
      </c>
      <c r="S112" s="1"/>
      <c r="T112" s="1">
        <f>SUM(OSRRefT22_12x_0)</f>
        <v>572.95000000000005</v>
      </c>
      <c r="U112" s="1"/>
      <c r="V112" s="5">
        <f t="shared" ref="V112:V115" si="69">IF(T$12=0,0,T112/T$12)</f>
        <v>1.8242426065957699E-3</v>
      </c>
      <c r="W112" s="1"/>
      <c r="X112" s="1">
        <f t="shared" ref="X112:X115" si="70">+P112-T112</f>
        <v>106.62</v>
      </c>
      <c r="Y112" s="1"/>
      <c r="Z112" s="5">
        <f t="shared" ref="Z112:Z115" si="71">IF(T112=0,0,X112/T112)</f>
        <v>0.18608953660877911</v>
      </c>
    </row>
    <row r="113" spans="1:26" s="24" customFormat="1" hidden="1" outlineLevel="2" x14ac:dyDescent="0.25">
      <c r="A113" s="25"/>
      <c r="B113" s="11" t="str">
        <f>CONCATENATE("          ", "6309", " - ", "TELEPHONE")</f>
        <v xml:space="preserve">          6309 - TELEPHONE</v>
      </c>
      <c r="C113" s="11"/>
      <c r="D113" s="6">
        <v>103</v>
      </c>
      <c r="E113" s="2"/>
      <c r="F113" s="7">
        <f t="shared" si="64"/>
        <v>1.9751165989949533E-3</v>
      </c>
      <c r="G113" s="2"/>
      <c r="H113" s="6">
        <v>21</v>
      </c>
      <c r="I113" s="2"/>
      <c r="J113" s="7">
        <f t="shared" si="65"/>
        <v>4.4074507745465113E-4</v>
      </c>
      <c r="K113" s="2"/>
      <c r="L113" s="6">
        <f t="shared" si="66"/>
        <v>82</v>
      </c>
      <c r="M113" s="2"/>
      <c r="N113" s="7">
        <f t="shared" si="67"/>
        <v>3.9047619047619047</v>
      </c>
      <c r="O113" s="11"/>
      <c r="P113" s="6">
        <v>679.57</v>
      </c>
      <c r="Q113" s="2"/>
      <c r="R113" s="7">
        <f t="shared" si="68"/>
        <v>2.1170871930757847E-3</v>
      </c>
      <c r="S113" s="2"/>
      <c r="T113" s="6">
        <v>572.95000000000005</v>
      </c>
      <c r="U113" s="2"/>
      <c r="V113" s="7">
        <f t="shared" si="69"/>
        <v>1.8242426065957699E-3</v>
      </c>
      <c r="W113" s="2"/>
      <c r="X113" s="6">
        <f t="shared" si="70"/>
        <v>106.62</v>
      </c>
      <c r="Y113" s="2"/>
      <c r="Z113" s="7">
        <f t="shared" si="71"/>
        <v>0.18608953660877911</v>
      </c>
    </row>
    <row r="114" spans="1:26" s="26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SUM(OSRRefD22_13x_0)</f>
        <v>0</v>
      </c>
      <c r="E114" s="1"/>
      <c r="F114" s="5">
        <f t="shared" si="64"/>
        <v>0</v>
      </c>
      <c r="G114" s="1"/>
      <c r="H114" s="1">
        <f>SUM(OSRRefH22_13x_0)</f>
        <v>0</v>
      </c>
      <c r="I114" s="1"/>
      <c r="J114" s="5">
        <f t="shared" si="65"/>
        <v>0</v>
      </c>
      <c r="K114" s="1"/>
      <c r="L114" s="1">
        <f t="shared" si="66"/>
        <v>0</v>
      </c>
      <c r="M114" s="1"/>
      <c r="N114" s="5">
        <f t="shared" si="67"/>
        <v>0</v>
      </c>
      <c r="O114" s="13"/>
      <c r="P114" s="1">
        <f>SUM(OSRRefP22_13x_0)</f>
        <v>80</v>
      </c>
      <c r="Q114" s="1"/>
      <c r="R114" s="5">
        <f t="shared" si="68"/>
        <v>2.4922668076292765E-4</v>
      </c>
      <c r="S114" s="1"/>
      <c r="T114" s="1">
        <f>SUM(OSRRefT22_13x_0)</f>
        <v>0</v>
      </c>
      <c r="U114" s="1"/>
      <c r="V114" s="5">
        <f t="shared" si="69"/>
        <v>0</v>
      </c>
      <c r="W114" s="1"/>
      <c r="X114" s="1">
        <f t="shared" si="70"/>
        <v>80</v>
      </c>
      <c r="Y114" s="1"/>
      <c r="Z114" s="5">
        <f t="shared" si="71"/>
        <v>0</v>
      </c>
    </row>
    <row r="115" spans="1:26" s="24" customFormat="1" hidden="1" outlineLevel="2" x14ac:dyDescent="0.25">
      <c r="A115" s="25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64"/>
        <v>0</v>
      </c>
      <c r="G115" s="2"/>
      <c r="H115" s="6"/>
      <c r="I115" s="2"/>
      <c r="J115" s="7">
        <f t="shared" si="65"/>
        <v>0</v>
      </c>
      <c r="K115" s="2"/>
      <c r="L115" s="6">
        <f t="shared" si="66"/>
        <v>0</v>
      </c>
      <c r="M115" s="2"/>
      <c r="N115" s="7">
        <f t="shared" si="67"/>
        <v>0</v>
      </c>
      <c r="O115" s="11"/>
      <c r="P115" s="6">
        <v>80</v>
      </c>
      <c r="Q115" s="2"/>
      <c r="R115" s="7">
        <f t="shared" si="68"/>
        <v>2.4922668076292765E-4</v>
      </c>
      <c r="S115" s="2"/>
      <c r="T115" s="6"/>
      <c r="U115" s="2"/>
      <c r="V115" s="7">
        <f t="shared" si="69"/>
        <v>0</v>
      </c>
      <c r="W115" s="2"/>
      <c r="X115" s="6">
        <f t="shared" si="70"/>
        <v>80</v>
      </c>
      <c r="Y115" s="2"/>
      <c r="Z115" s="7">
        <f t="shared" si="71"/>
        <v>0</v>
      </c>
    </row>
    <row r="116" spans="1:26" s="59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0</v>
      </c>
      <c r="E117" s="4"/>
      <c r="F117" s="12">
        <f t="shared" ref="F117:F118" si="72">IF(D$12=0,0,D117/D$12)</f>
        <v>0</v>
      </c>
      <c r="G117" s="4"/>
      <c r="H117" s="4">
        <f>SUM(OSRRefH25x_0)</f>
        <v>0</v>
      </c>
      <c r="I117" s="4"/>
      <c r="J117" s="12">
        <f t="shared" ref="J117:J118" si="73">IF(H$12=0,0,H117/H$12)</f>
        <v>0</v>
      </c>
      <c r="K117" s="4"/>
      <c r="L117" s="4">
        <f t="shared" ref="L117:L118" si="74">+D117-H117</f>
        <v>0</v>
      </c>
      <c r="M117" s="4"/>
      <c r="N117" s="12">
        <f t="shared" ref="N117:N118" si="75">IF(H117=0,0,L117/H117)</f>
        <v>0</v>
      </c>
      <c r="O117" s="10"/>
      <c r="P117" s="4">
        <f>SUM(OSRRefP25x_0)</f>
        <v>68.760000000000005</v>
      </c>
      <c r="Q117" s="4"/>
      <c r="R117" s="12">
        <f t="shared" ref="R117:R118" si="76">IF(P$12=0,0,P117/P$12)</f>
        <v>2.1421033211573633E-4</v>
      </c>
      <c r="S117" s="4"/>
      <c r="T117" s="4">
        <f>SUM(OSRRefT25x_0)</f>
        <v>0</v>
      </c>
      <c r="U117" s="4"/>
      <c r="V117" s="12">
        <f t="shared" ref="V117:V118" si="77">IF(T$12=0,0,T117/T$12)</f>
        <v>0</v>
      </c>
      <c r="W117" s="4"/>
      <c r="X117" s="4">
        <f t="shared" ref="X117:X118" si="78">+P117-T117</f>
        <v>68.760000000000005</v>
      </c>
      <c r="Y117" s="4"/>
      <c r="Z117" s="12">
        <f t="shared" ref="Z117:Z118" si="79">IF(T117=0,0,X117/T117)</f>
        <v>0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0</f>
        <v>0</v>
      </c>
      <c r="E118" s="2"/>
      <c r="F118" s="19">
        <f t="shared" si="72"/>
        <v>0</v>
      </c>
      <c r="G118" s="2"/>
      <c r="H118" s="2">
        <f>0</f>
        <v>0</v>
      </c>
      <c r="I118" s="2"/>
      <c r="J118" s="19">
        <f t="shared" si="73"/>
        <v>0</v>
      </c>
      <c r="K118" s="2"/>
      <c r="L118" s="2">
        <f t="shared" si="74"/>
        <v>0</v>
      </c>
      <c r="M118" s="2"/>
      <c r="N118" s="19">
        <f t="shared" si="75"/>
        <v>0</v>
      </c>
      <c r="O118" s="11"/>
      <c r="P118" s="2">
        <f>--68.76</f>
        <v>68.760000000000005</v>
      </c>
      <c r="Q118" s="2"/>
      <c r="R118" s="19">
        <f t="shared" si="76"/>
        <v>2.1421033211573633E-4</v>
      </c>
      <c r="S118" s="2"/>
      <c r="T118" s="2">
        <f>0</f>
        <v>0</v>
      </c>
      <c r="U118" s="2"/>
      <c r="V118" s="19">
        <f t="shared" si="77"/>
        <v>0</v>
      </c>
      <c r="W118" s="2"/>
      <c r="X118" s="2">
        <f t="shared" si="78"/>
        <v>68.760000000000005</v>
      </c>
      <c r="Y118" s="2"/>
      <c r="Z118" s="19">
        <f t="shared" si="79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3</v>
      </c>
      <c r="C120" s="28"/>
      <c r="D120" s="21">
        <f>+D70-D72+D117</f>
        <v>11306.649999999998</v>
      </c>
      <c r="E120" s="14"/>
      <c r="F120" s="22">
        <f>IF(D$12=0,0,D120/D$12)</f>
        <v>0.21681506887404159</v>
      </c>
      <c r="G120" s="14"/>
      <c r="H120" s="21">
        <f>+H70-H72+H117</f>
        <v>8938.2599999999857</v>
      </c>
      <c r="I120" s="14"/>
      <c r="J120" s="22">
        <f>IF(H$12=0,0,H120/H$12)</f>
        <v>0.18759495695284778</v>
      </c>
      <c r="K120" s="16"/>
      <c r="L120" s="21">
        <f>+D120-H120</f>
        <v>2368.3900000000122</v>
      </c>
      <c r="M120" s="16"/>
      <c r="N120" s="22">
        <f>IF(H120=0,0,L120/H120)</f>
        <v>0.26497215341688607</v>
      </c>
      <c r="O120" s="29"/>
      <c r="P120" s="21">
        <f>+P70-P72+P117</f>
        <v>68363.160000000105</v>
      </c>
      <c r="Q120" s="14"/>
      <c r="R120" s="22">
        <f>IF(P$12=0,0,P120/P$12)</f>
        <v>0.21297404316581214</v>
      </c>
      <c r="S120" s="14"/>
      <c r="T120" s="21">
        <f>+T70-T72+T117</f>
        <v>67568.289999999964</v>
      </c>
      <c r="U120" s="14"/>
      <c r="V120" s="22">
        <f>IF(T$12=0,0,T120/T$12)</f>
        <v>0.21513387463621403</v>
      </c>
      <c r="W120" s="16"/>
      <c r="X120" s="21">
        <f>+P120-T120</f>
        <v>794.87000000014086</v>
      </c>
      <c r="Y120" s="16"/>
      <c r="Z120" s="22">
        <f>IF(T120=0,0,X120/T120)</f>
        <v>1.1763950219846339E-2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4437.79</v>
      </c>
      <c r="E122" s="4"/>
      <c r="F122" s="12">
        <f>IF(D$12=0,0,D122/D$12)</f>
        <v>8.5098569823823439E-2</v>
      </c>
      <c r="G122" s="4"/>
      <c r="H122" s="4">
        <v>3205.62</v>
      </c>
      <c r="I122" s="4"/>
      <c r="J122" s="12">
        <f>IF(H$12=0,0,H122/H$12)</f>
        <v>6.727910643762755E-2</v>
      </c>
      <c r="K122" s="4"/>
      <c r="L122" s="4">
        <f>+D122-H122</f>
        <v>1232.17</v>
      </c>
      <c r="M122" s="4"/>
      <c r="N122" s="12">
        <f>IF(H122=0,0,L122/H122)</f>
        <v>0.38437806103031552</v>
      </c>
      <c r="O122" s="10"/>
      <c r="P122" s="4">
        <v>33475.020000000004</v>
      </c>
      <c r="Q122" s="4"/>
      <c r="R122" s="12">
        <f>IF(P$12=0,0,P122/P$12)</f>
        <v>0.10428585153840775</v>
      </c>
      <c r="S122" s="4"/>
      <c r="T122" s="4">
        <v>31957.340000000004</v>
      </c>
      <c r="U122" s="4"/>
      <c r="V122" s="12">
        <f>IF(T$12=0,0,T122/T$12)</f>
        <v>0.1017504864673484</v>
      </c>
      <c r="W122" s="4"/>
      <c r="X122" s="4">
        <f>+P122-T122</f>
        <v>1517.6800000000003</v>
      </c>
      <c r="Y122" s="4"/>
      <c r="Z122" s="12">
        <f>IF(T122=0,0,X122/T122)</f>
        <v>4.7490811187664558E-2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4</v>
      </c>
      <c r="C124" s="28"/>
      <c r="D124" s="34">
        <f>+D120-D122</f>
        <v>6868.8599999999979</v>
      </c>
      <c r="E124" s="14"/>
      <c r="F124" s="31">
        <f>IF(D$12=0,0,D124/D$12)</f>
        <v>0.13171649905021815</v>
      </c>
      <c r="G124" s="14"/>
      <c r="H124" s="34">
        <f>+H120-H122</f>
        <v>5732.6399999999858</v>
      </c>
      <c r="I124" s="14"/>
      <c r="J124" s="31">
        <f>IF(H$12=0,0,H124/H$12)</f>
        <v>0.12031585051522023</v>
      </c>
      <c r="K124" s="16"/>
      <c r="L124" s="34">
        <f>D124-H124</f>
        <v>1136.2200000000121</v>
      </c>
      <c r="M124" s="16"/>
      <c r="N124" s="31">
        <f>IF(H124=0,0,L124/H124)</f>
        <v>0.19820187557565361</v>
      </c>
      <c r="O124" s="29"/>
      <c r="P124" s="34">
        <f>+P120-P122</f>
        <v>34888.140000000101</v>
      </c>
      <c r="Q124" s="14"/>
      <c r="R124" s="31">
        <f>IF(P$12=0,0,P124/P$12)</f>
        <v>0.1086881916274044</v>
      </c>
      <c r="S124" s="14"/>
      <c r="T124" s="34">
        <f>+T120-T122</f>
        <v>35610.949999999961</v>
      </c>
      <c r="U124" s="14"/>
      <c r="V124" s="31">
        <f>IF(T$12=0,0,T124/T$12)</f>
        <v>0.11338338816886562</v>
      </c>
      <c r="W124" s="16"/>
      <c r="X124" s="34">
        <f>P124-T124</f>
        <v>-722.80999999985943</v>
      </c>
      <c r="Y124" s="16"/>
      <c r="Z124" s="31">
        <f>IF(T124=0,0,X124/T124)</f>
        <v>-2.0297408521813099E-2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5</v>
      </c>
      <c r="C127" s="28"/>
      <c r="D127" s="30">
        <f>SUM(D124:D126)</f>
        <v>6868.8599999999979</v>
      </c>
      <c r="E127" s="14"/>
      <c r="F127" s="33">
        <f>IF(D$12=0,0,D127/D$12)</f>
        <v>0.13171649905021815</v>
      </c>
      <c r="G127" s="14"/>
      <c r="H127" s="30">
        <f>SUM(H124:H126)</f>
        <v>5732.6399999999858</v>
      </c>
      <c r="I127" s="14"/>
      <c r="J127" s="33">
        <f>IF(H$12=0,0,H127/H$12)</f>
        <v>0.12031585051522023</v>
      </c>
      <c r="K127" s="16"/>
      <c r="L127" s="30">
        <f>+D127-H127</f>
        <v>1136.2200000000121</v>
      </c>
      <c r="M127" s="16"/>
      <c r="N127" s="33">
        <f>IF(H127=0,0,L127/H127)</f>
        <v>0.19820187557565361</v>
      </c>
      <c r="O127" s="29"/>
      <c r="P127" s="30">
        <f>SUM(P124:P126)</f>
        <v>34888.140000000101</v>
      </c>
      <c r="Q127" s="14"/>
      <c r="R127" s="33">
        <f>IF(P$12=0,0,P127/P$12)</f>
        <v>0.1086881916274044</v>
      </c>
      <c r="S127" s="14"/>
      <c r="T127" s="30">
        <f>SUM(T124:T126)</f>
        <v>35610.949999999961</v>
      </c>
      <c r="U127" s="14"/>
      <c r="V127" s="33">
        <f>IF(T$12=0,0,T127/T$12)</f>
        <v>0.11338338816886562</v>
      </c>
      <c r="W127" s="16"/>
      <c r="X127" s="30">
        <f>+P127-T127</f>
        <v>-722.80999999985943</v>
      </c>
      <c r="Y127" s="16"/>
      <c r="Z127" s="33">
        <f>IF(T127=0,0,X127/T127)</f>
        <v>-2.0297408521813099E-2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1">
        <v>43879.553781134258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5" t="s">
        <v>313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8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","314", " - ", "Tech/Supplies")</f>
        <v>Department 314 - Tech/Supplies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85758.699999999983</v>
      </c>
      <c r="E12" s="4"/>
      <c r="F12" s="12"/>
      <c r="G12" s="4"/>
      <c r="H12" s="4">
        <f>SUM(OSRRefH13x_0)</f>
        <v>77803.199999999997</v>
      </c>
      <c r="I12" s="4"/>
      <c r="J12" s="12"/>
      <c r="K12" s="4"/>
      <c r="L12" s="4">
        <f t="shared" ref="L12:L33" si="0">+D12-H12</f>
        <v>7955.4999999999854</v>
      </c>
      <c r="M12" s="4"/>
      <c r="N12" s="12">
        <f t="shared" ref="N12:N33" si="1">IF(H12=0,0,L12/H12)</f>
        <v>0.10225157834125057</v>
      </c>
      <c r="O12" s="10"/>
      <c r="P12" s="4">
        <f>SUM(OSRRefP13x_0)</f>
        <v>332891.91000000009</v>
      </c>
      <c r="Q12" s="4"/>
      <c r="R12" s="12"/>
      <c r="S12" s="4"/>
      <c r="T12" s="4">
        <f>SUM(OSRRefT13x_0)</f>
        <v>317824.55000000005</v>
      </c>
      <c r="U12" s="4"/>
      <c r="V12" s="12"/>
      <c r="W12" s="4"/>
      <c r="X12" s="4">
        <f t="shared" ref="X12:X33" si="2">+P12-T12</f>
        <v>15067.360000000044</v>
      </c>
      <c r="Y12" s="4"/>
      <c r="Z12" s="12">
        <f t="shared" ref="Z12:Z33" si="3">IF(T12=0,0,X12/T12)</f>
        <v>4.7407791500058888E-2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--2</f>
        <v>2</v>
      </c>
      <c r="E13" s="2"/>
      <c r="F13" s="19"/>
      <c r="G13" s="2"/>
      <c r="H13" s="2">
        <f>--19.37</f>
        <v>19.37</v>
      </c>
      <c r="I13" s="2"/>
      <c r="J13" s="19"/>
      <c r="K13" s="2"/>
      <c r="L13" s="2">
        <f t="shared" si="0"/>
        <v>-17.37</v>
      </c>
      <c r="M13" s="2"/>
      <c r="N13" s="19">
        <f t="shared" si="1"/>
        <v>-0.89674754775425913</v>
      </c>
      <c r="O13" s="11"/>
      <c r="P13" s="2">
        <f>--211.2</f>
        <v>211.2</v>
      </c>
      <c r="Q13" s="2"/>
      <c r="R13" s="19"/>
      <c r="S13" s="2"/>
      <c r="T13" s="2">
        <f>--670.39</f>
        <v>670.39</v>
      </c>
      <c r="U13" s="2"/>
      <c r="V13" s="19"/>
      <c r="W13" s="2"/>
      <c r="X13" s="2">
        <f t="shared" si="2"/>
        <v>-459.19</v>
      </c>
      <c r="Y13" s="2"/>
      <c r="Z13" s="19">
        <f t="shared" si="3"/>
        <v>-0.6849595011858769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--33.88</f>
        <v>33.880000000000003</v>
      </c>
      <c r="Q14" s="2"/>
      <c r="R14" s="19"/>
      <c r="S14" s="2"/>
      <c r="T14" s="2">
        <f>--20.55</f>
        <v>20.55</v>
      </c>
      <c r="U14" s="2"/>
      <c r="V14" s="19"/>
      <c r="W14" s="2"/>
      <c r="X14" s="2">
        <f t="shared" si="2"/>
        <v>13.330000000000002</v>
      </c>
      <c r="Y14" s="2"/>
      <c r="Z14" s="19">
        <f t="shared" si="3"/>
        <v>0.64866180048661803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--5218.03</f>
        <v>5218.03</v>
      </c>
      <c r="E15" s="2"/>
      <c r="F15" s="19"/>
      <c r="G15" s="2"/>
      <c r="H15" s="2">
        <f>--4635.47</f>
        <v>4635.47</v>
      </c>
      <c r="I15" s="2"/>
      <c r="J15" s="19"/>
      <c r="K15" s="2"/>
      <c r="L15" s="2">
        <f t="shared" si="0"/>
        <v>582.55999999999949</v>
      </c>
      <c r="M15" s="2"/>
      <c r="N15" s="19">
        <f t="shared" si="1"/>
        <v>0.12567441920668226</v>
      </c>
      <c r="O15" s="11"/>
      <c r="P15" s="2">
        <f>--38746.12</f>
        <v>38746.120000000003</v>
      </c>
      <c r="Q15" s="2"/>
      <c r="R15" s="19"/>
      <c r="S15" s="2"/>
      <c r="T15" s="2">
        <f>--37145.41</f>
        <v>37145.410000000003</v>
      </c>
      <c r="U15" s="2"/>
      <c r="V15" s="19"/>
      <c r="W15" s="2"/>
      <c r="X15" s="2">
        <f t="shared" si="2"/>
        <v>1600.7099999999991</v>
      </c>
      <c r="Y15" s="2"/>
      <c r="Z15" s="19">
        <f t="shared" si="3"/>
        <v>4.309307664123236E-2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--12667.75</f>
        <v>12667.75</v>
      </c>
      <c r="E16" s="2"/>
      <c r="F16" s="19"/>
      <c r="G16" s="2"/>
      <c r="H16" s="2">
        <f>--9836.73</f>
        <v>9836.73</v>
      </c>
      <c r="I16" s="2"/>
      <c r="J16" s="19"/>
      <c r="K16" s="2"/>
      <c r="L16" s="2">
        <f t="shared" si="0"/>
        <v>2831.0200000000004</v>
      </c>
      <c r="M16" s="2"/>
      <c r="N16" s="19">
        <f t="shared" si="1"/>
        <v>0.28780092571413474</v>
      </c>
      <c r="O16" s="11"/>
      <c r="P16" s="2">
        <f>--58488.73</f>
        <v>58488.73</v>
      </c>
      <c r="Q16" s="2"/>
      <c r="R16" s="19"/>
      <c r="S16" s="2"/>
      <c r="T16" s="2">
        <f>--48144.5</f>
        <v>48144.5</v>
      </c>
      <c r="U16" s="2"/>
      <c r="V16" s="19"/>
      <c r="W16" s="2"/>
      <c r="X16" s="2">
        <f t="shared" si="2"/>
        <v>10344.230000000003</v>
      </c>
      <c r="Y16" s="2"/>
      <c r="Z16" s="19">
        <f t="shared" si="3"/>
        <v>0.21485797962384079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--63846.18</f>
        <v>63846.18</v>
      </c>
      <c r="E17" s="2"/>
      <c r="F17" s="19"/>
      <c r="G17" s="2"/>
      <c r="H17" s="2">
        <f>--59718.01</f>
        <v>59718.01</v>
      </c>
      <c r="I17" s="2"/>
      <c r="J17" s="19"/>
      <c r="K17" s="2"/>
      <c r="L17" s="2">
        <f t="shared" si="0"/>
        <v>4128.1699999999983</v>
      </c>
      <c r="M17" s="2"/>
      <c r="N17" s="19">
        <f t="shared" si="1"/>
        <v>6.9127722105944228E-2</v>
      </c>
      <c r="O17" s="11"/>
      <c r="P17" s="2">
        <f>--223339.82</f>
        <v>223339.82</v>
      </c>
      <c r="Q17" s="2"/>
      <c r="R17" s="19"/>
      <c r="S17" s="2"/>
      <c r="T17" s="2">
        <f>--207226.21</f>
        <v>207226.21</v>
      </c>
      <c r="U17" s="2"/>
      <c r="V17" s="19"/>
      <c r="W17" s="2"/>
      <c r="X17" s="2">
        <f t="shared" si="2"/>
        <v>16113.610000000015</v>
      </c>
      <c r="Y17" s="2"/>
      <c r="Z17" s="19">
        <f t="shared" si="3"/>
        <v>7.775855187430207E-2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--2013.95</f>
        <v>2013.95</v>
      </c>
      <c r="E18" s="2"/>
      <c r="F18" s="19"/>
      <c r="G18" s="2"/>
      <c r="H18" s="2">
        <f>--1426.86</f>
        <v>1426.86</v>
      </c>
      <c r="I18" s="2"/>
      <c r="J18" s="19"/>
      <c r="K18" s="2"/>
      <c r="L18" s="2">
        <f t="shared" si="0"/>
        <v>587.09000000000015</v>
      </c>
      <c r="M18" s="2"/>
      <c r="N18" s="19">
        <f t="shared" si="1"/>
        <v>0.41145592419718835</v>
      </c>
      <c r="O18" s="11"/>
      <c r="P18" s="2">
        <f>--9700.46</f>
        <v>9700.4599999999991</v>
      </c>
      <c r="Q18" s="2"/>
      <c r="R18" s="19"/>
      <c r="S18" s="2"/>
      <c r="T18" s="2">
        <f>--10209.93</f>
        <v>10209.93</v>
      </c>
      <c r="U18" s="2"/>
      <c r="V18" s="19"/>
      <c r="W18" s="2"/>
      <c r="X18" s="2">
        <f t="shared" si="2"/>
        <v>-509.47000000000116</v>
      </c>
      <c r="Y18" s="2"/>
      <c r="Z18" s="19">
        <f t="shared" si="3"/>
        <v>-4.9899460623138568E-2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0</f>
        <v>0</v>
      </c>
      <c r="E19" s="2"/>
      <c r="F19" s="19"/>
      <c r="G19" s="2"/>
      <c r="H19" s="2">
        <f>--19.74</f>
        <v>19.739999999999998</v>
      </c>
      <c r="I19" s="2"/>
      <c r="J19" s="19"/>
      <c r="K19" s="2"/>
      <c r="L19" s="2">
        <f t="shared" si="0"/>
        <v>-19.739999999999998</v>
      </c>
      <c r="M19" s="2"/>
      <c r="N19" s="19">
        <f t="shared" si="1"/>
        <v>-1</v>
      </c>
      <c r="O19" s="11"/>
      <c r="P19" s="2">
        <f>--16.2</f>
        <v>16.2</v>
      </c>
      <c r="Q19" s="2"/>
      <c r="R19" s="19"/>
      <c r="S19" s="2"/>
      <c r="T19" s="2">
        <f>--365.24</f>
        <v>365.24</v>
      </c>
      <c r="U19" s="2"/>
      <c r="V19" s="19"/>
      <c r="W19" s="2"/>
      <c r="X19" s="2">
        <f t="shared" si="2"/>
        <v>-349.04</v>
      </c>
      <c r="Y19" s="2"/>
      <c r="Z19" s="19">
        <f t="shared" si="3"/>
        <v>-0.95564560289124967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>--98.5</f>
        <v>98.5</v>
      </c>
      <c r="E20" s="2"/>
      <c r="F20" s="19"/>
      <c r="G20" s="2"/>
      <c r="H20" s="2">
        <f>--99.83</f>
        <v>99.83</v>
      </c>
      <c r="I20" s="2"/>
      <c r="J20" s="19"/>
      <c r="K20" s="2"/>
      <c r="L20" s="2">
        <f t="shared" si="0"/>
        <v>-1.3299999999999983</v>
      </c>
      <c r="M20" s="2"/>
      <c r="N20" s="19">
        <f t="shared" si="1"/>
        <v>-1.3322648502454156E-2</v>
      </c>
      <c r="O20" s="11"/>
      <c r="P20" s="2">
        <f>--222.68</f>
        <v>222.68</v>
      </c>
      <c r="Q20" s="2"/>
      <c r="R20" s="19"/>
      <c r="S20" s="2"/>
      <c r="T20" s="2">
        <f>--271.87</f>
        <v>271.87</v>
      </c>
      <c r="U20" s="2"/>
      <c r="V20" s="19"/>
      <c r="W20" s="2"/>
      <c r="X20" s="2">
        <f t="shared" si="2"/>
        <v>-49.19</v>
      </c>
      <c r="Y20" s="2"/>
      <c r="Z20" s="19">
        <f t="shared" si="3"/>
        <v>-0.18093206311840215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--1047.53</f>
        <v>1047.53</v>
      </c>
      <c r="E21" s="2"/>
      <c r="F21" s="19"/>
      <c r="G21" s="2"/>
      <c r="H21" s="2">
        <f>--1096</f>
        <v>1096</v>
      </c>
      <c r="I21" s="2"/>
      <c r="J21" s="19"/>
      <c r="K21" s="2"/>
      <c r="L21" s="2">
        <f t="shared" si="0"/>
        <v>-48.470000000000027</v>
      </c>
      <c r="M21" s="2"/>
      <c r="N21" s="19">
        <f t="shared" si="1"/>
        <v>-4.4224452554744553E-2</v>
      </c>
      <c r="O21" s="11"/>
      <c r="P21" s="2">
        <f>--2556.64</f>
        <v>2556.64</v>
      </c>
      <c r="Q21" s="2"/>
      <c r="R21" s="19"/>
      <c r="S21" s="2"/>
      <c r="T21" s="2">
        <f>--3099.64</f>
        <v>3099.64</v>
      </c>
      <c r="U21" s="2"/>
      <c r="V21" s="19"/>
      <c r="W21" s="2"/>
      <c r="X21" s="2">
        <f t="shared" si="2"/>
        <v>-543</v>
      </c>
      <c r="Y21" s="2"/>
      <c r="Z21" s="19">
        <f t="shared" si="3"/>
        <v>-0.17518163399620601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--1529.21</f>
        <v>1529.21</v>
      </c>
      <c r="E22" s="2"/>
      <c r="F22" s="19"/>
      <c r="G22" s="2"/>
      <c r="H22" s="2">
        <f>--1555.23</f>
        <v>1555.23</v>
      </c>
      <c r="I22" s="2"/>
      <c r="J22" s="19"/>
      <c r="K22" s="2"/>
      <c r="L22" s="2">
        <f t="shared" si="0"/>
        <v>-26.019999999999982</v>
      </c>
      <c r="M22" s="2"/>
      <c r="N22" s="19">
        <f t="shared" si="1"/>
        <v>-1.6730644341994418E-2</v>
      </c>
      <c r="O22" s="11"/>
      <c r="P22" s="2">
        <f>--4120.44</f>
        <v>4120.4399999999996</v>
      </c>
      <c r="Q22" s="2"/>
      <c r="R22" s="19"/>
      <c r="S22" s="2"/>
      <c r="T22" s="2">
        <f>--10991.52</f>
        <v>10991.52</v>
      </c>
      <c r="U22" s="2"/>
      <c r="V22" s="19"/>
      <c r="W22" s="2"/>
      <c r="X22" s="2">
        <f t="shared" si="2"/>
        <v>-6871.0800000000008</v>
      </c>
      <c r="Y22" s="2"/>
      <c r="Z22" s="19">
        <f t="shared" si="3"/>
        <v>-0.6251255513341194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--101.33</f>
        <v>101.33</v>
      </c>
      <c r="E23" s="2"/>
      <c r="F23" s="19"/>
      <c r="G23" s="2"/>
      <c r="H23" s="2">
        <f>--92.92</f>
        <v>92.92</v>
      </c>
      <c r="I23" s="2"/>
      <c r="J23" s="19"/>
      <c r="K23" s="2"/>
      <c r="L23" s="2">
        <f t="shared" si="0"/>
        <v>8.4099999999999966</v>
      </c>
      <c r="M23" s="2"/>
      <c r="N23" s="19">
        <f t="shared" si="1"/>
        <v>9.0507963839862204E-2</v>
      </c>
      <c r="O23" s="11"/>
      <c r="P23" s="2">
        <f>--354.65</f>
        <v>354.65</v>
      </c>
      <c r="Q23" s="2"/>
      <c r="R23" s="19"/>
      <c r="S23" s="2"/>
      <c r="T23" s="2">
        <f>--465.11</f>
        <v>465.11</v>
      </c>
      <c r="U23" s="2"/>
      <c r="V23" s="19"/>
      <c r="W23" s="2"/>
      <c r="X23" s="2">
        <f t="shared" si="2"/>
        <v>-110.46000000000004</v>
      </c>
      <c r="Y23" s="2"/>
      <c r="Z23" s="19">
        <f t="shared" si="3"/>
        <v>-0.23749220614478303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--150.18</f>
        <v>150.18</v>
      </c>
      <c r="E24" s="2"/>
      <c r="F24" s="19"/>
      <c r="G24" s="2"/>
      <c r="H24" s="2">
        <f>--155.88</f>
        <v>155.88</v>
      </c>
      <c r="I24" s="2"/>
      <c r="J24" s="19"/>
      <c r="K24" s="2"/>
      <c r="L24" s="2">
        <f t="shared" si="0"/>
        <v>-5.6999999999999886</v>
      </c>
      <c r="M24" s="2"/>
      <c r="N24" s="19">
        <f t="shared" si="1"/>
        <v>-3.656658968437252E-2</v>
      </c>
      <c r="O24" s="11"/>
      <c r="P24" s="2">
        <f>--1104.67</f>
        <v>1104.67</v>
      </c>
      <c r="Q24" s="2"/>
      <c r="R24" s="19"/>
      <c r="S24" s="2"/>
      <c r="T24" s="2">
        <f>--1179.09</f>
        <v>1179.0899999999999</v>
      </c>
      <c r="U24" s="2"/>
      <c r="V24" s="19"/>
      <c r="W24" s="2"/>
      <c r="X24" s="2">
        <f t="shared" si="2"/>
        <v>-74.419999999999845</v>
      </c>
      <c r="Y24" s="2"/>
      <c r="Z24" s="19">
        <f t="shared" si="3"/>
        <v>-6.3116471176924455E-2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--197.03</f>
        <v>197.03</v>
      </c>
      <c r="E25" s="2"/>
      <c r="F25" s="19"/>
      <c r="G25" s="2"/>
      <c r="H25" s="2">
        <f>--378.69</f>
        <v>378.69</v>
      </c>
      <c r="I25" s="2"/>
      <c r="J25" s="19"/>
      <c r="K25" s="2"/>
      <c r="L25" s="2">
        <f t="shared" si="0"/>
        <v>-181.66</v>
      </c>
      <c r="M25" s="2"/>
      <c r="N25" s="19">
        <f t="shared" si="1"/>
        <v>-0.47970635612242202</v>
      </c>
      <c r="O25" s="11"/>
      <c r="P25" s="2">
        <f>--1711.82</f>
        <v>1711.82</v>
      </c>
      <c r="Q25" s="2"/>
      <c r="R25" s="19"/>
      <c r="S25" s="2"/>
      <c r="T25" s="2">
        <f>--2121.38</f>
        <v>2121.38</v>
      </c>
      <c r="U25" s="2"/>
      <c r="V25" s="19"/>
      <c r="W25" s="2"/>
      <c r="X25" s="2">
        <f t="shared" si="2"/>
        <v>-409.56000000000017</v>
      </c>
      <c r="Y25" s="2"/>
      <c r="Z25" s="19">
        <f t="shared" si="3"/>
        <v>-0.19306300615636998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4">0</f>
        <v>0</v>
      </c>
      <c r="E26" s="2"/>
      <c r="F26" s="19"/>
      <c r="G26" s="2"/>
      <c r="H26" s="2">
        <f>--14.36</f>
        <v>14.36</v>
      </c>
      <c r="I26" s="2"/>
      <c r="J26" s="19"/>
      <c r="K26" s="2"/>
      <c r="L26" s="2">
        <f t="shared" si="0"/>
        <v>-14.36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--121.34</f>
        <v>121.34</v>
      </c>
      <c r="U26" s="2"/>
      <c r="V26" s="19"/>
      <c r="W26" s="2"/>
      <c r="X26" s="2">
        <f t="shared" si="2"/>
        <v>-71.180000000000007</v>
      </c>
      <c r="Y26" s="2"/>
      <c r="Z26" s="19">
        <f t="shared" si="3"/>
        <v>-0.58661611999340701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-14.74</f>
        <v>-14.74</v>
      </c>
      <c r="E28" s="2"/>
      <c r="F28" s="19"/>
      <c r="G28" s="2"/>
      <c r="H28" s="2">
        <f>-22.32</f>
        <v>-22.32</v>
      </c>
      <c r="I28" s="2"/>
      <c r="J28" s="19"/>
      <c r="K28" s="2"/>
      <c r="L28" s="2">
        <f t="shared" si="0"/>
        <v>7.58</v>
      </c>
      <c r="M28" s="2"/>
      <c r="N28" s="19">
        <f t="shared" si="1"/>
        <v>-0.3396057347670251</v>
      </c>
      <c r="O28" s="11"/>
      <c r="P28" s="2">
        <f>-94.32</f>
        <v>-94.32</v>
      </c>
      <c r="Q28" s="2"/>
      <c r="R28" s="19"/>
      <c r="S28" s="2"/>
      <c r="T28" s="2">
        <f>-84.74</f>
        <v>-84.74</v>
      </c>
      <c r="U28" s="2"/>
      <c r="V28" s="19"/>
      <c r="W28" s="2"/>
      <c r="X28" s="2">
        <f t="shared" si="2"/>
        <v>-9.5799999999999983</v>
      </c>
      <c r="Y28" s="2"/>
      <c r="Z28" s="19">
        <f t="shared" si="3"/>
        <v>0.11305168751475099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-147.56</f>
        <v>-147.56</v>
      </c>
      <c r="E29" s="2"/>
      <c r="F29" s="19"/>
      <c r="G29" s="2"/>
      <c r="H29" s="2">
        <f>-27.76</f>
        <v>-27.76</v>
      </c>
      <c r="I29" s="2"/>
      <c r="J29" s="19"/>
      <c r="K29" s="2"/>
      <c r="L29" s="2">
        <f t="shared" si="0"/>
        <v>-119.8</v>
      </c>
      <c r="M29" s="2"/>
      <c r="N29" s="19">
        <f t="shared" si="1"/>
        <v>4.3155619596541781</v>
      </c>
      <c r="O29" s="11"/>
      <c r="P29" s="2">
        <f>-537.35</f>
        <v>-537.35</v>
      </c>
      <c r="Q29" s="2"/>
      <c r="R29" s="19"/>
      <c r="S29" s="2"/>
      <c r="T29" s="2">
        <f>-244.95</f>
        <v>-244.95</v>
      </c>
      <c r="U29" s="2"/>
      <c r="V29" s="19"/>
      <c r="W29" s="2"/>
      <c r="X29" s="2">
        <f t="shared" si="2"/>
        <v>-292.40000000000003</v>
      </c>
      <c r="Y29" s="2"/>
      <c r="Z29" s="19">
        <f t="shared" si="3"/>
        <v>1.1937130026536029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-948.2</f>
        <v>-948.2</v>
      </c>
      <c r="E30" s="2"/>
      <c r="F30" s="19"/>
      <c r="G30" s="2"/>
      <c r="H30" s="2">
        <f>-1174.02</f>
        <v>-1174.02</v>
      </c>
      <c r="I30" s="2"/>
      <c r="J30" s="19"/>
      <c r="K30" s="2"/>
      <c r="L30" s="2">
        <f t="shared" si="0"/>
        <v>225.81999999999994</v>
      </c>
      <c r="M30" s="2"/>
      <c r="N30" s="19">
        <f t="shared" si="1"/>
        <v>-0.19234766017614685</v>
      </c>
      <c r="O30" s="11"/>
      <c r="P30" s="2">
        <f>-6868.8</f>
        <v>-6868.8</v>
      </c>
      <c r="Q30" s="2"/>
      <c r="R30" s="19"/>
      <c r="S30" s="2"/>
      <c r="T30" s="2">
        <f>-3811.8</f>
        <v>-3811.8</v>
      </c>
      <c r="U30" s="2"/>
      <c r="V30" s="19"/>
      <c r="W30" s="2"/>
      <c r="X30" s="2">
        <f t="shared" si="2"/>
        <v>-3057</v>
      </c>
      <c r="Y30" s="2"/>
      <c r="Z30" s="19">
        <f t="shared" si="3"/>
        <v>0.80198331496930575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-2.49</f>
        <v>-2.4900000000000002</v>
      </c>
      <c r="E31" s="2"/>
      <c r="F31" s="19"/>
      <c r="G31" s="2"/>
      <c r="H31" s="2">
        <f>-15.1</f>
        <v>-15.1</v>
      </c>
      <c r="I31" s="2"/>
      <c r="J31" s="19"/>
      <c r="K31" s="2"/>
      <c r="L31" s="2">
        <f t="shared" si="0"/>
        <v>12.61</v>
      </c>
      <c r="M31" s="2"/>
      <c r="N31" s="19">
        <f t="shared" si="1"/>
        <v>-0.83509933774834433</v>
      </c>
      <c r="O31" s="11"/>
      <c r="P31" s="2">
        <f>-240.24</f>
        <v>-240.24</v>
      </c>
      <c r="Q31" s="2"/>
      <c r="R31" s="19"/>
      <c r="S31" s="2"/>
      <c r="T31" s="2">
        <f>-49.87</f>
        <v>-49.87</v>
      </c>
      <c r="U31" s="2"/>
      <c r="V31" s="19"/>
      <c r="W31" s="2"/>
      <c r="X31" s="2">
        <f t="shared" si="2"/>
        <v>-190.37</v>
      </c>
      <c r="Y31" s="2"/>
      <c r="Z31" s="19">
        <f t="shared" si="3"/>
        <v>3.8173250451173053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ref="D32:D33" si="5">0</f>
        <v>0</v>
      </c>
      <c r="E32" s="2"/>
      <c r="F32" s="19"/>
      <c r="G32" s="2"/>
      <c r="H32" s="2">
        <f>-6.69</f>
        <v>-6.69</v>
      </c>
      <c r="I32" s="2"/>
      <c r="J32" s="19"/>
      <c r="K32" s="2"/>
      <c r="L32" s="2">
        <f t="shared" si="0"/>
        <v>6.69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-14.77</f>
        <v>-14.77</v>
      </c>
      <c r="U32" s="2"/>
      <c r="V32" s="19"/>
      <c r="W32" s="2"/>
      <c r="X32" s="2">
        <f t="shared" si="2"/>
        <v>14.77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5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42576.62</v>
      </c>
      <c r="E35" s="4"/>
      <c r="F35" s="12">
        <f t="shared" ref="F35:F50" si="6">IF(D$12=0,0,D35/D$12)</f>
        <v>0.49646997913914287</v>
      </c>
      <c r="G35" s="4"/>
      <c r="H35" s="4">
        <f>SUM(OSRRefH16x_0)</f>
        <v>40111.040000000001</v>
      </c>
      <c r="I35" s="4"/>
      <c r="J35" s="12">
        <f t="shared" ref="J35:J50" si="7">IF(H$12=0,0,H35/H$12)</f>
        <v>0.51554486190799353</v>
      </c>
      <c r="K35" s="4"/>
      <c r="L35" s="4">
        <f t="shared" ref="L35:L50" si="8">+D35-H35</f>
        <v>2465.5800000000017</v>
      </c>
      <c r="M35" s="4"/>
      <c r="N35" s="12">
        <f t="shared" ref="N35:N50" si="9">IF(H35=0,0,L35/H35)</f>
        <v>6.1468862437872508E-2</v>
      </c>
      <c r="O35" s="10"/>
      <c r="P35" s="4">
        <f>SUM(OSRRefP16x_0)</f>
        <v>157982.32000000004</v>
      </c>
      <c r="Q35" s="4"/>
      <c r="R35" s="12">
        <f t="shared" ref="R35:R50" si="10">IF(P$12=0,0,P35/P$12)</f>
        <v>0.47457542599938818</v>
      </c>
      <c r="S35" s="4"/>
      <c r="T35" s="4">
        <f>SUM(OSRRefT16x_0)</f>
        <v>160239.32</v>
      </c>
      <c r="U35" s="4"/>
      <c r="V35" s="12">
        <f t="shared" ref="V35:V50" si="11">IF(T$12=0,0,T35/T$12)</f>
        <v>0.50417540117652959</v>
      </c>
      <c r="W35" s="4"/>
      <c r="X35" s="4">
        <f t="shared" ref="X35:X50" si="12">+P35-T35</f>
        <v>-2256.9999999999709</v>
      </c>
      <c r="Y35" s="4"/>
      <c r="Z35" s="12">
        <f t="shared" ref="Z35:Z50" si="13">IF(T35=0,0,X35/T35)</f>
        <v>-1.408518208889036E-2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>
        <v>239.9</v>
      </c>
      <c r="U36" s="2"/>
      <c r="V36" s="19">
        <f t="shared" si="11"/>
        <v>7.5481897166219524E-4</v>
      </c>
      <c r="W36" s="2"/>
      <c r="X36" s="2">
        <f t="shared" si="12"/>
        <v>-239.9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840.94</v>
      </c>
      <c r="E37" s="2"/>
      <c r="F37" s="19">
        <f t="shared" si="6"/>
        <v>9.8058855836200901E-3</v>
      </c>
      <c r="G37" s="2"/>
      <c r="H37" s="2">
        <v>1306.72</v>
      </c>
      <c r="I37" s="2"/>
      <c r="J37" s="19">
        <f t="shared" si="7"/>
        <v>1.6795196084479817E-2</v>
      </c>
      <c r="K37" s="2"/>
      <c r="L37" s="2">
        <f t="shared" si="8"/>
        <v>-465.78</v>
      </c>
      <c r="M37" s="2"/>
      <c r="N37" s="19">
        <f t="shared" si="9"/>
        <v>-0.35644973674543895</v>
      </c>
      <c r="O37" s="11"/>
      <c r="P37" s="2">
        <v>22466.969999999998</v>
      </c>
      <c r="Q37" s="2"/>
      <c r="R37" s="19">
        <f t="shared" si="10"/>
        <v>6.7490285360193913E-2</v>
      </c>
      <c r="S37" s="2"/>
      <c r="T37" s="2">
        <v>15911.489999999998</v>
      </c>
      <c r="U37" s="2"/>
      <c r="V37" s="19">
        <f t="shared" si="11"/>
        <v>5.006375372827554E-2</v>
      </c>
      <c r="W37" s="2"/>
      <c r="X37" s="2">
        <f t="shared" si="12"/>
        <v>6555.48</v>
      </c>
      <c r="Y37" s="2"/>
      <c r="Z37" s="19">
        <f t="shared" si="13"/>
        <v>0.41199661376778668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6662.4</v>
      </c>
      <c r="E38" s="2"/>
      <c r="F38" s="19">
        <f t="shared" si="6"/>
        <v>7.7687744800236019E-2</v>
      </c>
      <c r="G38" s="2"/>
      <c r="H38" s="2">
        <v>8945.0400000000009</v>
      </c>
      <c r="I38" s="2"/>
      <c r="J38" s="19">
        <f t="shared" si="7"/>
        <v>0.11497007835153311</v>
      </c>
      <c r="K38" s="2"/>
      <c r="L38" s="2">
        <f t="shared" si="8"/>
        <v>-2282.6400000000012</v>
      </c>
      <c r="M38" s="2"/>
      <c r="N38" s="19">
        <f t="shared" si="9"/>
        <v>-0.25518499637788106</v>
      </c>
      <c r="O38" s="11"/>
      <c r="P38" s="2">
        <v>38390.22</v>
      </c>
      <c r="Q38" s="2"/>
      <c r="R38" s="19">
        <f t="shared" si="10"/>
        <v>0.11532337929149432</v>
      </c>
      <c r="S38" s="2"/>
      <c r="T38" s="2">
        <v>38716.959999999999</v>
      </c>
      <c r="U38" s="2"/>
      <c r="V38" s="19">
        <f t="shared" si="11"/>
        <v>0.12181865749514943</v>
      </c>
      <c r="W38" s="2"/>
      <c r="X38" s="2">
        <f t="shared" si="12"/>
        <v>-326.73999999999796</v>
      </c>
      <c r="Y38" s="2"/>
      <c r="Z38" s="19">
        <f t="shared" si="13"/>
        <v>-8.4391956393270028E-3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41449.379999999997</v>
      </c>
      <c r="E39" s="2"/>
      <c r="F39" s="19">
        <f t="shared" si="6"/>
        <v>0.48332565675552458</v>
      </c>
      <c r="G39" s="2"/>
      <c r="H39" s="2">
        <v>14619.65</v>
      </c>
      <c r="I39" s="2"/>
      <c r="J39" s="19">
        <f t="shared" si="7"/>
        <v>0.18790551031320049</v>
      </c>
      <c r="K39" s="2"/>
      <c r="L39" s="2">
        <f t="shared" si="8"/>
        <v>26829.729999999996</v>
      </c>
      <c r="M39" s="2"/>
      <c r="N39" s="19">
        <f t="shared" si="9"/>
        <v>1.8351827848135898</v>
      </c>
      <c r="O39" s="11"/>
      <c r="P39" s="2">
        <v>117456.15000000001</v>
      </c>
      <c r="Q39" s="2"/>
      <c r="R39" s="19">
        <f t="shared" si="10"/>
        <v>0.35283569973208412</v>
      </c>
      <c r="S39" s="2"/>
      <c r="T39" s="2">
        <v>110139.76</v>
      </c>
      <c r="U39" s="2"/>
      <c r="V39" s="19">
        <f t="shared" si="11"/>
        <v>0.34654264436148807</v>
      </c>
      <c r="W39" s="2"/>
      <c r="X39" s="2">
        <f t="shared" si="12"/>
        <v>7316.390000000014</v>
      </c>
      <c r="Y39" s="2"/>
      <c r="Z39" s="19">
        <f t="shared" si="13"/>
        <v>6.6428236269990185E-2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1487.45</v>
      </c>
      <c r="E40" s="2"/>
      <c r="F40" s="19">
        <f t="shared" si="6"/>
        <v>1.7344595941869458E-2</v>
      </c>
      <c r="G40" s="2"/>
      <c r="H40" s="2">
        <v>1031.6300000000001</v>
      </c>
      <c r="I40" s="2"/>
      <c r="J40" s="19">
        <f t="shared" si="7"/>
        <v>1.32594803298579E-2</v>
      </c>
      <c r="K40" s="2"/>
      <c r="L40" s="2">
        <f t="shared" si="8"/>
        <v>455.81999999999994</v>
      </c>
      <c r="M40" s="2"/>
      <c r="N40" s="19">
        <f t="shared" si="9"/>
        <v>0.44184445973847203</v>
      </c>
      <c r="O40" s="11"/>
      <c r="P40" s="2">
        <v>4997.4399999999996</v>
      </c>
      <c r="Q40" s="2"/>
      <c r="R40" s="19">
        <f t="shared" si="10"/>
        <v>1.5012200206367281E-2</v>
      </c>
      <c r="S40" s="2"/>
      <c r="T40" s="2">
        <v>4245.22</v>
      </c>
      <c r="U40" s="2"/>
      <c r="V40" s="19">
        <f t="shared" si="11"/>
        <v>1.3357117944475968E-2</v>
      </c>
      <c r="W40" s="2"/>
      <c r="X40" s="2">
        <f t="shared" si="12"/>
        <v>752.21999999999935</v>
      </c>
      <c r="Y40" s="2"/>
      <c r="Z40" s="19">
        <f t="shared" si="13"/>
        <v>0.1771922303202188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124.92</v>
      </c>
      <c r="E41" s="2"/>
      <c r="F41" s="19">
        <f t="shared" si="6"/>
        <v>1.4566452150044256E-3</v>
      </c>
      <c r="G41" s="2"/>
      <c r="H41" s="2">
        <v>78.61</v>
      </c>
      <c r="I41" s="2"/>
      <c r="J41" s="19">
        <f t="shared" si="7"/>
        <v>1.0103697534291649E-3</v>
      </c>
      <c r="K41" s="2"/>
      <c r="L41" s="2">
        <f t="shared" si="8"/>
        <v>46.31</v>
      </c>
      <c r="M41" s="2"/>
      <c r="N41" s="19">
        <f t="shared" si="9"/>
        <v>0.58911080015265238</v>
      </c>
      <c r="O41" s="11"/>
      <c r="P41" s="2">
        <v>393.09</v>
      </c>
      <c r="Q41" s="2"/>
      <c r="R41" s="19">
        <f t="shared" si="10"/>
        <v>1.1808337427004455E-3</v>
      </c>
      <c r="S41" s="2"/>
      <c r="T41" s="2">
        <v>988.06</v>
      </c>
      <c r="U41" s="2"/>
      <c r="V41" s="19">
        <f t="shared" si="11"/>
        <v>3.1088221473136667E-3</v>
      </c>
      <c r="W41" s="2"/>
      <c r="X41" s="2">
        <f t="shared" si="12"/>
        <v>-594.97</v>
      </c>
      <c r="Y41" s="2"/>
      <c r="Z41" s="19">
        <f t="shared" si="13"/>
        <v>-0.60215978786713364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121.62</v>
      </c>
      <c r="E42" s="2"/>
      <c r="F42" s="19">
        <f t="shared" si="6"/>
        <v>1.418165154089323E-3</v>
      </c>
      <c r="G42" s="2"/>
      <c r="H42" s="2">
        <v>158.22999999999999</v>
      </c>
      <c r="I42" s="2"/>
      <c r="J42" s="19">
        <f t="shared" si="7"/>
        <v>2.0337209780574577E-3</v>
      </c>
      <c r="K42" s="2"/>
      <c r="L42" s="2">
        <f t="shared" si="8"/>
        <v>-36.609999999999985</v>
      </c>
      <c r="M42" s="2"/>
      <c r="N42" s="19">
        <f t="shared" si="9"/>
        <v>-0.23137205334007449</v>
      </c>
      <c r="O42" s="11"/>
      <c r="P42" s="2">
        <v>411.22</v>
      </c>
      <c r="Q42" s="2"/>
      <c r="R42" s="19">
        <f t="shared" si="10"/>
        <v>1.2352958652554816E-3</v>
      </c>
      <c r="S42" s="2"/>
      <c r="T42" s="2">
        <v>770.42</v>
      </c>
      <c r="U42" s="2"/>
      <c r="V42" s="19">
        <f t="shared" si="11"/>
        <v>2.4240418180408022E-3</v>
      </c>
      <c r="W42" s="2"/>
      <c r="X42" s="2">
        <f t="shared" si="12"/>
        <v>-359.19999999999993</v>
      </c>
      <c r="Y42" s="2"/>
      <c r="Z42" s="19">
        <f t="shared" si="13"/>
        <v>-0.46623919420575782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36.25</v>
      </c>
      <c r="Q43" s="2"/>
      <c r="R43" s="19">
        <f t="shared" si="10"/>
        <v>1.0889420532929139E-4</v>
      </c>
      <c r="S43" s="2"/>
      <c r="T43" s="2">
        <v>78.180000000000007</v>
      </c>
      <c r="U43" s="2"/>
      <c r="V43" s="19">
        <f t="shared" si="11"/>
        <v>2.459847736746579E-4</v>
      </c>
      <c r="W43" s="2"/>
      <c r="X43" s="2">
        <f t="shared" si="12"/>
        <v>-41.930000000000007</v>
      </c>
      <c r="Y43" s="2"/>
      <c r="Z43" s="19">
        <f t="shared" si="13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-50759</v>
      </c>
      <c r="E44" s="2"/>
      <c r="F44" s="19">
        <f t="shared" si="6"/>
        <v>-0.59188163999687504</v>
      </c>
      <c r="G44" s="2"/>
      <c r="H44" s="2">
        <v>-26496</v>
      </c>
      <c r="I44" s="2"/>
      <c r="J44" s="19">
        <f t="shared" si="7"/>
        <v>-0.34055154543771982</v>
      </c>
      <c r="K44" s="2"/>
      <c r="L44" s="2">
        <f t="shared" si="8"/>
        <v>-24263</v>
      </c>
      <c r="M44" s="2"/>
      <c r="N44" s="19">
        <f t="shared" si="9"/>
        <v>0.91572312801932365</v>
      </c>
      <c r="O44" s="11"/>
      <c r="P44" s="2">
        <v>-186049</v>
      </c>
      <c r="Q44" s="2"/>
      <c r="R44" s="19">
        <f t="shared" si="10"/>
        <v>-0.55888711744301611</v>
      </c>
      <c r="S44" s="2"/>
      <c r="T44" s="2">
        <v>-172765</v>
      </c>
      <c r="U44" s="2"/>
      <c r="V44" s="19">
        <f t="shared" si="11"/>
        <v>-0.54358607602842501</v>
      </c>
      <c r="W44" s="2"/>
      <c r="X44" s="2">
        <f t="shared" si="12"/>
        <v>-13284</v>
      </c>
      <c r="Y44" s="2"/>
      <c r="Z44" s="19">
        <f t="shared" si="13"/>
        <v>7.6890573900963738E-2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42576</v>
      </c>
      <c r="E45" s="2"/>
      <c r="F45" s="19">
        <f t="shared" si="6"/>
        <v>0.49646274955194059</v>
      </c>
      <c r="G45" s="2"/>
      <c r="H45" s="2">
        <v>40112</v>
      </c>
      <c r="I45" s="2"/>
      <c r="J45" s="19">
        <f t="shared" si="7"/>
        <v>0.51555720073210354</v>
      </c>
      <c r="K45" s="2"/>
      <c r="L45" s="2">
        <f t="shared" si="8"/>
        <v>2464</v>
      </c>
      <c r="M45" s="2"/>
      <c r="N45" s="19">
        <f t="shared" si="9"/>
        <v>6.1428001595532508E-2</v>
      </c>
      <c r="O45" s="11"/>
      <c r="P45" s="2">
        <v>157976</v>
      </c>
      <c r="Q45" s="2"/>
      <c r="R45" s="19">
        <f t="shared" si="10"/>
        <v>0.4745564408579348</v>
      </c>
      <c r="S45" s="2"/>
      <c r="T45" s="2">
        <v>160241</v>
      </c>
      <c r="U45" s="2"/>
      <c r="V45" s="19">
        <f t="shared" si="11"/>
        <v>0.50418068711180419</v>
      </c>
      <c r="W45" s="2"/>
      <c r="X45" s="2">
        <f t="shared" si="12"/>
        <v>-2265</v>
      </c>
      <c r="Y45" s="2"/>
      <c r="Z45" s="19">
        <f t="shared" si="13"/>
        <v>-1.4134959217678373E-2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6</v>
      </c>
      <c r="Q46" s="2"/>
      <c r="R46" s="19">
        <f t="shared" si="10"/>
        <v>1.8023868468296505E-5</v>
      </c>
      <c r="S46" s="2"/>
      <c r="T46" s="2"/>
      <c r="U46" s="2"/>
      <c r="V46" s="19">
        <f t="shared" si="11"/>
        <v>0</v>
      </c>
      <c r="W46" s="2"/>
      <c r="X46" s="2">
        <f t="shared" si="12"/>
        <v>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/>
      <c r="E47" s="2"/>
      <c r="F47" s="19">
        <f t="shared" si="6"/>
        <v>0</v>
      </c>
      <c r="G47" s="2"/>
      <c r="H47" s="2">
        <v>232.99</v>
      </c>
      <c r="I47" s="2"/>
      <c r="J47" s="19">
        <f t="shared" si="7"/>
        <v>2.9946069056285603E-3</v>
      </c>
      <c r="K47" s="2"/>
      <c r="L47" s="2">
        <f t="shared" si="8"/>
        <v>-232.99</v>
      </c>
      <c r="M47" s="2"/>
      <c r="N47" s="19">
        <f t="shared" si="9"/>
        <v>-1</v>
      </c>
      <c r="O47" s="11"/>
      <c r="P47" s="2">
        <v>622.41</v>
      </c>
      <c r="Q47" s="2"/>
      <c r="R47" s="19">
        <f t="shared" si="10"/>
        <v>1.869705995558738E-3</v>
      </c>
      <c r="S47" s="2"/>
      <c r="T47" s="2">
        <v>283.91000000000003</v>
      </c>
      <c r="U47" s="2"/>
      <c r="V47" s="19">
        <f t="shared" si="11"/>
        <v>8.9329159751819036E-4</v>
      </c>
      <c r="W47" s="2"/>
      <c r="X47" s="2">
        <f t="shared" si="12"/>
        <v>338.49999999999994</v>
      </c>
      <c r="Y47" s="2"/>
      <c r="Z47" s="19">
        <f t="shared" si="13"/>
        <v>1.1922792434222109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/>
      <c r="E48" s="2"/>
      <c r="F48" s="19">
        <f t="shared" si="6"/>
        <v>0</v>
      </c>
      <c r="G48" s="2"/>
      <c r="H48" s="2">
        <v>16.86</v>
      </c>
      <c r="I48" s="2"/>
      <c r="J48" s="19">
        <f t="shared" si="7"/>
        <v>2.1670059843296934E-4</v>
      </c>
      <c r="K48" s="2"/>
      <c r="L48" s="2">
        <f t="shared" si="8"/>
        <v>-16.86</v>
      </c>
      <c r="M48" s="2"/>
      <c r="N48" s="19">
        <f t="shared" si="9"/>
        <v>-1</v>
      </c>
      <c r="O48" s="11"/>
      <c r="P48" s="2">
        <v>260.35000000000002</v>
      </c>
      <c r="Q48" s="2"/>
      <c r="R48" s="19">
        <f t="shared" si="10"/>
        <v>7.8208569262016594E-4</v>
      </c>
      <c r="S48" s="2"/>
      <c r="T48" s="2">
        <v>131.16</v>
      </c>
      <c r="U48" s="2"/>
      <c r="V48" s="19">
        <f t="shared" si="11"/>
        <v>4.1268051822931857E-4</v>
      </c>
      <c r="W48" s="2"/>
      <c r="X48" s="2">
        <f t="shared" si="12"/>
        <v>129.19000000000003</v>
      </c>
      <c r="Y48" s="2"/>
      <c r="Z48" s="19">
        <f t="shared" si="13"/>
        <v>0.98498017688319628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72.91</v>
      </c>
      <c r="E49" s="2"/>
      <c r="F49" s="19">
        <f t="shared" si="6"/>
        <v>8.5017613373337064E-4</v>
      </c>
      <c r="G49" s="2"/>
      <c r="H49" s="2">
        <v>105.31</v>
      </c>
      <c r="I49" s="2"/>
      <c r="J49" s="19">
        <f t="shared" si="7"/>
        <v>1.3535432989902729E-3</v>
      </c>
      <c r="K49" s="2"/>
      <c r="L49" s="2">
        <f t="shared" si="8"/>
        <v>-32.400000000000006</v>
      </c>
      <c r="M49" s="2"/>
      <c r="N49" s="19">
        <f t="shared" si="9"/>
        <v>-0.30766308992498342</v>
      </c>
      <c r="O49" s="11"/>
      <c r="P49" s="2">
        <v>958.31</v>
      </c>
      <c r="Q49" s="2"/>
      <c r="R49" s="19">
        <f t="shared" si="10"/>
        <v>2.8787422319755374E-3</v>
      </c>
      <c r="S49" s="2"/>
      <c r="T49" s="2">
        <v>1242.48</v>
      </c>
      <c r="U49" s="2"/>
      <c r="V49" s="19">
        <f t="shared" si="11"/>
        <v>3.9093267024211936E-3</v>
      </c>
      <c r="W49" s="2"/>
      <c r="X49" s="2">
        <f t="shared" si="12"/>
        <v>-284.17000000000007</v>
      </c>
      <c r="Y49" s="2"/>
      <c r="Z49" s="19">
        <f t="shared" si="13"/>
        <v>-0.22871193097675621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56.91</v>
      </c>
      <c r="Q50" s="2"/>
      <c r="R50" s="19">
        <f t="shared" si="10"/>
        <v>1.7095639242179235E-4</v>
      </c>
      <c r="S50" s="2"/>
      <c r="T50" s="2">
        <v>15.78</v>
      </c>
      <c r="U50" s="2"/>
      <c r="V50" s="19">
        <f t="shared" si="11"/>
        <v>4.9650034901331561E-5</v>
      </c>
      <c r="W50" s="2"/>
      <c r="X50" s="2">
        <f t="shared" si="12"/>
        <v>41.129999999999995</v>
      </c>
      <c r="Y50" s="2"/>
      <c r="Z50" s="19">
        <f t="shared" si="13"/>
        <v>2.6064638783269962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8" t="s">
        <v>6</v>
      </c>
      <c r="C52" s="28"/>
      <c r="D52" s="21">
        <f>D12-D35</f>
        <v>43182.07999999998</v>
      </c>
      <c r="E52" s="14"/>
      <c r="F52" s="22">
        <f>IF(D$12=0,0,D52/D$12)</f>
        <v>0.50353002086085719</v>
      </c>
      <c r="G52" s="14"/>
      <c r="H52" s="21">
        <f>H12-H35</f>
        <v>37692.159999999996</v>
      </c>
      <c r="I52" s="14"/>
      <c r="J52" s="22">
        <f>IF(H$12=0,0,H52/H$12)</f>
        <v>0.48445513809200647</v>
      </c>
      <c r="K52" s="16"/>
      <c r="L52" s="21">
        <f>+D52-H52</f>
        <v>5489.9199999999837</v>
      </c>
      <c r="M52" s="16"/>
      <c r="N52" s="22">
        <f>IF(H52=0,0,L52/H52)</f>
        <v>0.14565150949162861</v>
      </c>
      <c r="O52" s="29"/>
      <c r="P52" s="21">
        <f>P12-P35</f>
        <v>174909.59000000005</v>
      </c>
      <c r="Q52" s="14"/>
      <c r="R52" s="22">
        <f>IF(P$12=0,0,P52/P$12)</f>
        <v>0.52542457400061182</v>
      </c>
      <c r="S52" s="14"/>
      <c r="T52" s="21">
        <f>T12-T35</f>
        <v>157585.23000000004</v>
      </c>
      <c r="U52" s="14"/>
      <c r="V52" s="22">
        <f>IF(T$12=0,0,T52/T$12)</f>
        <v>0.49582459882347041</v>
      </c>
      <c r="W52" s="16"/>
      <c r="X52" s="21">
        <f>+P52-T52</f>
        <v>17324.360000000015</v>
      </c>
      <c r="Y52" s="16"/>
      <c r="Z52" s="22">
        <f>IF(T52=0,0,X52/T52)</f>
        <v>0.10993644518588455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9" t="s">
        <v>9</v>
      </c>
      <c r="C54" s="10"/>
      <c r="D54" s="20">
        <f>SUM(OSRRefD22x_0)</f>
        <v>13444.84</v>
      </c>
      <c r="E54" s="20"/>
      <c r="F54" s="32">
        <f t="shared" ref="F54:F63" si="14">IF(D$12=0,0,D54/D$12)</f>
        <v>0.1567752309678202</v>
      </c>
      <c r="G54" s="20"/>
      <c r="H54" s="20">
        <f>SUM(OSRRefH22x_0)</f>
        <v>13465.609999999999</v>
      </c>
      <c r="I54" s="20"/>
      <c r="J54" s="32">
        <f t="shared" ref="J54:J63" si="15">IF(H$12=0,0,H54/H$12)</f>
        <v>0.17307270137989181</v>
      </c>
      <c r="K54" s="4"/>
      <c r="L54" s="20">
        <f t="shared" ref="L54:L63" si="16">+D54-H54</f>
        <v>-20.769999999998618</v>
      </c>
      <c r="M54" s="4"/>
      <c r="N54" s="32">
        <f t="shared" ref="N54:N63" si="17">IF(H54=0,0,L54/H54)</f>
        <v>-1.5424477613712724E-3</v>
      </c>
      <c r="O54" s="10"/>
      <c r="P54" s="20">
        <f>SUM(OSRRefP22x_0)</f>
        <v>73024.660000000018</v>
      </c>
      <c r="Q54" s="20"/>
      <c r="R54" s="32">
        <f t="shared" ref="R54:R63" si="18">IF(P$12=0,0,P54/P$12)</f>
        <v>0.21936447779701224</v>
      </c>
      <c r="S54" s="20"/>
      <c r="T54" s="20">
        <f>SUM(OSRRefT22x_0)</f>
        <v>67987.860000000015</v>
      </c>
      <c r="U54" s="20"/>
      <c r="V54" s="32">
        <f t="shared" ref="V54:V63" si="19">IF(T$12=0,0,T54/T$12)</f>
        <v>0.21391632584707507</v>
      </c>
      <c r="W54" s="4"/>
      <c r="X54" s="20">
        <f t="shared" ref="X54:X63" si="20">+P54-T54</f>
        <v>5036.8000000000029</v>
      </c>
      <c r="Y54" s="4"/>
      <c r="Z54" s="32">
        <f t="shared" ref="Z54:Z63" si="21">IF(T54=0,0,X54/T54)</f>
        <v>7.4083814375095813E-2</v>
      </c>
    </row>
    <row r="55" spans="1:26" s="26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2466.5499999999997</v>
      </c>
      <c r="E55" s="1"/>
      <c r="F55" s="5">
        <f t="shared" si="14"/>
        <v>2.8761513409135169E-2</v>
      </c>
      <c r="G55" s="1"/>
      <c r="H55" s="1">
        <f>SUM(OSRRefH22_0x_0)</f>
        <v>1736.33</v>
      </c>
      <c r="I55" s="1"/>
      <c r="J55" s="5">
        <f t="shared" si="15"/>
        <v>2.2316948403150513E-2</v>
      </c>
      <c r="K55" s="1"/>
      <c r="L55" s="1">
        <f t="shared" si="16"/>
        <v>730.2199999999998</v>
      </c>
      <c r="M55" s="1"/>
      <c r="N55" s="5">
        <f t="shared" si="17"/>
        <v>0.42055369658993386</v>
      </c>
      <c r="O55" s="13"/>
      <c r="P55" s="1">
        <f>SUM(OSRRefP22_0x_0)</f>
        <v>13106.08</v>
      </c>
      <c r="Q55" s="1"/>
      <c r="R55" s="5">
        <f t="shared" si="18"/>
        <v>3.9370377009161912E-2</v>
      </c>
      <c r="S55" s="1"/>
      <c r="T55" s="1">
        <f>SUM(OSRRefT22_0x_0)</f>
        <v>12473.719999999998</v>
      </c>
      <c r="U55" s="1"/>
      <c r="V55" s="5">
        <f t="shared" si="19"/>
        <v>3.9247188425186146E-2</v>
      </c>
      <c r="W55" s="1"/>
      <c r="X55" s="1">
        <f t="shared" si="20"/>
        <v>632.3600000000024</v>
      </c>
      <c r="Y55" s="1"/>
      <c r="Z55" s="5">
        <f t="shared" si="21"/>
        <v>5.069538197105615E-2</v>
      </c>
    </row>
    <row r="56" spans="1:26" s="24" customFormat="1" hidden="1" outlineLevel="2" x14ac:dyDescent="0.25">
      <c r="A56" s="25"/>
      <c r="B56" s="11" t="str">
        <f>CONCATENATE("          ", "6111", " - ", "F.I.C.A.")</f>
        <v xml:space="preserve">          6111 - F.I.C.A.</v>
      </c>
      <c r="C56" s="11"/>
      <c r="D56" s="6">
        <v>266.95999999999998</v>
      </c>
      <c r="E56" s="2"/>
      <c r="F56" s="7">
        <f t="shared" si="14"/>
        <v>3.1129203217865947E-3</v>
      </c>
      <c r="G56" s="2"/>
      <c r="H56" s="6">
        <v>195.02</v>
      </c>
      <c r="I56" s="2"/>
      <c r="J56" s="7">
        <f t="shared" si="15"/>
        <v>2.5065807061920332E-3</v>
      </c>
      <c r="K56" s="2"/>
      <c r="L56" s="6">
        <f t="shared" si="16"/>
        <v>71.939999999999969</v>
      </c>
      <c r="M56" s="2"/>
      <c r="N56" s="7">
        <f t="shared" si="17"/>
        <v>0.36888524253922655</v>
      </c>
      <c r="O56" s="11"/>
      <c r="P56" s="6">
        <v>1936.63</v>
      </c>
      <c r="Q56" s="2"/>
      <c r="R56" s="7">
        <f t="shared" si="18"/>
        <v>5.8175940652928438E-3</v>
      </c>
      <c r="S56" s="2"/>
      <c r="T56" s="6">
        <v>1773.98</v>
      </c>
      <c r="U56" s="2"/>
      <c r="V56" s="7">
        <f t="shared" si="19"/>
        <v>5.5816330110433562E-3</v>
      </c>
      <c r="W56" s="2"/>
      <c r="X56" s="6">
        <f t="shared" si="20"/>
        <v>162.65000000000009</v>
      </c>
      <c r="Y56" s="2"/>
      <c r="Z56" s="7">
        <f t="shared" si="21"/>
        <v>9.1686490264828294E-2</v>
      </c>
    </row>
    <row r="57" spans="1:26" s="24" customFormat="1" hidden="1" outlineLevel="2" x14ac:dyDescent="0.25">
      <c r="A57" s="25"/>
      <c r="B57" s="11" t="str">
        <f>CONCATENATE("          ", "6112", " - ", "COMPENSATION INSURANCE")</f>
        <v xml:space="preserve">          6112 - COMPENSATION INSURANCE</v>
      </c>
      <c r="C57" s="11"/>
      <c r="D57" s="6">
        <v>133.63</v>
      </c>
      <c r="E57" s="2"/>
      <c r="F57" s="7">
        <f t="shared" si="14"/>
        <v>1.5582092545712565E-3</v>
      </c>
      <c r="G57" s="2"/>
      <c r="H57" s="6">
        <v>74.64</v>
      </c>
      <c r="I57" s="2"/>
      <c r="J57" s="7">
        <f t="shared" si="15"/>
        <v>9.5934357455734471E-4</v>
      </c>
      <c r="K57" s="2"/>
      <c r="L57" s="6">
        <f t="shared" si="16"/>
        <v>58.989999999999995</v>
      </c>
      <c r="M57" s="2"/>
      <c r="N57" s="7">
        <f t="shared" si="17"/>
        <v>0.79032690246516601</v>
      </c>
      <c r="O57" s="11"/>
      <c r="P57" s="6">
        <v>838.01</v>
      </c>
      <c r="Q57" s="2"/>
      <c r="R57" s="7">
        <f t="shared" si="18"/>
        <v>2.5173636691861925E-3</v>
      </c>
      <c r="S57" s="2"/>
      <c r="T57" s="6">
        <v>557.54999999999995</v>
      </c>
      <c r="U57" s="2"/>
      <c r="V57" s="7">
        <f t="shared" si="19"/>
        <v>1.7542697692799372E-3</v>
      </c>
      <c r="W57" s="2"/>
      <c r="X57" s="6">
        <f t="shared" si="20"/>
        <v>280.46000000000004</v>
      </c>
      <c r="Y57" s="2"/>
      <c r="Z57" s="7">
        <f t="shared" si="21"/>
        <v>0.50302215047977772</v>
      </c>
    </row>
    <row r="58" spans="1:26" s="24" customFormat="1" hidden="1" outlineLevel="2" x14ac:dyDescent="0.25">
      <c r="A58" s="25"/>
      <c r="B58" s="11" t="str">
        <f>CONCATENATE("          ", "6113", " - ", "GROUP INSURANCE")</f>
        <v xml:space="preserve">          6113 - GROUP INSURANCE</v>
      </c>
      <c r="C58" s="11"/>
      <c r="D58" s="6">
        <v>1216.43</v>
      </c>
      <c r="E58" s="2"/>
      <c r="F58" s="7">
        <f t="shared" si="14"/>
        <v>1.4184333484532768E-2</v>
      </c>
      <c r="G58" s="2"/>
      <c r="H58" s="6">
        <v>924.25</v>
      </c>
      <c r="I58" s="2"/>
      <c r="J58" s="7">
        <f t="shared" si="15"/>
        <v>1.1879331441380304E-2</v>
      </c>
      <c r="K58" s="2"/>
      <c r="L58" s="6">
        <f t="shared" si="16"/>
        <v>292.18000000000006</v>
      </c>
      <c r="M58" s="2"/>
      <c r="N58" s="7">
        <f t="shared" si="17"/>
        <v>0.31612658912631869</v>
      </c>
      <c r="O58" s="11"/>
      <c r="P58" s="6">
        <v>6235.19</v>
      </c>
      <c r="Q58" s="2"/>
      <c r="R58" s="7">
        <f t="shared" si="18"/>
        <v>1.8730374072472949E-2</v>
      </c>
      <c r="S58" s="2"/>
      <c r="T58" s="6">
        <v>6220.25</v>
      </c>
      <c r="U58" s="2"/>
      <c r="V58" s="7">
        <f t="shared" si="19"/>
        <v>1.9571332673954858E-2</v>
      </c>
      <c r="W58" s="2"/>
      <c r="X58" s="6">
        <f t="shared" si="20"/>
        <v>14.9399999999996</v>
      </c>
      <c r="Y58" s="2"/>
      <c r="Z58" s="7">
        <f t="shared" si="21"/>
        <v>2.4018327237650574E-3</v>
      </c>
    </row>
    <row r="59" spans="1:26" s="24" customFormat="1" hidden="1" outlineLevel="2" x14ac:dyDescent="0.25">
      <c r="A59" s="25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18.29</v>
      </c>
      <c r="E59" s="2"/>
      <c r="F59" s="7">
        <f t="shared" si="14"/>
        <v>2.1327282246582567E-4</v>
      </c>
      <c r="G59" s="2"/>
      <c r="H59" s="6">
        <v>16.309999999999999</v>
      </c>
      <c r="I59" s="2"/>
      <c r="J59" s="7">
        <f t="shared" si="15"/>
        <v>2.0963148045324614E-4</v>
      </c>
      <c r="K59" s="2"/>
      <c r="L59" s="6">
        <f t="shared" si="16"/>
        <v>1.9800000000000004</v>
      </c>
      <c r="M59" s="2"/>
      <c r="N59" s="7">
        <f t="shared" si="17"/>
        <v>0.12139791538933173</v>
      </c>
      <c r="O59" s="11"/>
      <c r="P59" s="6">
        <v>134.25</v>
      </c>
      <c r="Q59" s="2"/>
      <c r="R59" s="7">
        <f t="shared" si="18"/>
        <v>4.032840569781343E-4</v>
      </c>
      <c r="S59" s="2"/>
      <c r="T59" s="6">
        <v>121.83</v>
      </c>
      <c r="U59" s="2"/>
      <c r="V59" s="7">
        <f t="shared" si="19"/>
        <v>3.8332469911465299E-4</v>
      </c>
      <c r="W59" s="2"/>
      <c r="X59" s="6">
        <f t="shared" si="20"/>
        <v>12.420000000000002</v>
      </c>
      <c r="Y59" s="2"/>
      <c r="Z59" s="7">
        <f t="shared" si="21"/>
        <v>0.1019453336616597</v>
      </c>
    </row>
    <row r="60" spans="1:26" s="24" customFormat="1" hidden="1" outlineLevel="2" x14ac:dyDescent="0.25">
      <c r="A60" s="25"/>
      <c r="B60" s="11" t="str">
        <f>CONCATENATE("          ", "6115", " - ", "P.E.R.S.")</f>
        <v xml:space="preserve">          6115 - P.E.R.S.</v>
      </c>
      <c r="C60" s="11"/>
      <c r="D60" s="6">
        <v>359.53</v>
      </c>
      <c r="E60" s="2"/>
      <c r="F60" s="7">
        <f t="shared" si="14"/>
        <v>4.1923443335778179E-3</v>
      </c>
      <c r="G60" s="2"/>
      <c r="H60" s="6">
        <v>261.63</v>
      </c>
      <c r="I60" s="2"/>
      <c r="J60" s="7">
        <f t="shared" si="15"/>
        <v>3.3627151582454194E-3</v>
      </c>
      <c r="K60" s="2"/>
      <c r="L60" s="6">
        <f t="shared" si="16"/>
        <v>97.899999999999977</v>
      </c>
      <c r="M60" s="2"/>
      <c r="N60" s="7">
        <f t="shared" si="17"/>
        <v>0.37419256201505935</v>
      </c>
      <c r="O60" s="11"/>
      <c r="P60" s="6">
        <v>1387.05</v>
      </c>
      <c r="Q60" s="2"/>
      <c r="R60" s="7">
        <f t="shared" si="18"/>
        <v>4.1666677931584449E-3</v>
      </c>
      <c r="S60" s="2"/>
      <c r="T60" s="6">
        <v>1392.81</v>
      </c>
      <c r="U60" s="2"/>
      <c r="V60" s="7">
        <f t="shared" si="19"/>
        <v>4.3823235178025097E-3</v>
      </c>
      <c r="W60" s="2"/>
      <c r="X60" s="6">
        <f t="shared" si="20"/>
        <v>-5.7599999999999909</v>
      </c>
      <c r="Y60" s="2"/>
      <c r="Z60" s="7">
        <f t="shared" si="21"/>
        <v>-4.1355245869860143E-3</v>
      </c>
    </row>
    <row r="61" spans="1:26" s="24" customFormat="1" hidden="1" outlineLevel="2" x14ac:dyDescent="0.25">
      <c r="A61" s="25"/>
      <c r="B61" s="11" t="str">
        <f>CONCATENATE("          ", "6118", " - ", "VACATION")</f>
        <v xml:space="preserve">          6118 - VACATION</v>
      </c>
      <c r="C61" s="11"/>
      <c r="D61" s="6">
        <v>135.97999999999999</v>
      </c>
      <c r="E61" s="2"/>
      <c r="F61" s="7">
        <f t="shared" si="14"/>
        <v>1.5856117221926173E-3</v>
      </c>
      <c r="G61" s="2"/>
      <c r="H61" s="6">
        <v>146.9</v>
      </c>
      <c r="I61" s="2"/>
      <c r="J61" s="7">
        <f t="shared" si="15"/>
        <v>1.8880971476751601E-3</v>
      </c>
      <c r="K61" s="2"/>
      <c r="L61" s="6">
        <f t="shared" si="16"/>
        <v>-10.920000000000016</v>
      </c>
      <c r="M61" s="2"/>
      <c r="N61" s="7">
        <f t="shared" si="17"/>
        <v>-7.4336283185840818E-2</v>
      </c>
      <c r="O61" s="11"/>
      <c r="P61" s="6">
        <v>1133.8399999999999</v>
      </c>
      <c r="Q61" s="2"/>
      <c r="R61" s="7">
        <f t="shared" si="18"/>
        <v>3.4060305040155515E-3</v>
      </c>
      <c r="S61" s="2"/>
      <c r="T61" s="6">
        <v>1357.37</v>
      </c>
      <c r="U61" s="2"/>
      <c r="V61" s="7">
        <f t="shared" si="19"/>
        <v>4.2708154546274024E-3</v>
      </c>
      <c r="W61" s="2"/>
      <c r="X61" s="6">
        <f t="shared" si="20"/>
        <v>-223.52999999999997</v>
      </c>
      <c r="Y61" s="2"/>
      <c r="Z61" s="7">
        <f t="shared" si="21"/>
        <v>-0.16467875376647487</v>
      </c>
    </row>
    <row r="62" spans="1:26" s="24" customFormat="1" hidden="1" outlineLevel="2" x14ac:dyDescent="0.25">
      <c r="A62" s="25"/>
      <c r="B62" s="11" t="str">
        <f>CONCATENATE("          ", "6119", " - ", "SICK LEAVE")</f>
        <v xml:space="preserve">          6119 - SICK LEAVE</v>
      </c>
      <c r="C62" s="11"/>
      <c r="D62" s="6">
        <v>160.72999999999999</v>
      </c>
      <c r="E62" s="2"/>
      <c r="F62" s="7">
        <f t="shared" si="14"/>
        <v>1.8742121790558861E-3</v>
      </c>
      <c r="G62" s="2"/>
      <c r="H62" s="6">
        <v>117.58</v>
      </c>
      <c r="I62" s="2"/>
      <c r="J62" s="7">
        <f t="shared" si="15"/>
        <v>1.5112488946470068E-3</v>
      </c>
      <c r="K62" s="2"/>
      <c r="L62" s="6">
        <f t="shared" si="16"/>
        <v>43.149999999999991</v>
      </c>
      <c r="M62" s="2"/>
      <c r="N62" s="7">
        <f t="shared" si="17"/>
        <v>0.36698418098316032</v>
      </c>
      <c r="O62" s="11"/>
      <c r="P62" s="6">
        <v>1266.1099999999999</v>
      </c>
      <c r="Q62" s="2"/>
      <c r="R62" s="7">
        <f t="shared" si="18"/>
        <v>3.8033666843991479E-3</v>
      </c>
      <c r="S62" s="2"/>
      <c r="T62" s="6">
        <v>1049.93</v>
      </c>
      <c r="U62" s="2"/>
      <c r="V62" s="7">
        <f t="shared" si="19"/>
        <v>3.3034892993634378E-3</v>
      </c>
      <c r="W62" s="2"/>
      <c r="X62" s="6">
        <f t="shared" si="20"/>
        <v>216.17999999999984</v>
      </c>
      <c r="Y62" s="2"/>
      <c r="Z62" s="7">
        <f t="shared" si="21"/>
        <v>0.20589944091510845</v>
      </c>
    </row>
    <row r="63" spans="1:26" s="24" customFormat="1" hidden="1" outlineLevel="2" x14ac:dyDescent="0.25">
      <c r="A63" s="25"/>
      <c r="B63" s="11" t="str">
        <f>CONCATENATE("          ", "6156", " - ", "EMPLOYEE MEALS")</f>
        <v xml:space="preserve">          6156 - EMPLOYEE MEALS</v>
      </c>
      <c r="C63" s="11"/>
      <c r="D63" s="6">
        <v>175</v>
      </c>
      <c r="E63" s="2"/>
      <c r="F63" s="7">
        <f t="shared" si="14"/>
        <v>2.040609290952405E-3</v>
      </c>
      <c r="G63" s="2"/>
      <c r="H63" s="6"/>
      <c r="I63" s="2"/>
      <c r="J63" s="7">
        <f t="shared" si="15"/>
        <v>0</v>
      </c>
      <c r="K63" s="2"/>
      <c r="L63" s="6">
        <f t="shared" si="16"/>
        <v>175</v>
      </c>
      <c r="M63" s="2"/>
      <c r="N63" s="7">
        <f t="shared" si="17"/>
        <v>0</v>
      </c>
      <c r="O63" s="11"/>
      <c r="P63" s="6">
        <v>175</v>
      </c>
      <c r="Q63" s="2"/>
      <c r="R63" s="7">
        <f t="shared" si="18"/>
        <v>5.2569616365864813E-4</v>
      </c>
      <c r="S63" s="2"/>
      <c r="T63" s="6"/>
      <c r="U63" s="2"/>
      <c r="V63" s="7">
        <f t="shared" si="19"/>
        <v>0</v>
      </c>
      <c r="W63" s="2"/>
      <c r="X63" s="6">
        <f t="shared" si="20"/>
        <v>175</v>
      </c>
      <c r="Y63" s="2"/>
      <c r="Z63" s="7">
        <f t="shared" si="21"/>
        <v>0</v>
      </c>
    </row>
    <row r="64" spans="1:26" s="26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9281.48</v>
      </c>
      <c r="E64" s="1"/>
      <c r="F64" s="5">
        <f t="shared" ref="F64:F68" si="22">IF(D$12=0,0,D64/D$12)</f>
        <v>0.10822785326736531</v>
      </c>
      <c r="G64" s="1"/>
      <c r="H64" s="1">
        <f>SUM(OSRRefH22_1x_0)</f>
        <v>6659.17</v>
      </c>
      <c r="I64" s="1"/>
      <c r="J64" s="5">
        <f t="shared" ref="J64:J68" si="23">IF(H$12=0,0,H64/H$12)</f>
        <v>8.5589924321878799E-2</v>
      </c>
      <c r="K64" s="1"/>
      <c r="L64" s="1">
        <f t="shared" ref="L64:L68" si="24">+D64-H64</f>
        <v>2622.3099999999995</v>
      </c>
      <c r="M64" s="1"/>
      <c r="N64" s="5">
        <f t="shared" ref="N64:N68" si="25">IF(H64=0,0,L64/H64)</f>
        <v>0.39378931608593853</v>
      </c>
      <c r="O64" s="13"/>
      <c r="P64" s="1">
        <f>SUM(OSRRefP22_1x_0)</f>
        <v>51189.43</v>
      </c>
      <c r="Q64" s="1"/>
      <c r="R64" s="5">
        <f t="shared" ref="R64:R68" si="26">IF(P$12=0,0,P64/P$12)</f>
        <v>0.15377192554784522</v>
      </c>
      <c r="S64" s="1"/>
      <c r="T64" s="1">
        <f>SUM(OSRRefT22_1x_0)</f>
        <v>38734.199999999997</v>
      </c>
      <c r="U64" s="1"/>
      <c r="V64" s="5">
        <f t="shared" ref="V64:V68" si="27">IF(T$12=0,0,T64/T$12)</f>
        <v>0.12187290125951564</v>
      </c>
      <c r="W64" s="1"/>
      <c r="X64" s="1">
        <f t="shared" ref="X64:X68" si="28">+P64-T64</f>
        <v>12455.230000000003</v>
      </c>
      <c r="Y64" s="1"/>
      <c r="Z64" s="5">
        <f t="shared" ref="Z64:Z68" si="29">IF(T64=0,0,X64/T64)</f>
        <v>0.32155640235244315</v>
      </c>
    </row>
    <row r="65" spans="1:26" s="24" customFormat="1" hidden="1" outlineLevel="2" x14ac:dyDescent="0.25">
      <c r="A65" s="25"/>
      <c r="B65" s="11" t="str">
        <f>CONCATENATE("          ", "6002", " - ", "STAFF SALARIES")</f>
        <v xml:space="preserve">          6002 - STAFF SALARIES</v>
      </c>
      <c r="C65" s="11"/>
      <c r="D65" s="6">
        <v>4251.8</v>
      </c>
      <c r="E65" s="2"/>
      <c r="F65" s="7">
        <f t="shared" si="22"/>
        <v>4.9578643332979642E-2</v>
      </c>
      <c r="G65" s="2"/>
      <c r="H65" s="6">
        <v>2931.3</v>
      </c>
      <c r="I65" s="2"/>
      <c r="J65" s="7">
        <f t="shared" si="23"/>
        <v>3.7675828243568389E-2</v>
      </c>
      <c r="K65" s="2"/>
      <c r="L65" s="6">
        <f t="shared" si="24"/>
        <v>1320.5</v>
      </c>
      <c r="M65" s="2"/>
      <c r="N65" s="7">
        <f t="shared" si="25"/>
        <v>0.4504827209770409</v>
      </c>
      <c r="O65" s="11"/>
      <c r="P65" s="6">
        <v>18477.510000000002</v>
      </c>
      <c r="Q65" s="2"/>
      <c r="R65" s="7">
        <f t="shared" si="26"/>
        <v>5.5506034976938901E-2</v>
      </c>
      <c r="S65" s="2"/>
      <c r="T65" s="6">
        <v>18481.54</v>
      </c>
      <c r="U65" s="2"/>
      <c r="V65" s="7">
        <f t="shared" si="27"/>
        <v>5.8150133461999702E-2</v>
      </c>
      <c r="W65" s="2"/>
      <c r="X65" s="6">
        <f t="shared" si="28"/>
        <v>-4.0299999999988358</v>
      </c>
      <c r="Y65" s="2"/>
      <c r="Z65" s="7">
        <f t="shared" si="29"/>
        <v>-2.1805542178838104E-4</v>
      </c>
    </row>
    <row r="66" spans="1:26" s="24" customFormat="1" hidden="1" outlineLevel="2" x14ac:dyDescent="0.25">
      <c r="A66" s="25"/>
      <c r="B66" s="11" t="str">
        <f>CONCATENATE("          ", "6004", " - ", "STAFF HOURLY")</f>
        <v xml:space="preserve">          6004 - STAFF HOURLY</v>
      </c>
      <c r="C66" s="11"/>
      <c r="D66" s="6"/>
      <c r="E66" s="2"/>
      <c r="F66" s="7">
        <f t="shared" si="22"/>
        <v>0</v>
      </c>
      <c r="G66" s="2"/>
      <c r="H66" s="6"/>
      <c r="I66" s="2"/>
      <c r="J66" s="7">
        <f t="shared" si="23"/>
        <v>0</v>
      </c>
      <c r="K66" s="2"/>
      <c r="L66" s="6">
        <f t="shared" si="24"/>
        <v>0</v>
      </c>
      <c r="M66" s="2"/>
      <c r="N66" s="7">
        <f t="shared" si="25"/>
        <v>0</v>
      </c>
      <c r="O66" s="11"/>
      <c r="P66" s="6">
        <v>-48</v>
      </c>
      <c r="Q66" s="2"/>
      <c r="R66" s="7">
        <f t="shared" si="26"/>
        <v>-1.4419094774637204E-4</v>
      </c>
      <c r="S66" s="2"/>
      <c r="T66" s="6"/>
      <c r="U66" s="2"/>
      <c r="V66" s="7">
        <f t="shared" si="27"/>
        <v>0</v>
      </c>
      <c r="W66" s="2"/>
      <c r="X66" s="6">
        <f t="shared" si="28"/>
        <v>-48</v>
      </c>
      <c r="Y66" s="2"/>
      <c r="Z66" s="7">
        <f t="shared" si="29"/>
        <v>0</v>
      </c>
    </row>
    <row r="67" spans="1:26" s="24" customFormat="1" hidden="1" outlineLevel="2" x14ac:dyDescent="0.25">
      <c r="A67" s="25"/>
      <c r="B67" s="11" t="str">
        <f>CONCATENATE("          ", "6006", " - ", "TEMPORARY PART TIME")</f>
        <v xml:space="preserve">          6006 - TEMPORARY PART TIME</v>
      </c>
      <c r="C67" s="11"/>
      <c r="D67" s="6"/>
      <c r="E67" s="2"/>
      <c r="F67" s="7">
        <f t="shared" si="22"/>
        <v>0</v>
      </c>
      <c r="G67" s="2"/>
      <c r="H67" s="6"/>
      <c r="I67" s="2"/>
      <c r="J67" s="7">
        <f t="shared" si="23"/>
        <v>0</v>
      </c>
      <c r="K67" s="2"/>
      <c r="L67" s="6">
        <f t="shared" si="24"/>
        <v>0</v>
      </c>
      <c r="M67" s="2"/>
      <c r="N67" s="7">
        <f t="shared" si="25"/>
        <v>0</v>
      </c>
      <c r="O67" s="11"/>
      <c r="P67" s="6"/>
      <c r="Q67" s="2"/>
      <c r="R67" s="7">
        <f t="shared" si="26"/>
        <v>0</v>
      </c>
      <c r="S67" s="2"/>
      <c r="T67" s="6">
        <v>58.75</v>
      </c>
      <c r="U67" s="2"/>
      <c r="V67" s="7">
        <f t="shared" si="27"/>
        <v>1.848504151111045E-4</v>
      </c>
      <c r="W67" s="2"/>
      <c r="X67" s="6">
        <f t="shared" si="28"/>
        <v>-58.75</v>
      </c>
      <c r="Y67" s="2"/>
      <c r="Z67" s="7">
        <f t="shared" si="29"/>
        <v>-1</v>
      </c>
    </row>
    <row r="68" spans="1:26" s="24" customFormat="1" hidden="1" outlineLevel="2" x14ac:dyDescent="0.25">
      <c r="A68" s="25"/>
      <c r="B68" s="11" t="str">
        <f>CONCATENATE("          ", "6007", " - ", "STUDENT HOURLY")</f>
        <v xml:space="preserve">          6007 - STUDENT HOURLY</v>
      </c>
      <c r="C68" s="11"/>
      <c r="D68" s="6">
        <v>5029.68</v>
      </c>
      <c r="E68" s="2"/>
      <c r="F68" s="7">
        <f t="shared" si="22"/>
        <v>5.8649209934385681E-2</v>
      </c>
      <c r="G68" s="2"/>
      <c r="H68" s="6">
        <v>3727.87</v>
      </c>
      <c r="I68" s="2"/>
      <c r="J68" s="7">
        <f t="shared" si="23"/>
        <v>4.7914096078310403E-2</v>
      </c>
      <c r="K68" s="2"/>
      <c r="L68" s="6">
        <f t="shared" si="24"/>
        <v>1301.8100000000004</v>
      </c>
      <c r="M68" s="2"/>
      <c r="N68" s="7">
        <f t="shared" si="25"/>
        <v>0.34921013876556867</v>
      </c>
      <c r="O68" s="11"/>
      <c r="P68" s="6">
        <v>32759.919999999998</v>
      </c>
      <c r="Q68" s="2"/>
      <c r="R68" s="7">
        <f t="shared" si="26"/>
        <v>9.8410081518652673E-2</v>
      </c>
      <c r="S68" s="2"/>
      <c r="T68" s="6">
        <v>20193.91</v>
      </c>
      <c r="U68" s="2"/>
      <c r="V68" s="7">
        <f t="shared" si="27"/>
        <v>6.3537917382404843E-2</v>
      </c>
      <c r="W68" s="2"/>
      <c r="X68" s="6">
        <f t="shared" si="28"/>
        <v>12566.009999999998</v>
      </c>
      <c r="Y68" s="2"/>
      <c r="Z68" s="7">
        <f t="shared" si="29"/>
        <v>0.62226730732186086</v>
      </c>
    </row>
    <row r="69" spans="1:26" s="26" customFormat="1" outlineLevel="1" collapsed="1" x14ac:dyDescent="0.25">
      <c r="A69" s="27"/>
      <c r="B69" s="13" t="str">
        <f>CONCATENATE("     ","Advertising/Promo                                 ")</f>
        <v xml:space="preserve">     Advertising/Promo                                 </v>
      </c>
      <c r="C69" s="13"/>
      <c r="D69" s="1">
        <f>SUM(OSRRefD22_2x_0)</f>
        <v>30.64</v>
      </c>
      <c r="E69" s="1"/>
      <c r="F69" s="5">
        <f t="shared" ref="F69:F73" si="30">IF(D$12=0,0,D69/D$12)</f>
        <v>3.5728153528446685E-4</v>
      </c>
      <c r="G69" s="1"/>
      <c r="H69" s="1">
        <f>SUM(OSRRefH22_2x_0)</f>
        <v>0</v>
      </c>
      <c r="I69" s="1"/>
      <c r="J69" s="5">
        <f t="shared" ref="J69:J73" si="31">IF(H$12=0,0,H69/H$12)</f>
        <v>0</v>
      </c>
      <c r="K69" s="1"/>
      <c r="L69" s="1">
        <f t="shared" ref="L69:L73" si="32">+D69-H69</f>
        <v>30.64</v>
      </c>
      <c r="M69" s="1"/>
      <c r="N69" s="5">
        <f t="shared" ref="N69:N73" si="33">IF(H69=0,0,L69/H69)</f>
        <v>0</v>
      </c>
      <c r="O69" s="13"/>
      <c r="P69" s="1">
        <f>SUM(OSRRefP22_2x_0)</f>
        <v>1171.01</v>
      </c>
      <c r="Q69" s="1"/>
      <c r="R69" s="5">
        <f t="shared" ref="R69:R73" si="34">IF(P$12=0,0,P69/P$12)</f>
        <v>3.5176883691766486E-3</v>
      </c>
      <c r="S69" s="1"/>
      <c r="T69" s="1">
        <f>SUM(OSRRefT22_2x_0)</f>
        <v>1138.3599999999999</v>
      </c>
      <c r="U69" s="1"/>
      <c r="V69" s="5">
        <f t="shared" ref="V69:V73" si="35">IF(T$12=0,0,T69/T$12)</f>
        <v>3.5817245709936496E-3</v>
      </c>
      <c r="W69" s="1"/>
      <c r="X69" s="1">
        <f t="shared" ref="X69:X73" si="36">+P69-T69</f>
        <v>32.650000000000091</v>
      </c>
      <c r="Y69" s="1"/>
      <c r="Z69" s="5">
        <f t="shared" ref="Z69:Z73" si="37">IF(T69=0,0,X69/T69)</f>
        <v>2.8681612143785881E-2</v>
      </c>
    </row>
    <row r="70" spans="1:26" s="24" customFormat="1" hidden="1" outlineLevel="2" x14ac:dyDescent="0.25">
      <c r="A70" s="25"/>
      <c r="B70" s="11" t="str">
        <f>CONCATENATE("          ", "6362", " - ", "ADVERTISING EXPENSE")</f>
        <v xml:space="preserve">          6362 - ADVERTISING EXPENSE</v>
      </c>
      <c r="C70" s="11"/>
      <c r="D70" s="6">
        <v>30.64</v>
      </c>
      <c r="E70" s="2"/>
      <c r="F70" s="7">
        <f t="shared" si="30"/>
        <v>3.5728153528446685E-4</v>
      </c>
      <c r="G70" s="2"/>
      <c r="H70" s="6"/>
      <c r="I70" s="2"/>
      <c r="J70" s="7">
        <f t="shared" si="31"/>
        <v>0</v>
      </c>
      <c r="K70" s="2"/>
      <c r="L70" s="6">
        <f t="shared" si="32"/>
        <v>30.64</v>
      </c>
      <c r="M70" s="2"/>
      <c r="N70" s="7">
        <f t="shared" si="33"/>
        <v>0</v>
      </c>
      <c r="O70" s="11"/>
      <c r="P70" s="6">
        <v>1171.01</v>
      </c>
      <c r="Q70" s="2"/>
      <c r="R70" s="7">
        <f t="shared" si="34"/>
        <v>3.5176883691766486E-3</v>
      </c>
      <c r="S70" s="2"/>
      <c r="T70" s="6">
        <v>1138.3599999999999</v>
      </c>
      <c r="U70" s="2"/>
      <c r="V70" s="7">
        <f t="shared" si="35"/>
        <v>3.5817245709936496E-3</v>
      </c>
      <c r="W70" s="2"/>
      <c r="X70" s="6">
        <f t="shared" si="36"/>
        <v>32.650000000000091</v>
      </c>
      <c r="Y70" s="2"/>
      <c r="Z70" s="7">
        <f t="shared" si="37"/>
        <v>2.8681612143785881E-2</v>
      </c>
    </row>
    <row r="71" spans="1:26" s="26" customFormat="1" outlineLevel="1" collapsed="1" x14ac:dyDescent="0.25">
      <c r="A71" s="27"/>
      <c r="B71" s="13" t="str">
        <f>CONCATENATE("     ","Discounts and Markdowns                           ")</f>
        <v xml:space="preserve">     Discounts and Markdowns                           </v>
      </c>
      <c r="C71" s="13"/>
      <c r="D71" s="1">
        <f>SUM(OSRRefD22_3x_0)</f>
        <v>1661.77</v>
      </c>
      <c r="E71" s="1"/>
      <c r="F71" s="5">
        <f t="shared" si="30"/>
        <v>1.9377276008148449E-2</v>
      </c>
      <c r="G71" s="1"/>
      <c r="H71" s="1">
        <f>SUM(OSRRefH22_3x_0)</f>
        <v>4874.6499999999996</v>
      </c>
      <c r="I71" s="1"/>
      <c r="J71" s="5">
        <f t="shared" si="31"/>
        <v>6.2653592654286716E-2</v>
      </c>
      <c r="K71" s="1"/>
      <c r="L71" s="1">
        <f t="shared" si="32"/>
        <v>-3212.8799999999997</v>
      </c>
      <c r="M71" s="1"/>
      <c r="N71" s="5">
        <f t="shared" si="33"/>
        <v>-0.65909962766557595</v>
      </c>
      <c r="O71" s="13"/>
      <c r="P71" s="1">
        <f>SUM(OSRRefP22_3x_0)</f>
        <v>7499.1</v>
      </c>
      <c r="Q71" s="1"/>
      <c r="R71" s="5">
        <f t="shared" si="34"/>
        <v>2.2527132005100391E-2</v>
      </c>
      <c r="S71" s="1"/>
      <c r="T71" s="1">
        <f>SUM(OSRRefT22_3x_0)</f>
        <v>14758.15</v>
      </c>
      <c r="U71" s="1"/>
      <c r="V71" s="5">
        <f t="shared" si="35"/>
        <v>4.6434896234416122E-2</v>
      </c>
      <c r="W71" s="1"/>
      <c r="X71" s="1">
        <f t="shared" si="36"/>
        <v>-7259.0499999999993</v>
      </c>
      <c r="Y71" s="1"/>
      <c r="Z71" s="5">
        <f t="shared" si="37"/>
        <v>-0.49186720557793484</v>
      </c>
    </row>
    <row r="72" spans="1:26" s="24" customFormat="1" hidden="1" outlineLevel="2" x14ac:dyDescent="0.25">
      <c r="A72" s="25"/>
      <c r="B72" s="11" t="str">
        <f>CONCATENATE("          ", "6382", " - ", "DISCOUNTS/MARK DOWNS")</f>
        <v xml:space="preserve">          6382 - DISCOUNTS/MARK DOWNS</v>
      </c>
      <c r="C72" s="11"/>
      <c r="D72" s="6">
        <v>1695.6</v>
      </c>
      <c r="E72" s="2"/>
      <c r="F72" s="7">
        <f t="shared" si="30"/>
        <v>1.9771754935650847E-2</v>
      </c>
      <c r="G72" s="2"/>
      <c r="H72" s="6">
        <v>4806.42</v>
      </c>
      <c r="I72" s="2"/>
      <c r="J72" s="7">
        <f t="shared" si="31"/>
        <v>6.17766364365476E-2</v>
      </c>
      <c r="K72" s="2"/>
      <c r="L72" s="6">
        <f t="shared" si="32"/>
        <v>-3110.82</v>
      </c>
      <c r="M72" s="2"/>
      <c r="N72" s="7">
        <f t="shared" si="33"/>
        <v>-0.6472218407879462</v>
      </c>
      <c r="O72" s="11"/>
      <c r="P72" s="6">
        <v>7532.93</v>
      </c>
      <c r="Q72" s="2"/>
      <c r="R72" s="7">
        <f t="shared" si="34"/>
        <v>2.2628756583480802E-2</v>
      </c>
      <c r="S72" s="2"/>
      <c r="T72" s="6">
        <v>14123.24</v>
      </c>
      <c r="U72" s="2"/>
      <c r="V72" s="7">
        <f t="shared" si="35"/>
        <v>4.4437221731297966E-2</v>
      </c>
      <c r="W72" s="2"/>
      <c r="X72" s="6">
        <f t="shared" si="36"/>
        <v>-6590.3099999999995</v>
      </c>
      <c r="Y72" s="2"/>
      <c r="Z72" s="7">
        <f t="shared" si="37"/>
        <v>-0.4666287622386931</v>
      </c>
    </row>
    <row r="73" spans="1:26" s="24" customFormat="1" hidden="1" outlineLevel="2" x14ac:dyDescent="0.25">
      <c r="A73" s="25"/>
      <c r="B73" s="11" t="str">
        <f>CONCATENATE("          ", "9175", " - ", "EARNED DISCOUNTS")</f>
        <v xml:space="preserve">          9175 - EARNED DISCOUNTS</v>
      </c>
      <c r="C73" s="11"/>
      <c r="D73" s="6">
        <v>-33.83</v>
      </c>
      <c r="E73" s="2"/>
      <c r="F73" s="7">
        <f t="shared" si="30"/>
        <v>-3.9447892750239924E-4</v>
      </c>
      <c r="G73" s="2"/>
      <c r="H73" s="6">
        <v>68.23</v>
      </c>
      <c r="I73" s="2"/>
      <c r="J73" s="7">
        <f t="shared" si="31"/>
        <v>8.7695621773911626E-4</v>
      </c>
      <c r="K73" s="2"/>
      <c r="L73" s="6">
        <f t="shared" si="32"/>
        <v>-102.06</v>
      </c>
      <c r="M73" s="2"/>
      <c r="N73" s="7">
        <f t="shared" si="33"/>
        <v>-1.4958229517807415</v>
      </c>
      <c r="O73" s="11"/>
      <c r="P73" s="6">
        <v>-33.83</v>
      </c>
      <c r="Q73" s="2"/>
      <c r="R73" s="7">
        <f t="shared" si="34"/>
        <v>-1.0162457838041179E-4</v>
      </c>
      <c r="S73" s="2"/>
      <c r="T73" s="6">
        <v>634.91</v>
      </c>
      <c r="U73" s="2"/>
      <c r="V73" s="7">
        <f t="shared" si="35"/>
        <v>1.9976745031181509E-3</v>
      </c>
      <c r="W73" s="2"/>
      <c r="X73" s="6">
        <f t="shared" si="36"/>
        <v>-668.74</v>
      </c>
      <c r="Y73" s="2"/>
      <c r="Z73" s="7">
        <f t="shared" si="37"/>
        <v>-1.0532831424926368</v>
      </c>
    </row>
    <row r="74" spans="1:26" s="26" customFormat="1" outlineLevel="1" collapsed="1" x14ac:dyDescent="0.25">
      <c r="A74" s="27"/>
      <c r="B74" s="13" t="str">
        <f>CONCATENATE("     ","Employees' Appreciation                           ")</f>
        <v xml:space="preserve">     Employees' Appreciation                           </v>
      </c>
      <c r="C74" s="13"/>
      <c r="D74" s="1">
        <f>SUM(OSRRefD22_4x_0)</f>
        <v>0</v>
      </c>
      <c r="E74" s="1"/>
      <c r="F74" s="5">
        <f t="shared" ref="F74:F82" si="38">IF(D$12=0,0,D74/D$12)</f>
        <v>0</v>
      </c>
      <c r="G74" s="1"/>
      <c r="H74" s="1">
        <f>SUM(OSRRefH22_4x_0)</f>
        <v>57.88</v>
      </c>
      <c r="I74" s="1"/>
      <c r="J74" s="5">
        <f t="shared" ref="J74:J82" si="39">IF(H$12=0,0,H74/H$12)</f>
        <v>7.4392827030250687E-4</v>
      </c>
      <c r="K74" s="1"/>
      <c r="L74" s="1">
        <f t="shared" ref="L74:L82" si="40">+D74-H74</f>
        <v>-57.88</v>
      </c>
      <c r="M74" s="1"/>
      <c r="N74" s="5">
        <f t="shared" ref="N74:N82" si="41">IF(H74=0,0,L74/H74)</f>
        <v>-1</v>
      </c>
      <c r="O74" s="13"/>
      <c r="P74" s="1">
        <f>SUM(OSRRefP22_4x_0)</f>
        <v>0</v>
      </c>
      <c r="Q74" s="1"/>
      <c r="R74" s="5">
        <f t="shared" ref="R74:R82" si="42">IF(P$12=0,0,P74/P$12)</f>
        <v>0</v>
      </c>
      <c r="S74" s="1"/>
      <c r="T74" s="1">
        <f>SUM(OSRRefT22_4x_0)</f>
        <v>77.849999999999994</v>
      </c>
      <c r="U74" s="1"/>
      <c r="V74" s="5">
        <f t="shared" ref="V74:V82" si="43">IF(T$12=0,0,T74/T$12)</f>
        <v>2.4494646495999125E-4</v>
      </c>
      <c r="W74" s="1"/>
      <c r="X74" s="1">
        <f t="shared" ref="X74:X82" si="44">+P74-T74</f>
        <v>-77.849999999999994</v>
      </c>
      <c r="Y74" s="1"/>
      <c r="Z74" s="5">
        <f t="shared" ref="Z74:Z82" si="45">IF(T74=0,0,X74/T74)</f>
        <v>-1</v>
      </c>
    </row>
    <row r="75" spans="1:26" s="24" customFormat="1" hidden="1" outlineLevel="2" x14ac:dyDescent="0.25">
      <c r="A75" s="25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38"/>
        <v>0</v>
      </c>
      <c r="G75" s="2"/>
      <c r="H75" s="6">
        <v>57.88</v>
      </c>
      <c r="I75" s="2"/>
      <c r="J75" s="7">
        <f t="shared" si="39"/>
        <v>7.4392827030250687E-4</v>
      </c>
      <c r="K75" s="2"/>
      <c r="L75" s="6">
        <f t="shared" si="40"/>
        <v>-57.88</v>
      </c>
      <c r="M75" s="2"/>
      <c r="N75" s="7">
        <f t="shared" si="41"/>
        <v>-1</v>
      </c>
      <c r="O75" s="11"/>
      <c r="P75" s="6"/>
      <c r="Q75" s="2"/>
      <c r="R75" s="7">
        <f t="shared" si="42"/>
        <v>0</v>
      </c>
      <c r="S75" s="2"/>
      <c r="T75" s="6">
        <v>77.849999999999994</v>
      </c>
      <c r="U75" s="2"/>
      <c r="V75" s="7">
        <f t="shared" si="43"/>
        <v>2.4494646495999125E-4</v>
      </c>
      <c r="W75" s="2"/>
      <c r="X75" s="6">
        <f t="shared" si="44"/>
        <v>-77.849999999999994</v>
      </c>
      <c r="Y75" s="2"/>
      <c r="Z75" s="7">
        <f t="shared" si="45"/>
        <v>-1</v>
      </c>
    </row>
    <row r="76" spans="1:26" s="26" customFormat="1" outlineLevel="1" collapsed="1" x14ac:dyDescent="0.25">
      <c r="A76" s="27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SUM(OSRRefD22_5x_0)</f>
        <v>0</v>
      </c>
      <c r="E76" s="1"/>
      <c r="F76" s="5">
        <f t="shared" si="38"/>
        <v>0</v>
      </c>
      <c r="G76" s="1"/>
      <c r="H76" s="1">
        <f>SUM(OSRRefH22_5x_0)</f>
        <v>0</v>
      </c>
      <c r="I76" s="1"/>
      <c r="J76" s="5">
        <f t="shared" si="39"/>
        <v>0</v>
      </c>
      <c r="K76" s="1"/>
      <c r="L76" s="1">
        <f t="shared" si="40"/>
        <v>0</v>
      </c>
      <c r="M76" s="1"/>
      <c r="N76" s="5">
        <f t="shared" si="41"/>
        <v>0</v>
      </c>
      <c r="O76" s="13"/>
      <c r="P76" s="1">
        <f>SUM(OSRRefP22_5x_0)</f>
        <v>15.81</v>
      </c>
      <c r="Q76" s="1"/>
      <c r="R76" s="5">
        <f t="shared" si="42"/>
        <v>4.7492893413961293E-5</v>
      </c>
      <c r="S76" s="1"/>
      <c r="T76" s="1">
        <f>SUM(OSRRefT22_5x_0)</f>
        <v>5.0999999999999996</v>
      </c>
      <c r="U76" s="1"/>
      <c r="V76" s="5">
        <f t="shared" si="43"/>
        <v>1.6046589226666094E-5</v>
      </c>
      <c r="W76" s="1"/>
      <c r="X76" s="1">
        <f t="shared" si="44"/>
        <v>10.71</v>
      </c>
      <c r="Y76" s="1"/>
      <c r="Z76" s="5">
        <f t="shared" si="45"/>
        <v>2.1000000000000005</v>
      </c>
    </row>
    <row r="77" spans="1:26" s="24" customFormat="1" hidden="1" outlineLevel="2" x14ac:dyDescent="0.25">
      <c r="A77" s="25"/>
      <c r="B77" s="11" t="str">
        <f>CONCATENATE("          ", "6305", " - ", "FREIGHT OUT")</f>
        <v xml:space="preserve">          6305 - FREIGHT OUT</v>
      </c>
      <c r="C77" s="11"/>
      <c r="D77" s="6"/>
      <c r="E77" s="2"/>
      <c r="F77" s="7">
        <f t="shared" si="38"/>
        <v>0</v>
      </c>
      <c r="G77" s="2"/>
      <c r="H77" s="6"/>
      <c r="I77" s="2"/>
      <c r="J77" s="7">
        <f t="shared" si="39"/>
        <v>0</v>
      </c>
      <c r="K77" s="2"/>
      <c r="L77" s="6">
        <f t="shared" si="40"/>
        <v>0</v>
      </c>
      <c r="M77" s="2"/>
      <c r="N77" s="7">
        <f t="shared" si="41"/>
        <v>0</v>
      </c>
      <c r="O77" s="11"/>
      <c r="P77" s="6">
        <v>15.81</v>
      </c>
      <c r="Q77" s="2"/>
      <c r="R77" s="7">
        <f t="shared" si="42"/>
        <v>4.7492893413961293E-5</v>
      </c>
      <c r="S77" s="2"/>
      <c r="T77" s="6">
        <v>5.0999999999999996</v>
      </c>
      <c r="U77" s="2"/>
      <c r="V77" s="7">
        <f t="shared" si="43"/>
        <v>1.6046589226666094E-5</v>
      </c>
      <c r="W77" s="2"/>
      <c r="X77" s="6">
        <f t="shared" si="44"/>
        <v>10.71</v>
      </c>
      <c r="Y77" s="2"/>
      <c r="Z77" s="7">
        <f t="shared" si="45"/>
        <v>2.1000000000000005</v>
      </c>
    </row>
    <row r="78" spans="1:26" s="26" customFormat="1" outlineLevel="1" collapsed="1" x14ac:dyDescent="0.25">
      <c r="A78" s="27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SUM(OSRRefD22_6x_0)</f>
        <v>0</v>
      </c>
      <c r="E78" s="1"/>
      <c r="F78" s="5">
        <f t="shared" si="38"/>
        <v>0</v>
      </c>
      <c r="G78" s="1"/>
      <c r="H78" s="1">
        <f>SUM(OSRRefH22_6x_0)</f>
        <v>0</v>
      </c>
      <c r="I78" s="1"/>
      <c r="J78" s="5">
        <f t="shared" si="39"/>
        <v>0</v>
      </c>
      <c r="K78" s="1"/>
      <c r="L78" s="1">
        <f t="shared" si="40"/>
        <v>0</v>
      </c>
      <c r="M78" s="1"/>
      <c r="N78" s="5">
        <f t="shared" si="41"/>
        <v>0</v>
      </c>
      <c r="O78" s="13"/>
      <c r="P78" s="1">
        <f>SUM(OSRRefP22_6x_0)</f>
        <v>120</v>
      </c>
      <c r="Q78" s="1"/>
      <c r="R78" s="5">
        <f t="shared" si="42"/>
        <v>3.6047736936593015E-4</v>
      </c>
      <c r="S78" s="1"/>
      <c r="T78" s="1">
        <f>SUM(OSRRefT22_6x_0)</f>
        <v>137.26</v>
      </c>
      <c r="U78" s="1"/>
      <c r="V78" s="5">
        <f t="shared" si="43"/>
        <v>4.3187349750042897E-4</v>
      </c>
      <c r="W78" s="1"/>
      <c r="X78" s="1">
        <f t="shared" si="44"/>
        <v>-17.259999999999991</v>
      </c>
      <c r="Y78" s="1"/>
      <c r="Z78" s="5">
        <f t="shared" si="45"/>
        <v>-0.12574675797756077</v>
      </c>
    </row>
    <row r="79" spans="1:26" s="24" customFormat="1" hidden="1" outlineLevel="2" x14ac:dyDescent="0.25">
      <c r="A79" s="25"/>
      <c r="B79" s="11" t="str">
        <f>CONCATENATE("          ", "6258", " - ", "MEMBERSHIP DUES")</f>
        <v xml:space="preserve">          6258 - MEMBERSHIP DUES</v>
      </c>
      <c r="C79" s="11"/>
      <c r="D79" s="6"/>
      <c r="E79" s="2"/>
      <c r="F79" s="7">
        <f t="shared" si="38"/>
        <v>0</v>
      </c>
      <c r="G79" s="2"/>
      <c r="H79" s="6"/>
      <c r="I79" s="2"/>
      <c r="J79" s="7">
        <f t="shared" si="39"/>
        <v>0</v>
      </c>
      <c r="K79" s="2"/>
      <c r="L79" s="6">
        <f t="shared" si="40"/>
        <v>0</v>
      </c>
      <c r="M79" s="2"/>
      <c r="N79" s="7">
        <f t="shared" si="41"/>
        <v>0</v>
      </c>
      <c r="O79" s="11"/>
      <c r="P79" s="6">
        <v>120</v>
      </c>
      <c r="Q79" s="2"/>
      <c r="R79" s="7">
        <f t="shared" si="42"/>
        <v>3.6047736936593015E-4</v>
      </c>
      <c r="S79" s="2"/>
      <c r="T79" s="6">
        <v>137.26</v>
      </c>
      <c r="U79" s="2"/>
      <c r="V79" s="7">
        <f t="shared" si="43"/>
        <v>4.3187349750042897E-4</v>
      </c>
      <c r="W79" s="2"/>
      <c r="X79" s="6">
        <f t="shared" si="44"/>
        <v>-17.259999999999991</v>
      </c>
      <c r="Y79" s="2"/>
      <c r="Z79" s="7">
        <f t="shared" si="45"/>
        <v>-0.12574675797756077</v>
      </c>
    </row>
    <row r="80" spans="1:26" s="26" customFormat="1" outlineLevel="1" collapsed="1" x14ac:dyDescent="0.25">
      <c r="A80" s="27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SUM(OSRRefD22_7x_0)</f>
        <v>4.4000000000000004</v>
      </c>
      <c r="E80" s="1"/>
      <c r="F80" s="5">
        <f t="shared" si="38"/>
        <v>5.1306747886803336E-5</v>
      </c>
      <c r="G80" s="1"/>
      <c r="H80" s="1">
        <f>SUM(OSRRefH22_7x_0)</f>
        <v>97.58</v>
      </c>
      <c r="I80" s="1"/>
      <c r="J80" s="5">
        <f t="shared" si="39"/>
        <v>1.2541900590207088E-3</v>
      </c>
      <c r="K80" s="1"/>
      <c r="L80" s="1">
        <f t="shared" si="40"/>
        <v>-93.179999999999993</v>
      </c>
      <c r="M80" s="1"/>
      <c r="N80" s="5">
        <f t="shared" si="41"/>
        <v>-0.95490879278540675</v>
      </c>
      <c r="O80" s="13"/>
      <c r="P80" s="1">
        <f>SUM(OSRRefP22_7x_0)</f>
        <v>246.24</v>
      </c>
      <c r="Q80" s="1"/>
      <c r="R80" s="5">
        <f t="shared" si="42"/>
        <v>7.3969956193888867E-4</v>
      </c>
      <c r="S80" s="1"/>
      <c r="T80" s="1">
        <f>SUM(OSRRefT22_7x_0)</f>
        <v>383.21999999999997</v>
      </c>
      <c r="U80" s="1"/>
      <c r="V80" s="5">
        <f t="shared" si="43"/>
        <v>1.205759592831957E-3</v>
      </c>
      <c r="W80" s="1"/>
      <c r="X80" s="1">
        <f t="shared" si="44"/>
        <v>-136.97999999999996</v>
      </c>
      <c r="Y80" s="1"/>
      <c r="Z80" s="5">
        <f t="shared" si="45"/>
        <v>-0.35744480976984494</v>
      </c>
    </row>
    <row r="81" spans="1:26" s="24" customFormat="1" hidden="1" outlineLevel="2" x14ac:dyDescent="0.25">
      <c r="A81" s="25"/>
      <c r="B81" s="11" t="str">
        <f>CONCATENATE("          ", "6241", " - ", "OFFICE EXPENSE")</f>
        <v xml:space="preserve">          6241 - OFFICE EXPENSE</v>
      </c>
      <c r="C81" s="11"/>
      <c r="D81" s="6">
        <v>4.4000000000000004</v>
      </c>
      <c r="E81" s="2"/>
      <c r="F81" s="7">
        <f t="shared" si="38"/>
        <v>5.1306747886803336E-5</v>
      </c>
      <c r="G81" s="2"/>
      <c r="H81" s="6">
        <v>97.58</v>
      </c>
      <c r="I81" s="2"/>
      <c r="J81" s="7">
        <f t="shared" si="39"/>
        <v>1.2541900590207088E-3</v>
      </c>
      <c r="K81" s="2"/>
      <c r="L81" s="6">
        <f t="shared" si="40"/>
        <v>-93.179999999999993</v>
      </c>
      <c r="M81" s="2"/>
      <c r="N81" s="7">
        <f t="shared" si="41"/>
        <v>-0.95490879278540675</v>
      </c>
      <c r="O81" s="11"/>
      <c r="P81" s="6">
        <v>246.24</v>
      </c>
      <c r="Q81" s="2"/>
      <c r="R81" s="7">
        <f t="shared" si="42"/>
        <v>7.3969956193888867E-4</v>
      </c>
      <c r="S81" s="2"/>
      <c r="T81" s="6">
        <v>379.69</v>
      </c>
      <c r="U81" s="2"/>
      <c r="V81" s="7">
        <f t="shared" si="43"/>
        <v>1.1946528359750685E-3</v>
      </c>
      <c r="W81" s="2"/>
      <c r="X81" s="6">
        <f t="shared" si="44"/>
        <v>-133.44999999999999</v>
      </c>
      <c r="Y81" s="2"/>
      <c r="Z81" s="7">
        <f t="shared" si="45"/>
        <v>-0.35147093681687691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38"/>
        <v>0</v>
      </c>
      <c r="G82" s="2"/>
      <c r="H82" s="6"/>
      <c r="I82" s="2"/>
      <c r="J82" s="7">
        <f t="shared" si="39"/>
        <v>0</v>
      </c>
      <c r="K82" s="2"/>
      <c r="L82" s="6">
        <f t="shared" si="40"/>
        <v>0</v>
      </c>
      <c r="M82" s="2"/>
      <c r="N82" s="7">
        <f t="shared" si="41"/>
        <v>0</v>
      </c>
      <c r="O82" s="11"/>
      <c r="P82" s="6"/>
      <c r="Q82" s="2"/>
      <c r="R82" s="7">
        <f t="shared" si="42"/>
        <v>0</v>
      </c>
      <c r="S82" s="2"/>
      <c r="T82" s="6">
        <v>3.53</v>
      </c>
      <c r="U82" s="2"/>
      <c r="V82" s="7">
        <f t="shared" si="43"/>
        <v>1.1106756856888492E-5</v>
      </c>
      <c r="W82" s="2"/>
      <c r="X82" s="6">
        <f t="shared" si="44"/>
        <v>-3.53</v>
      </c>
      <c r="Y82" s="2"/>
      <c r="Z82" s="7">
        <f t="shared" si="45"/>
        <v>-1</v>
      </c>
    </row>
    <row r="83" spans="1:26" s="26" customFormat="1" outlineLevel="1" collapsed="1" x14ac:dyDescent="0.25">
      <c r="A83" s="27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SUM(OSRRefD22_8x_0)</f>
        <v>0</v>
      </c>
      <c r="E83" s="1"/>
      <c r="F83" s="5">
        <f t="shared" ref="F83:F86" si="46">IF(D$12=0,0,D83/D$12)</f>
        <v>0</v>
      </c>
      <c r="G83" s="1"/>
      <c r="H83" s="1">
        <f>SUM(OSRRefH22_8x_0)</f>
        <v>40</v>
      </c>
      <c r="I83" s="1"/>
      <c r="J83" s="5">
        <f t="shared" ref="J83:J86" si="47">IF(H$12=0,0,H83/H$12)</f>
        <v>5.1411767125259628E-4</v>
      </c>
      <c r="K83" s="1"/>
      <c r="L83" s="1">
        <f t="shared" ref="L83:L86" si="48">+D83-H83</f>
        <v>-40</v>
      </c>
      <c r="M83" s="1"/>
      <c r="N83" s="5">
        <f t="shared" ref="N83:N86" si="49">IF(H83=0,0,L83/H83)</f>
        <v>-1</v>
      </c>
      <c r="O83" s="13"/>
      <c r="P83" s="1">
        <f>SUM(OSRRefP22_8x_0)</f>
        <v>0</v>
      </c>
      <c r="Q83" s="1"/>
      <c r="R83" s="5">
        <f t="shared" ref="R83:R86" si="50">IF(P$12=0,0,P83/P$12)</f>
        <v>0</v>
      </c>
      <c r="S83" s="1"/>
      <c r="T83" s="1">
        <f>SUM(OSRRefT22_8x_0)</f>
        <v>280</v>
      </c>
      <c r="U83" s="1"/>
      <c r="V83" s="5">
        <f t="shared" ref="V83:V86" si="51">IF(T$12=0,0,T83/T$12)</f>
        <v>8.8098921244441296E-4</v>
      </c>
      <c r="W83" s="1"/>
      <c r="X83" s="1">
        <f t="shared" ref="X83:X86" si="52">+P83-T83</f>
        <v>-280</v>
      </c>
      <c r="Y83" s="1"/>
      <c r="Z83" s="5">
        <f t="shared" ref="Z83:Z86" si="53">IF(T83=0,0,X83/T83)</f>
        <v>-1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6"/>
      <c r="E84" s="2"/>
      <c r="F84" s="7">
        <f t="shared" si="46"/>
        <v>0</v>
      </c>
      <c r="G84" s="2"/>
      <c r="H84" s="6">
        <v>40</v>
      </c>
      <c r="I84" s="2"/>
      <c r="J84" s="7">
        <f t="shared" si="47"/>
        <v>5.1411767125259628E-4</v>
      </c>
      <c r="K84" s="2"/>
      <c r="L84" s="6">
        <f t="shared" si="48"/>
        <v>-40</v>
      </c>
      <c r="M84" s="2"/>
      <c r="N84" s="7">
        <f t="shared" si="49"/>
        <v>-1</v>
      </c>
      <c r="O84" s="11"/>
      <c r="P84" s="6"/>
      <c r="Q84" s="2"/>
      <c r="R84" s="7">
        <f t="shared" si="50"/>
        <v>0</v>
      </c>
      <c r="S84" s="2"/>
      <c r="T84" s="6">
        <v>280</v>
      </c>
      <c r="U84" s="2"/>
      <c r="V84" s="7">
        <f t="shared" si="51"/>
        <v>8.8098921244441296E-4</v>
      </c>
      <c r="W84" s="2"/>
      <c r="X84" s="6">
        <f t="shared" si="52"/>
        <v>-280</v>
      </c>
      <c r="Y84" s="2"/>
      <c r="Z84" s="7">
        <f t="shared" si="53"/>
        <v>-1</v>
      </c>
    </row>
    <row r="85" spans="1:26" s="26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SUM(OSRRefD22_9x_0)</f>
        <v>0</v>
      </c>
      <c r="E85" s="1"/>
      <c r="F85" s="5">
        <f t="shared" si="46"/>
        <v>0</v>
      </c>
      <c r="G85" s="1"/>
      <c r="H85" s="1">
        <f>SUM(OSRRefH22_9x_0)</f>
        <v>0</v>
      </c>
      <c r="I85" s="1"/>
      <c r="J85" s="5">
        <f t="shared" si="47"/>
        <v>0</v>
      </c>
      <c r="K85" s="1"/>
      <c r="L85" s="1">
        <f t="shared" si="48"/>
        <v>0</v>
      </c>
      <c r="M85" s="1"/>
      <c r="N85" s="5">
        <f t="shared" si="49"/>
        <v>0</v>
      </c>
      <c r="O85" s="13"/>
      <c r="P85" s="1">
        <f>SUM(OSRRefP22_9x_0)</f>
        <v>-323.01</v>
      </c>
      <c r="Q85" s="1"/>
      <c r="R85" s="5">
        <f t="shared" si="50"/>
        <v>-9.703149589907424E-4</v>
      </c>
      <c r="S85" s="1"/>
      <c r="T85" s="1">
        <f>SUM(OSRRefT22_9x_0)</f>
        <v>0</v>
      </c>
      <c r="U85" s="1"/>
      <c r="V85" s="5">
        <f t="shared" si="51"/>
        <v>0</v>
      </c>
      <c r="W85" s="1"/>
      <c r="X85" s="1">
        <f t="shared" si="52"/>
        <v>-323.01</v>
      </c>
      <c r="Y85" s="1"/>
      <c r="Z85" s="5">
        <f t="shared" si="53"/>
        <v>0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46"/>
        <v>0</v>
      </c>
      <c r="G86" s="2"/>
      <c r="H86" s="6"/>
      <c r="I86" s="2"/>
      <c r="J86" s="7">
        <f t="shared" si="47"/>
        <v>0</v>
      </c>
      <c r="K86" s="2"/>
      <c r="L86" s="6">
        <f t="shared" si="48"/>
        <v>0</v>
      </c>
      <c r="M86" s="2"/>
      <c r="N86" s="7">
        <f t="shared" si="49"/>
        <v>0</v>
      </c>
      <c r="O86" s="11"/>
      <c r="P86" s="6">
        <v>-323.01</v>
      </c>
      <c r="Q86" s="2"/>
      <c r="R86" s="7">
        <f t="shared" si="50"/>
        <v>-9.703149589907424E-4</v>
      </c>
      <c r="S86" s="2"/>
      <c r="T86" s="6"/>
      <c r="U86" s="2"/>
      <c r="V86" s="7">
        <f t="shared" si="51"/>
        <v>0</v>
      </c>
      <c r="W86" s="2"/>
      <c r="X86" s="6">
        <f t="shared" si="52"/>
        <v>-323.01</v>
      </c>
      <c r="Y86" s="2"/>
      <c r="Z86" s="7">
        <f t="shared" si="53"/>
        <v>0</v>
      </c>
    </row>
    <row r="87" spans="1:26" s="59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1">
        <f>+D52-D54+D88</f>
        <v>29737.23999999998</v>
      </c>
      <c r="E90" s="14"/>
      <c r="F90" s="22">
        <f>IF(D$12=0,0,D90/D$12)</f>
        <v>0.34675478989303693</v>
      </c>
      <c r="G90" s="14"/>
      <c r="H90" s="21">
        <f>+H52-H54+H88</f>
        <v>24226.549999999996</v>
      </c>
      <c r="I90" s="14"/>
      <c r="J90" s="22">
        <f>IF(H$12=0,0,H90/H$12)</f>
        <v>0.31138243671211463</v>
      </c>
      <c r="K90" s="16"/>
      <c r="L90" s="21">
        <f>+D90-H90</f>
        <v>5510.6899999999841</v>
      </c>
      <c r="M90" s="16"/>
      <c r="N90" s="22">
        <f>IF(H90=0,0,L90/H90)</f>
        <v>0.22746490936596359</v>
      </c>
      <c r="O90" s="29"/>
      <c r="P90" s="21">
        <f>+P52-P54+P88</f>
        <v>101884.93000000004</v>
      </c>
      <c r="Q90" s="14"/>
      <c r="R90" s="22">
        <f>IF(P$12=0,0,P90/P$12)</f>
        <v>0.30606009620359959</v>
      </c>
      <c r="S90" s="14"/>
      <c r="T90" s="21">
        <f>+T52-T54+T88</f>
        <v>89597.370000000024</v>
      </c>
      <c r="U90" s="14"/>
      <c r="V90" s="22">
        <f>IF(T$12=0,0,T90/T$12)</f>
        <v>0.28190827297639537</v>
      </c>
      <c r="W90" s="16"/>
      <c r="X90" s="21">
        <f>+P90-T90</f>
        <v>12287.560000000012</v>
      </c>
      <c r="Y90" s="16"/>
      <c r="Z90" s="22">
        <f>IF(T90=0,0,X90/T90)</f>
        <v>0.13714197191279173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>
        <v>8023.62</v>
      </c>
      <c r="E92" s="4"/>
      <c r="F92" s="12">
        <f>IF(D$12=0,0,D92/D$12)</f>
        <v>9.3560420108980219E-2</v>
      </c>
      <c r="G92" s="4"/>
      <c r="H92" s="4">
        <v>6436.86</v>
      </c>
      <c r="I92" s="4"/>
      <c r="J92" s="12">
        <f>IF(H$12=0,0,H92/H$12)</f>
        <v>8.2732586834474667E-2</v>
      </c>
      <c r="K92" s="4"/>
      <c r="L92" s="4">
        <f>+D92-H92</f>
        <v>1586.7600000000002</v>
      </c>
      <c r="M92" s="4"/>
      <c r="N92" s="12">
        <f>IF(H92=0,0,L92/H92)</f>
        <v>0.24651149784211562</v>
      </c>
      <c r="O92" s="10"/>
      <c r="P92" s="4">
        <v>34715.910000000003</v>
      </c>
      <c r="Q92" s="4"/>
      <c r="R92" s="12">
        <f>IF(P$12=0,0,P92/P$12)</f>
        <v>0.10428583259953657</v>
      </c>
      <c r="S92" s="4"/>
      <c r="T92" s="4">
        <v>32338.799999999999</v>
      </c>
      <c r="U92" s="4"/>
      <c r="V92" s="12">
        <f>IF(T$12=0,0,T92/T$12)</f>
        <v>0.10175047836927636</v>
      </c>
      <c r="W92" s="4"/>
      <c r="X92" s="4">
        <f>+P92-T92</f>
        <v>2377.1100000000042</v>
      </c>
      <c r="Y92" s="4"/>
      <c r="Z92" s="12">
        <f>IF(T92=0,0,X92/T92)</f>
        <v>7.3506438086756595E-2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4">
        <f>+D90-D92</f>
        <v>21713.619999999981</v>
      </c>
      <c r="E94" s="14"/>
      <c r="F94" s="31">
        <f>IF(D$12=0,0,D94/D$12)</f>
        <v>0.25319436978405674</v>
      </c>
      <c r="G94" s="14"/>
      <c r="H94" s="34">
        <f>+H90-H92</f>
        <v>17789.689999999995</v>
      </c>
      <c r="I94" s="14"/>
      <c r="J94" s="31">
        <f>IF(H$12=0,0,H94/H$12)</f>
        <v>0.22864984987763995</v>
      </c>
      <c r="K94" s="16"/>
      <c r="L94" s="34">
        <f>D94-H94</f>
        <v>3923.9299999999857</v>
      </c>
      <c r="M94" s="16"/>
      <c r="N94" s="31">
        <f>IF(H94=0,0,L94/H94)</f>
        <v>0.22057326462687021</v>
      </c>
      <c r="O94" s="29"/>
      <c r="P94" s="34">
        <f>+P90-P92</f>
        <v>67169.020000000033</v>
      </c>
      <c r="Q94" s="14"/>
      <c r="R94" s="31">
        <f>IF(P$12=0,0,P94/P$12)</f>
        <v>0.201774263604063</v>
      </c>
      <c r="S94" s="14"/>
      <c r="T94" s="34">
        <f>+T90-T92</f>
        <v>57258.570000000022</v>
      </c>
      <c r="U94" s="14"/>
      <c r="V94" s="31">
        <f>IF(T$12=0,0,T94/T$12)</f>
        <v>0.18015779460711898</v>
      </c>
      <c r="W94" s="16"/>
      <c r="X94" s="34">
        <f>P94-T94</f>
        <v>9910.4500000000116</v>
      </c>
      <c r="Y94" s="16"/>
      <c r="Z94" s="31">
        <f>IF(T94=0,0,X94/T94)</f>
        <v>0.17308238749238775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0">
        <f>SUM(D94:D96)</f>
        <v>21713.619999999981</v>
      </c>
      <c r="E97" s="14"/>
      <c r="F97" s="33">
        <f>IF(D$12=0,0,D97/D$12)</f>
        <v>0.25319436978405674</v>
      </c>
      <c r="G97" s="14"/>
      <c r="H97" s="30">
        <f>SUM(H94:H96)</f>
        <v>17789.689999999995</v>
      </c>
      <c r="I97" s="14"/>
      <c r="J97" s="33">
        <f>IF(H$12=0,0,H97/H$12)</f>
        <v>0.22864984987763995</v>
      </c>
      <c r="K97" s="16"/>
      <c r="L97" s="30">
        <f>+D97-H97</f>
        <v>3923.9299999999857</v>
      </c>
      <c r="M97" s="16"/>
      <c r="N97" s="33">
        <f>IF(H97=0,0,L97/H97)</f>
        <v>0.22057326462687021</v>
      </c>
      <c r="O97" s="29"/>
      <c r="P97" s="30">
        <f>SUM(P94:P96)</f>
        <v>67169.020000000033</v>
      </c>
      <c r="Q97" s="14"/>
      <c r="R97" s="33">
        <f>IF(P$12=0,0,P97/P$12)</f>
        <v>0.201774263604063</v>
      </c>
      <c r="S97" s="14"/>
      <c r="T97" s="30">
        <f>SUM(T94:T96)</f>
        <v>57258.570000000022</v>
      </c>
      <c r="U97" s="14"/>
      <c r="V97" s="33">
        <f>IF(T$12=0,0,T97/T$12)</f>
        <v>0.18015779460711898</v>
      </c>
      <c r="W97" s="16"/>
      <c r="X97" s="30">
        <f>+P97-T97</f>
        <v>9910.4500000000116</v>
      </c>
      <c r="Y97" s="16"/>
      <c r="Z97" s="33">
        <f>IF(T97=0,0,X97/T97)</f>
        <v>0.17308238749238775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25">
      <c r="A99" s="9"/>
      <c r="B99" s="61">
        <v>43879.553868437499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55" t="s">
        <v>313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8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1673067.7800000003</v>
      </c>
      <c r="E12" s="4"/>
      <c r="F12" s="12"/>
      <c r="G12" s="4"/>
      <c r="H12" s="4">
        <f>SUM(OSRRefH13x_0)</f>
        <v>2152641.0100000002</v>
      </c>
      <c r="I12" s="4"/>
      <c r="J12" s="12"/>
      <c r="K12" s="4"/>
      <c r="L12" s="4">
        <f t="shared" ref="L12:L40" si="0">+D12-H12</f>
        <v>-479573.23</v>
      </c>
      <c r="M12" s="4"/>
      <c r="N12" s="12">
        <f t="shared" ref="N12:N40" si="1">IF(H12=0,0,L12/H12)</f>
        <v>-0.22278365401948741</v>
      </c>
      <c r="O12" s="10"/>
      <c r="P12" s="4">
        <f>SUM(OSRRefP13x_0)</f>
        <v>4613321.6999999983</v>
      </c>
      <c r="Q12" s="4"/>
      <c r="R12" s="12"/>
      <c r="S12" s="4"/>
      <c r="T12" s="4">
        <f>SUM(OSRRefT13x_0)</f>
        <v>5631223.8799999999</v>
      </c>
      <c r="U12" s="4"/>
      <c r="V12" s="12"/>
      <c r="W12" s="4"/>
      <c r="X12" s="4">
        <f t="shared" ref="X12:X40" si="2">+P12-T12</f>
        <v>-1017902.1800000016</v>
      </c>
      <c r="Y12" s="4"/>
      <c r="Z12" s="12">
        <f t="shared" ref="Z12:Z40" si="3">IF(T12=0,0,X12/T12)</f>
        <v>-0.18076038205747941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--745942.38</f>
        <v>745942.38</v>
      </c>
      <c r="E13" s="2"/>
      <c r="F13" s="19"/>
      <c r="G13" s="2"/>
      <c r="H13" s="2">
        <f>--1043516.6</f>
        <v>1043516.6</v>
      </c>
      <c r="I13" s="2"/>
      <c r="J13" s="19"/>
      <c r="K13" s="2"/>
      <c r="L13" s="2">
        <f t="shared" si="0"/>
        <v>-297574.21999999997</v>
      </c>
      <c r="M13" s="2"/>
      <c r="N13" s="19">
        <f t="shared" si="1"/>
        <v>-0.28516481673602506</v>
      </c>
      <c r="O13" s="11"/>
      <c r="P13" s="2">
        <f>--2285976.76</f>
        <v>2285976.7599999998</v>
      </c>
      <c r="Q13" s="2"/>
      <c r="R13" s="19"/>
      <c r="S13" s="2"/>
      <c r="T13" s="2">
        <f>--2913143.85</f>
        <v>2913143.85</v>
      </c>
      <c r="U13" s="2"/>
      <c r="V13" s="19"/>
      <c r="W13" s="2"/>
      <c r="X13" s="2">
        <f t="shared" si="2"/>
        <v>-627167.09000000032</v>
      </c>
      <c r="Y13" s="2"/>
      <c r="Z13" s="19">
        <f t="shared" si="3"/>
        <v>-0.21528874724123229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--512319.44</f>
        <v>512319.44</v>
      </c>
      <c r="E14" s="2"/>
      <c r="F14" s="19"/>
      <c r="G14" s="2"/>
      <c r="H14" s="2">
        <f>--553527.23</f>
        <v>553527.23</v>
      </c>
      <c r="I14" s="2"/>
      <c r="J14" s="19"/>
      <c r="K14" s="2"/>
      <c r="L14" s="2">
        <f t="shared" si="0"/>
        <v>-41207.789999999979</v>
      </c>
      <c r="M14" s="2"/>
      <c r="N14" s="19">
        <f t="shared" si="1"/>
        <v>-7.4445822656276514E-2</v>
      </c>
      <c r="O14" s="11"/>
      <c r="P14" s="2">
        <f>--1193414.41</f>
        <v>1193414.4099999999</v>
      </c>
      <c r="Q14" s="2"/>
      <c r="R14" s="19"/>
      <c r="S14" s="2"/>
      <c r="T14" s="2">
        <f>--1309468.68</f>
        <v>1309468.68</v>
      </c>
      <c r="U14" s="2"/>
      <c r="V14" s="19"/>
      <c r="W14" s="2"/>
      <c r="X14" s="2">
        <f t="shared" si="2"/>
        <v>-116054.27000000002</v>
      </c>
      <c r="Y14" s="2"/>
      <c r="Z14" s="19">
        <f t="shared" si="3"/>
        <v>-8.8626991826944668E-2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--15841.34</f>
        <v>15841.34</v>
      </c>
      <c r="E15" s="2"/>
      <c r="F15" s="19"/>
      <c r="G15" s="2"/>
      <c r="H15" s="2">
        <f>--4636.4</f>
        <v>4636.3999999999996</v>
      </c>
      <c r="I15" s="2"/>
      <c r="J15" s="19"/>
      <c r="K15" s="2"/>
      <c r="L15" s="2">
        <f t="shared" si="0"/>
        <v>11204.94</v>
      </c>
      <c r="M15" s="2"/>
      <c r="N15" s="19">
        <f t="shared" si="1"/>
        <v>2.416732809938746</v>
      </c>
      <c r="O15" s="11"/>
      <c r="P15" s="2">
        <f>--32272.01</f>
        <v>32272.01</v>
      </c>
      <c r="Q15" s="2"/>
      <c r="R15" s="19"/>
      <c r="S15" s="2"/>
      <c r="T15" s="2">
        <f>--14580.65</f>
        <v>14580.65</v>
      </c>
      <c r="U15" s="2"/>
      <c r="V15" s="19"/>
      <c r="W15" s="2"/>
      <c r="X15" s="2">
        <f t="shared" si="2"/>
        <v>17691.36</v>
      </c>
      <c r="Y15" s="2"/>
      <c r="Z15" s="19">
        <f t="shared" si="3"/>
        <v>1.2133450840668969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--10921.53</f>
        <v>10921.53</v>
      </c>
      <c r="E16" s="2"/>
      <c r="F16" s="19"/>
      <c r="G16" s="2"/>
      <c r="H16" s="2">
        <f>--25647.37</f>
        <v>25647.37</v>
      </c>
      <c r="I16" s="2"/>
      <c r="J16" s="19"/>
      <c r="K16" s="2"/>
      <c r="L16" s="2">
        <f t="shared" si="0"/>
        <v>-14725.839999999998</v>
      </c>
      <c r="M16" s="2"/>
      <c r="N16" s="19">
        <f t="shared" si="1"/>
        <v>-0.57416569418228847</v>
      </c>
      <c r="O16" s="11"/>
      <c r="P16" s="2">
        <f>--41201.41</f>
        <v>41201.410000000003</v>
      </c>
      <c r="Q16" s="2"/>
      <c r="R16" s="19"/>
      <c r="S16" s="2"/>
      <c r="T16" s="2">
        <f>--68329.47</f>
        <v>68329.47</v>
      </c>
      <c r="U16" s="2"/>
      <c r="V16" s="19"/>
      <c r="W16" s="2"/>
      <c r="X16" s="2">
        <f t="shared" si="2"/>
        <v>-27128.059999999998</v>
      </c>
      <c r="Y16" s="2"/>
      <c r="Z16" s="19">
        <f t="shared" si="3"/>
        <v>-0.39701844606726788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7.3900000000000006</v>
      </c>
      <c r="Y17" s="2"/>
      <c r="Z17" s="19">
        <f t="shared" si="3"/>
        <v>1.2675814751286449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--229.57</f>
        <v>229.57</v>
      </c>
      <c r="E18" s="2"/>
      <c r="F18" s="19"/>
      <c r="G18" s="2"/>
      <c r="H18" s="2">
        <f>--229.95</f>
        <v>229.95</v>
      </c>
      <c r="I18" s="2"/>
      <c r="J18" s="19"/>
      <c r="K18" s="2"/>
      <c r="L18" s="2">
        <f t="shared" si="0"/>
        <v>-0.37999999999999545</v>
      </c>
      <c r="M18" s="2"/>
      <c r="N18" s="19">
        <f t="shared" si="1"/>
        <v>-1.6525331593824548E-3</v>
      </c>
      <c r="O18" s="11"/>
      <c r="P18" s="2">
        <f>--1509.89</f>
        <v>1509.89</v>
      </c>
      <c r="Q18" s="2"/>
      <c r="R18" s="19"/>
      <c r="S18" s="2"/>
      <c r="T18" s="2">
        <f>--3009.14</f>
        <v>3009.14</v>
      </c>
      <c r="U18" s="2"/>
      <c r="V18" s="19"/>
      <c r="W18" s="2"/>
      <c r="X18" s="2">
        <f t="shared" si="2"/>
        <v>-1499.2499999999998</v>
      </c>
      <c r="Y18" s="2"/>
      <c r="Z18" s="19">
        <f t="shared" si="3"/>
        <v>-0.49823205301182394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--107.48</f>
        <v>107.48</v>
      </c>
      <c r="E19" s="2"/>
      <c r="F19" s="19"/>
      <c r="G19" s="2"/>
      <c r="H19" s="2">
        <f>--276.12</f>
        <v>276.12</v>
      </c>
      <c r="I19" s="2"/>
      <c r="J19" s="19"/>
      <c r="K19" s="2"/>
      <c r="L19" s="2">
        <f t="shared" si="0"/>
        <v>-168.64</v>
      </c>
      <c r="M19" s="2"/>
      <c r="N19" s="19">
        <f t="shared" si="1"/>
        <v>-0.61074894973200056</v>
      </c>
      <c r="O19" s="11"/>
      <c r="P19" s="2">
        <f>--1100.17</f>
        <v>1100.17</v>
      </c>
      <c r="Q19" s="2"/>
      <c r="R19" s="19"/>
      <c r="S19" s="2"/>
      <c r="T19" s="2">
        <f>--1486.56</f>
        <v>1486.56</v>
      </c>
      <c r="U19" s="2"/>
      <c r="V19" s="19"/>
      <c r="W19" s="2"/>
      <c r="X19" s="2">
        <f t="shared" si="2"/>
        <v>-386.38999999999987</v>
      </c>
      <c r="Y19" s="2"/>
      <c r="Z19" s="19">
        <f t="shared" si="3"/>
        <v>-0.2599222365730276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--737.51</f>
        <v>737.51</v>
      </c>
      <c r="E20" s="2"/>
      <c r="F20" s="19"/>
      <c r="G20" s="2"/>
      <c r="H20" s="2">
        <f>--861.8</f>
        <v>861.8</v>
      </c>
      <c r="I20" s="2"/>
      <c r="J20" s="19"/>
      <c r="K20" s="2"/>
      <c r="L20" s="2">
        <f t="shared" si="0"/>
        <v>-124.28999999999996</v>
      </c>
      <c r="M20" s="2"/>
      <c r="N20" s="19">
        <f t="shared" si="1"/>
        <v>-0.14422139707588763</v>
      </c>
      <c r="O20" s="11"/>
      <c r="P20" s="2">
        <f>--3627.9</f>
        <v>3627.9</v>
      </c>
      <c r="Q20" s="2"/>
      <c r="R20" s="19"/>
      <c r="S20" s="2"/>
      <c r="T20" s="2">
        <f>--5029.28</f>
        <v>5029.28</v>
      </c>
      <c r="U20" s="2"/>
      <c r="V20" s="19"/>
      <c r="W20" s="2"/>
      <c r="X20" s="2">
        <f t="shared" si="2"/>
        <v>-1401.3799999999997</v>
      </c>
      <c r="Y20" s="2"/>
      <c r="Z20" s="19">
        <f t="shared" si="3"/>
        <v>-0.27864425921801922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--214291.61</f>
        <v>214291.61</v>
      </c>
      <c r="E21" s="2"/>
      <c r="F21" s="19"/>
      <c r="G21" s="2"/>
      <c r="H21" s="2">
        <f>--352730.12</f>
        <v>352730.12</v>
      </c>
      <c r="I21" s="2"/>
      <c r="J21" s="19"/>
      <c r="K21" s="2"/>
      <c r="L21" s="2">
        <f t="shared" si="0"/>
        <v>-138438.51</v>
      </c>
      <c r="M21" s="2"/>
      <c r="N21" s="19">
        <f t="shared" si="1"/>
        <v>-0.39247714371542758</v>
      </c>
      <c r="O21" s="11"/>
      <c r="P21" s="2">
        <f>--550220.16</f>
        <v>550220.16</v>
      </c>
      <c r="Q21" s="2"/>
      <c r="R21" s="19"/>
      <c r="S21" s="2"/>
      <c r="T21" s="2">
        <f>--743316.04</f>
        <v>743316.04</v>
      </c>
      <c r="U21" s="2"/>
      <c r="V21" s="19"/>
      <c r="W21" s="2"/>
      <c r="X21" s="2">
        <f t="shared" si="2"/>
        <v>-193095.88</v>
      </c>
      <c r="Y21" s="2"/>
      <c r="Z21" s="19">
        <f t="shared" si="3"/>
        <v>-0.259776285737087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--37117.66</f>
        <v>37117.660000000003</v>
      </c>
      <c r="E22" s="2"/>
      <c r="F22" s="19"/>
      <c r="G22" s="2"/>
      <c r="H22" s="2">
        <f>--53494.81</f>
        <v>53494.81</v>
      </c>
      <c r="I22" s="2"/>
      <c r="J22" s="19"/>
      <c r="K22" s="2"/>
      <c r="L22" s="2">
        <f t="shared" si="0"/>
        <v>-16377.149999999994</v>
      </c>
      <c r="M22" s="2"/>
      <c r="N22" s="19">
        <f t="shared" si="1"/>
        <v>-0.30614465216345277</v>
      </c>
      <c r="O22" s="11"/>
      <c r="P22" s="2">
        <f>--132405.23</f>
        <v>132405.23000000001</v>
      </c>
      <c r="Q22" s="2"/>
      <c r="R22" s="19"/>
      <c r="S22" s="2"/>
      <c r="T22" s="2">
        <f>--247756.04</f>
        <v>247756.04</v>
      </c>
      <c r="U22" s="2"/>
      <c r="V22" s="19"/>
      <c r="W22" s="2"/>
      <c r="X22" s="2">
        <f t="shared" si="2"/>
        <v>-115350.81</v>
      </c>
      <c r="Y22" s="2"/>
      <c r="Z22" s="19">
        <f t="shared" si="3"/>
        <v>-0.46558223161784468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--28414.21</f>
        <v>28414.21</v>
      </c>
      <c r="E23" s="2"/>
      <c r="F23" s="19"/>
      <c r="G23" s="2"/>
      <c r="H23" s="2">
        <f>--27386.23</f>
        <v>27386.23</v>
      </c>
      <c r="I23" s="2"/>
      <c r="J23" s="19"/>
      <c r="K23" s="2"/>
      <c r="L23" s="2">
        <f t="shared" si="0"/>
        <v>1027.9799999999996</v>
      </c>
      <c r="M23" s="2"/>
      <c r="N23" s="19">
        <f t="shared" si="1"/>
        <v>3.7536382335210054E-2</v>
      </c>
      <c r="O23" s="11"/>
      <c r="P23" s="2">
        <f>--66616.8</f>
        <v>66616.800000000003</v>
      </c>
      <c r="Q23" s="2"/>
      <c r="R23" s="19"/>
      <c r="S23" s="2"/>
      <c r="T23" s="2">
        <f>--81341.89</f>
        <v>81341.89</v>
      </c>
      <c r="U23" s="2"/>
      <c r="V23" s="19"/>
      <c r="W23" s="2"/>
      <c r="X23" s="2">
        <f t="shared" si="2"/>
        <v>-14725.089999999997</v>
      </c>
      <c r="Y23" s="2"/>
      <c r="Z23" s="19">
        <f t="shared" si="3"/>
        <v>-0.18102714357878821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--334.99</f>
        <v>334.99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334.99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155.12</v>
      </c>
      <c r="Y24" s="2"/>
      <c r="Z24" s="19">
        <f t="shared" si="3"/>
        <v>0.30424634696479358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--169179.13</f>
        <v>169179.13</v>
      </c>
      <c r="E25" s="2"/>
      <c r="F25" s="19"/>
      <c r="G25" s="2"/>
      <c r="H25" s="2">
        <f>--168068.46</f>
        <v>168068.46</v>
      </c>
      <c r="I25" s="2"/>
      <c r="J25" s="19"/>
      <c r="K25" s="2"/>
      <c r="L25" s="2">
        <f t="shared" si="0"/>
        <v>1110.6700000000128</v>
      </c>
      <c r="M25" s="2"/>
      <c r="N25" s="19">
        <f t="shared" si="1"/>
        <v>6.6084380138903684E-3</v>
      </c>
      <c r="O25" s="11"/>
      <c r="P25" s="2">
        <f>--502067.96</f>
        <v>502067.96</v>
      </c>
      <c r="Q25" s="2"/>
      <c r="R25" s="19"/>
      <c r="S25" s="2"/>
      <c r="T25" s="2">
        <f>--509033.58</f>
        <v>509033.58</v>
      </c>
      <c r="U25" s="2"/>
      <c r="V25" s="19"/>
      <c r="W25" s="2"/>
      <c r="X25" s="2">
        <f t="shared" si="2"/>
        <v>-6965.6199999999953</v>
      </c>
      <c r="Y25" s="2"/>
      <c r="Z25" s="19">
        <f t="shared" si="3"/>
        <v>-1.3684008823150715E-2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--4684.53</f>
        <v>4684.53</v>
      </c>
      <c r="E26" s="2"/>
      <c r="F26" s="19"/>
      <c r="G26" s="2"/>
      <c r="H26" s="2">
        <f>--3767.61</f>
        <v>3767.61</v>
      </c>
      <c r="I26" s="2"/>
      <c r="J26" s="19"/>
      <c r="K26" s="2"/>
      <c r="L26" s="2">
        <f t="shared" si="0"/>
        <v>916.91999999999962</v>
      </c>
      <c r="M26" s="2"/>
      <c r="N26" s="19">
        <f t="shared" si="1"/>
        <v>0.24336913852548422</v>
      </c>
      <c r="O26" s="11"/>
      <c r="P26" s="2">
        <f>--12708.5</f>
        <v>12708.5</v>
      </c>
      <c r="Q26" s="2"/>
      <c r="R26" s="19"/>
      <c r="S26" s="2"/>
      <c r="T26" s="2">
        <f>--14922.09</f>
        <v>14922.09</v>
      </c>
      <c r="U26" s="2"/>
      <c r="V26" s="19"/>
      <c r="W26" s="2"/>
      <c r="X26" s="2">
        <f t="shared" si="2"/>
        <v>-2213.59</v>
      </c>
      <c r="Y26" s="2"/>
      <c r="Z26" s="19">
        <f t="shared" si="3"/>
        <v>-0.14834316104513512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>
        <f>--38.23</f>
        <v>38.229999999999997</v>
      </c>
      <c r="U27" s="2"/>
      <c r="V27" s="19"/>
      <c r="W27" s="2"/>
      <c r="X27" s="2">
        <f t="shared" si="2"/>
        <v>1108.49</v>
      </c>
      <c r="Y27" s="2"/>
      <c r="Z27" s="19">
        <f t="shared" si="3"/>
        <v>28.995291655767723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>
        <f>--87.71</f>
        <v>87.71</v>
      </c>
      <c r="I28" s="2"/>
      <c r="J28" s="19"/>
      <c r="K28" s="2"/>
      <c r="L28" s="2">
        <f t="shared" si="0"/>
        <v>-87.71</v>
      </c>
      <c r="M28" s="2"/>
      <c r="N28" s="19">
        <f t="shared" si="1"/>
        <v>-1</v>
      </c>
      <c r="O28" s="11"/>
      <c r="P28" s="2">
        <f>--41.91</f>
        <v>41.91</v>
      </c>
      <c r="Q28" s="2"/>
      <c r="R28" s="19"/>
      <c r="S28" s="2"/>
      <c r="T28" s="2">
        <f>--220.35</f>
        <v>220.35</v>
      </c>
      <c r="U28" s="2"/>
      <c r="V28" s="19"/>
      <c r="W28" s="2"/>
      <c r="X28" s="2">
        <f t="shared" si="2"/>
        <v>-178.44</v>
      </c>
      <c r="Y28" s="2"/>
      <c r="Z28" s="19">
        <f t="shared" si="3"/>
        <v>-0.80980258679373729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-37895.48</f>
        <v>-37895.480000000003</v>
      </c>
      <c r="E29" s="2"/>
      <c r="F29" s="19"/>
      <c r="G29" s="2"/>
      <c r="H29" s="2">
        <f>-52388.4</f>
        <v>-52388.4</v>
      </c>
      <c r="I29" s="2"/>
      <c r="J29" s="19"/>
      <c r="K29" s="2"/>
      <c r="L29" s="2">
        <f t="shared" si="0"/>
        <v>14492.919999999998</v>
      </c>
      <c r="M29" s="2"/>
      <c r="N29" s="19">
        <f t="shared" si="1"/>
        <v>-0.27664368447977028</v>
      </c>
      <c r="O29" s="11"/>
      <c r="P29" s="2">
        <f>-116625.85</f>
        <v>-116625.85</v>
      </c>
      <c r="Q29" s="2"/>
      <c r="R29" s="19"/>
      <c r="S29" s="2"/>
      <c r="T29" s="2">
        <f>-166409.27</f>
        <v>-166409.26999999999</v>
      </c>
      <c r="U29" s="2"/>
      <c r="V29" s="19"/>
      <c r="W29" s="2"/>
      <c r="X29" s="2">
        <f t="shared" si="2"/>
        <v>49783.419999999984</v>
      </c>
      <c r="Y29" s="2"/>
      <c r="Z29" s="19">
        <f t="shared" si="3"/>
        <v>-0.29916254064452052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-16170.8</f>
        <v>-16170.8</v>
      </c>
      <c r="E30" s="2"/>
      <c r="F30" s="19"/>
      <c r="G30" s="2"/>
      <c r="H30" s="2">
        <f>-12515.4</f>
        <v>-12515.4</v>
      </c>
      <c r="I30" s="2"/>
      <c r="J30" s="19"/>
      <c r="K30" s="2"/>
      <c r="L30" s="2">
        <f t="shared" si="0"/>
        <v>-3655.3999999999996</v>
      </c>
      <c r="M30" s="2"/>
      <c r="N30" s="19">
        <f t="shared" si="1"/>
        <v>0.29207216709014494</v>
      </c>
      <c r="O30" s="11"/>
      <c r="P30" s="2">
        <f>-43379.15</f>
        <v>-43379.15</v>
      </c>
      <c r="Q30" s="2"/>
      <c r="R30" s="19"/>
      <c r="S30" s="2"/>
      <c r="T30" s="2">
        <f>-42477.35</f>
        <v>-42477.35</v>
      </c>
      <c r="U30" s="2"/>
      <c r="V30" s="19"/>
      <c r="W30" s="2"/>
      <c r="X30" s="2">
        <f t="shared" si="2"/>
        <v>-901.80000000000291</v>
      </c>
      <c r="Y30" s="2"/>
      <c r="Z30" s="19">
        <f t="shared" si="3"/>
        <v>2.1230137944104398E-2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-4891.98</f>
        <v>-4891.9799999999996</v>
      </c>
      <c r="E32" s="2"/>
      <c r="F32" s="19"/>
      <c r="G32" s="2"/>
      <c r="H32" s="2">
        <f>-9964.33</f>
        <v>-9964.33</v>
      </c>
      <c r="I32" s="2"/>
      <c r="J32" s="19"/>
      <c r="K32" s="2"/>
      <c r="L32" s="2">
        <f t="shared" si="0"/>
        <v>5072.3500000000004</v>
      </c>
      <c r="M32" s="2"/>
      <c r="N32" s="19">
        <f t="shared" si="1"/>
        <v>-0.50905078414705263</v>
      </c>
      <c r="O32" s="11"/>
      <c r="P32" s="2">
        <f>-16261.44</f>
        <v>-16261.44</v>
      </c>
      <c r="Q32" s="2"/>
      <c r="R32" s="19"/>
      <c r="S32" s="2"/>
      <c r="T32" s="2">
        <f>-26008.18</f>
        <v>-26008.18</v>
      </c>
      <c r="U32" s="2"/>
      <c r="V32" s="19"/>
      <c r="W32" s="2"/>
      <c r="X32" s="2">
        <f t="shared" si="2"/>
        <v>9746.74</v>
      </c>
      <c r="Y32" s="2"/>
      <c r="Z32" s="19">
        <f t="shared" si="3"/>
        <v>-0.37475671115779724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-13.95</f>
        <v>-13.95</v>
      </c>
      <c r="E33" s="2"/>
      <c r="F33" s="19"/>
      <c r="G33" s="2"/>
      <c r="H33" s="2">
        <f>-24.94</f>
        <v>-24.94</v>
      </c>
      <c r="I33" s="2"/>
      <c r="J33" s="19"/>
      <c r="K33" s="2"/>
      <c r="L33" s="2">
        <f t="shared" si="0"/>
        <v>10.990000000000002</v>
      </c>
      <c r="M33" s="2"/>
      <c r="N33" s="19">
        <f t="shared" si="1"/>
        <v>-0.44065757818765044</v>
      </c>
      <c r="O33" s="11"/>
      <c r="P33" s="2">
        <f>-116.66</f>
        <v>-116.66</v>
      </c>
      <c r="Q33" s="2"/>
      <c r="R33" s="19"/>
      <c r="S33" s="2"/>
      <c r="T33" s="2">
        <f>-121.9</f>
        <v>-121.9</v>
      </c>
      <c r="U33" s="2"/>
      <c r="V33" s="19"/>
      <c r="W33" s="2"/>
      <c r="X33" s="2">
        <f t="shared" si="2"/>
        <v>5.2400000000000091</v>
      </c>
      <c r="Y33" s="2"/>
      <c r="Z33" s="19">
        <f t="shared" si="3"/>
        <v>-4.2986054142740024E-2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0</f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-3.95</f>
        <v>-3.95</v>
      </c>
      <c r="U34" s="2"/>
      <c r="V34" s="19"/>
      <c r="W34" s="2"/>
      <c r="X34" s="2">
        <f t="shared" si="2"/>
        <v>-7.9899999999999993</v>
      </c>
      <c r="Y34" s="2"/>
      <c r="Z34" s="19">
        <f t="shared" si="3"/>
        <v>2.022784810126582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>-6.5</f>
        <v>-6.5</v>
      </c>
      <c r="E35" s="2"/>
      <c r="F35" s="19"/>
      <c r="G35" s="2"/>
      <c r="H35" s="2">
        <f>-20.85</f>
        <v>-20.85</v>
      </c>
      <c r="I35" s="2"/>
      <c r="J35" s="19"/>
      <c r="K35" s="2"/>
      <c r="L35" s="2">
        <f t="shared" si="0"/>
        <v>14.350000000000001</v>
      </c>
      <c r="M35" s="2"/>
      <c r="N35" s="19">
        <f t="shared" si="1"/>
        <v>-0.68824940047961636</v>
      </c>
      <c r="O35" s="11"/>
      <c r="P35" s="2">
        <f>-39.25</f>
        <v>-39.25</v>
      </c>
      <c r="Q35" s="2"/>
      <c r="R35" s="19"/>
      <c r="S35" s="2"/>
      <c r="T35" s="2">
        <f>-60.65</f>
        <v>-60.65</v>
      </c>
      <c r="U35" s="2"/>
      <c r="V35" s="19"/>
      <c r="W35" s="2"/>
      <c r="X35" s="2">
        <f t="shared" si="2"/>
        <v>21.4</v>
      </c>
      <c r="Y35" s="2"/>
      <c r="Z35" s="19">
        <f t="shared" si="3"/>
        <v>-0.3528441879637263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-2910.64</f>
        <v>-2910.64</v>
      </c>
      <c r="E36" s="2"/>
      <c r="F36" s="19"/>
      <c r="G36" s="2"/>
      <c r="H36" s="2">
        <f>-4939.03</f>
        <v>-4939.03</v>
      </c>
      <c r="I36" s="2"/>
      <c r="J36" s="19"/>
      <c r="K36" s="2"/>
      <c r="L36" s="2">
        <f t="shared" si="0"/>
        <v>2028.3899999999999</v>
      </c>
      <c r="M36" s="2"/>
      <c r="N36" s="19">
        <f t="shared" si="1"/>
        <v>-0.41068590391230664</v>
      </c>
      <c r="O36" s="11"/>
      <c r="P36" s="2">
        <f>-15221.62</f>
        <v>-15221.62</v>
      </c>
      <c r="Q36" s="2"/>
      <c r="R36" s="19"/>
      <c r="S36" s="2"/>
      <c r="T36" s="2">
        <f>-35074.1</f>
        <v>-35074.1</v>
      </c>
      <c r="U36" s="2"/>
      <c r="V36" s="19"/>
      <c r="W36" s="2"/>
      <c r="X36" s="2">
        <f t="shared" si="2"/>
        <v>19852.479999999996</v>
      </c>
      <c r="Y36" s="2"/>
      <c r="Z36" s="19">
        <f t="shared" si="3"/>
        <v>-0.56601537886930808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-614.47</f>
        <v>-614.47</v>
      </c>
      <c r="E37" s="2"/>
      <c r="F37" s="19"/>
      <c r="G37" s="2"/>
      <c r="H37" s="2">
        <f>-1055.72</f>
        <v>-1055.72</v>
      </c>
      <c r="I37" s="2"/>
      <c r="J37" s="19"/>
      <c r="K37" s="2"/>
      <c r="L37" s="2">
        <f t="shared" si="0"/>
        <v>441.25</v>
      </c>
      <c r="M37" s="2"/>
      <c r="N37" s="19">
        <f t="shared" si="1"/>
        <v>-0.41796120183381957</v>
      </c>
      <c r="O37" s="11"/>
      <c r="P37" s="2">
        <f>-1312.37</f>
        <v>-1312.37</v>
      </c>
      <c r="Q37" s="2"/>
      <c r="R37" s="19"/>
      <c r="S37" s="2"/>
      <c r="T37" s="2">
        <f>-3569.16</f>
        <v>-3569.16</v>
      </c>
      <c r="U37" s="2"/>
      <c r="V37" s="19"/>
      <c r="W37" s="2"/>
      <c r="X37" s="2">
        <f t="shared" si="2"/>
        <v>2256.79</v>
      </c>
      <c r="Y37" s="2"/>
      <c r="Z37" s="19">
        <f t="shared" si="3"/>
        <v>-0.63230283876318238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-4312.43</f>
        <v>-4312.43</v>
      </c>
      <c r="E39" s="2"/>
      <c r="F39" s="19"/>
      <c r="G39" s="2"/>
      <c r="H39" s="2">
        <f>-540.96</f>
        <v>-540.96</v>
      </c>
      <c r="I39" s="2"/>
      <c r="J39" s="19"/>
      <c r="K39" s="2"/>
      <c r="L39" s="2">
        <f t="shared" si="0"/>
        <v>-3771.4700000000003</v>
      </c>
      <c r="M39" s="2"/>
      <c r="N39" s="19">
        <f t="shared" si="1"/>
        <v>6.9718093759242832</v>
      </c>
      <c r="O39" s="11"/>
      <c r="P39" s="2">
        <f>-17742.75</f>
        <v>-17742.75</v>
      </c>
      <c r="Q39" s="2"/>
      <c r="R39" s="19"/>
      <c r="S39" s="2"/>
      <c r="T39" s="2">
        <f>-4284.71</f>
        <v>-4284.71</v>
      </c>
      <c r="U39" s="2"/>
      <c r="V39" s="19"/>
      <c r="W39" s="2"/>
      <c r="X39" s="2">
        <f t="shared" si="2"/>
        <v>-13458.04</v>
      </c>
      <c r="Y39" s="2"/>
      <c r="Z39" s="19">
        <f t="shared" si="3"/>
        <v>3.1409453615297185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-237.35</f>
        <v>-237.35</v>
      </c>
      <c r="E40" s="2"/>
      <c r="F40" s="19"/>
      <c r="G40" s="2"/>
      <c r="H40" s="2">
        <f>-139.77</f>
        <v>-139.77000000000001</v>
      </c>
      <c r="I40" s="2"/>
      <c r="J40" s="19"/>
      <c r="K40" s="2"/>
      <c r="L40" s="2">
        <f t="shared" si="0"/>
        <v>-97.579999999999984</v>
      </c>
      <c r="M40" s="2"/>
      <c r="N40" s="19">
        <f t="shared" si="1"/>
        <v>0.69814695571295682</v>
      </c>
      <c r="O40" s="11"/>
      <c r="P40" s="2">
        <f>-625.31</f>
        <v>-625.30999999999995</v>
      </c>
      <c r="Q40" s="2"/>
      <c r="R40" s="19"/>
      <c r="S40" s="2"/>
      <c r="T40" s="2">
        <f>-749.03</f>
        <v>-749.03</v>
      </c>
      <c r="U40" s="2"/>
      <c r="V40" s="19"/>
      <c r="W40" s="2"/>
      <c r="X40" s="2">
        <f t="shared" si="2"/>
        <v>123.72000000000003</v>
      </c>
      <c r="Y40" s="2"/>
      <c r="Z40" s="19">
        <f t="shared" si="3"/>
        <v>-0.16517362455442378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1004140.13</v>
      </c>
      <c r="E42" s="4"/>
      <c r="F42" s="12">
        <f t="shared" ref="F42:F58" si="5">IF(D$12=0,0,D42/D$12)</f>
        <v>0.60017898975975725</v>
      </c>
      <c r="G42" s="4"/>
      <c r="H42" s="4">
        <f>SUM(OSRRefH16x_0)</f>
        <v>1518035.35</v>
      </c>
      <c r="I42" s="4"/>
      <c r="J42" s="12">
        <f t="shared" ref="J42:J58" si="6">IF(H$12=0,0,H42/H$12)</f>
        <v>0.70519670625433262</v>
      </c>
      <c r="K42" s="4"/>
      <c r="L42" s="4">
        <f t="shared" ref="L42:L58" si="7">+D42-H42</f>
        <v>-513895.22000000009</v>
      </c>
      <c r="M42" s="4"/>
      <c r="N42" s="12">
        <f t="shared" ref="N42:N58" si="8">IF(H42=0,0,L42/H42)</f>
        <v>-0.33852651718551879</v>
      </c>
      <c r="O42" s="10"/>
      <c r="P42" s="4">
        <f>SUM(OSRRefP16x_0)</f>
        <v>3158655.9800000004</v>
      </c>
      <c r="Q42" s="4"/>
      <c r="R42" s="12">
        <f t="shared" ref="R42:R58" si="9">IF(P$12=0,0,P42/P$12)</f>
        <v>0.68468149099595665</v>
      </c>
      <c r="S42" s="4"/>
      <c r="T42" s="4">
        <f>SUM(OSRRefT16x_0)</f>
        <v>4079448.5100000002</v>
      </c>
      <c r="U42" s="4"/>
      <c r="V42" s="12">
        <f t="shared" ref="V42:V58" si="10">IF(T$12=0,0,T42/T$12)</f>
        <v>0.72443372825020769</v>
      </c>
      <c r="W42" s="4"/>
      <c r="X42" s="4">
        <f t="shared" ref="X42:X58" si="11">+P42-T42</f>
        <v>-920792.5299999998</v>
      </c>
      <c r="Y42" s="4"/>
      <c r="Z42" s="12">
        <f t="shared" ref="Z42:Z58" si="12">IF(T42=0,0,X42/T42)</f>
        <v>-0.22571495331853073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890224.90999999992</v>
      </c>
      <c r="E43" s="2"/>
      <c r="F43" s="19">
        <f t="shared" si="5"/>
        <v>0.53209135974156396</v>
      </c>
      <c r="G43" s="2"/>
      <c r="H43" s="2">
        <v>795267.40999999992</v>
      </c>
      <c r="I43" s="2"/>
      <c r="J43" s="19">
        <f t="shared" si="6"/>
        <v>0.36943800954530726</v>
      </c>
      <c r="K43" s="2"/>
      <c r="L43" s="2">
        <f t="shared" si="7"/>
        <v>94957.5</v>
      </c>
      <c r="M43" s="2"/>
      <c r="N43" s="19">
        <f t="shared" si="8"/>
        <v>0.11940323318416884</v>
      </c>
      <c r="O43" s="11"/>
      <c r="P43" s="2">
        <v>2627294.66</v>
      </c>
      <c r="Q43" s="2"/>
      <c r="R43" s="19">
        <f t="shared" si="9"/>
        <v>0.56950172367125429</v>
      </c>
      <c r="S43" s="2"/>
      <c r="T43" s="2">
        <v>2950999.91</v>
      </c>
      <c r="U43" s="2"/>
      <c r="V43" s="19">
        <f t="shared" si="10"/>
        <v>0.52404237034170276</v>
      </c>
      <c r="W43" s="2"/>
      <c r="X43" s="2">
        <f t="shared" si="11"/>
        <v>-323705.25</v>
      </c>
      <c r="Y43" s="2"/>
      <c r="Z43" s="19">
        <f t="shared" si="12"/>
        <v>-0.10969341235933823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260084.68000000002</v>
      </c>
      <c r="E44" s="2"/>
      <c r="F44" s="19">
        <f t="shared" si="5"/>
        <v>0.15545376171191341</v>
      </c>
      <c r="G44" s="2"/>
      <c r="H44" s="2">
        <v>169941.1</v>
      </c>
      <c r="I44" s="2"/>
      <c r="J44" s="19">
        <f t="shared" si="6"/>
        <v>7.8945397402793133E-2</v>
      </c>
      <c r="K44" s="2"/>
      <c r="L44" s="2">
        <f t="shared" si="7"/>
        <v>90143.580000000016</v>
      </c>
      <c r="M44" s="2"/>
      <c r="N44" s="19">
        <f t="shared" si="8"/>
        <v>0.53044013484672048</v>
      </c>
      <c r="O44" s="11"/>
      <c r="P44" s="2">
        <v>512607.53</v>
      </c>
      <c r="Q44" s="2"/>
      <c r="R44" s="19">
        <f t="shared" si="9"/>
        <v>0.11111462918356642</v>
      </c>
      <c r="S44" s="2"/>
      <c r="T44" s="2">
        <v>422304.25</v>
      </c>
      <c r="U44" s="2"/>
      <c r="V44" s="19">
        <f t="shared" si="10"/>
        <v>7.4993333420798045E-2</v>
      </c>
      <c r="W44" s="2"/>
      <c r="X44" s="2">
        <f t="shared" si="11"/>
        <v>90303.280000000028</v>
      </c>
      <c r="Y44" s="2"/>
      <c r="Z44" s="19">
        <f t="shared" si="12"/>
        <v>0.21383464646638065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>
        <v>45275.65</v>
      </c>
      <c r="I45" s="2"/>
      <c r="J45" s="19">
        <f t="shared" si="6"/>
        <v>2.1032605896512208E-2</v>
      </c>
      <c r="K45" s="2"/>
      <c r="L45" s="2">
        <f t="shared" si="7"/>
        <v>-45275.65</v>
      </c>
      <c r="M45" s="2"/>
      <c r="N45" s="19">
        <f t="shared" si="8"/>
        <v>-1</v>
      </c>
      <c r="O45" s="11"/>
      <c r="P45" s="2">
        <v>-78.400000000000006</v>
      </c>
      <c r="Q45" s="2"/>
      <c r="R45" s="19">
        <f t="shared" si="9"/>
        <v>-1.6994262507208208E-5</v>
      </c>
      <c r="S45" s="2"/>
      <c r="T45" s="2">
        <v>53419.4</v>
      </c>
      <c r="U45" s="2"/>
      <c r="V45" s="19">
        <f t="shared" si="10"/>
        <v>9.4862859545907455E-3</v>
      </c>
      <c r="W45" s="2"/>
      <c r="X45" s="2">
        <f t="shared" si="11"/>
        <v>-53497.8</v>
      </c>
      <c r="Y45" s="2"/>
      <c r="Z45" s="19">
        <f t="shared" si="12"/>
        <v>-1.0014676316094901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119541.49999999999</v>
      </c>
      <c r="E46" s="2"/>
      <c r="F46" s="19">
        <f t="shared" si="5"/>
        <v>7.1450482418590339E-2</v>
      </c>
      <c r="G46" s="2"/>
      <c r="H46" s="2">
        <v>121328.07999999999</v>
      </c>
      <c r="I46" s="2"/>
      <c r="J46" s="19">
        <f t="shared" si="6"/>
        <v>5.6362430817017639E-2</v>
      </c>
      <c r="K46" s="2"/>
      <c r="L46" s="2">
        <f t="shared" si="7"/>
        <v>-1786.5800000000017</v>
      </c>
      <c r="M46" s="2"/>
      <c r="N46" s="19">
        <f t="shared" si="8"/>
        <v>-1.4725197992088905E-2</v>
      </c>
      <c r="O46" s="11"/>
      <c r="P46" s="2">
        <v>473893.77</v>
      </c>
      <c r="Q46" s="2"/>
      <c r="R46" s="19">
        <f t="shared" si="9"/>
        <v>0.10272289703967538</v>
      </c>
      <c r="S46" s="2"/>
      <c r="T46" s="2">
        <v>453923.02</v>
      </c>
      <c r="U46" s="2"/>
      <c r="V46" s="19">
        <f t="shared" si="10"/>
        <v>8.0608235380618537E-2</v>
      </c>
      <c r="W46" s="2"/>
      <c r="X46" s="2">
        <f t="shared" si="11"/>
        <v>19970.75</v>
      </c>
      <c r="Y46" s="2"/>
      <c r="Z46" s="19">
        <f t="shared" si="12"/>
        <v>4.3995896044223534E-2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573</v>
      </c>
      <c r="E47" s="2"/>
      <c r="F47" s="19">
        <f t="shared" si="5"/>
        <v>3.4248463024014479E-4</v>
      </c>
      <c r="G47" s="2"/>
      <c r="H47" s="2">
        <v>357</v>
      </c>
      <c r="I47" s="2"/>
      <c r="J47" s="19">
        <f t="shared" si="6"/>
        <v>1.6584279419632535E-4</v>
      </c>
      <c r="K47" s="2"/>
      <c r="L47" s="2">
        <f t="shared" si="7"/>
        <v>216</v>
      </c>
      <c r="M47" s="2"/>
      <c r="N47" s="19">
        <f t="shared" si="8"/>
        <v>0.60504201680672265</v>
      </c>
      <c r="O47" s="11"/>
      <c r="P47" s="2">
        <v>5475</v>
      </c>
      <c r="Q47" s="2"/>
      <c r="R47" s="19">
        <f t="shared" si="9"/>
        <v>1.1867804493235323E-3</v>
      </c>
      <c r="S47" s="2"/>
      <c r="T47" s="2">
        <v>2931</v>
      </c>
      <c r="U47" s="2"/>
      <c r="V47" s="19">
        <f t="shared" si="10"/>
        <v>5.2049076052717691E-4</v>
      </c>
      <c r="W47" s="2"/>
      <c r="X47" s="2">
        <f t="shared" si="11"/>
        <v>2544</v>
      </c>
      <c r="Y47" s="2"/>
      <c r="Z47" s="19">
        <f t="shared" si="12"/>
        <v>0.86796315250767653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-276.85000000000002</v>
      </c>
      <c r="E48" s="2"/>
      <c r="F48" s="19">
        <f t="shared" si="5"/>
        <v>-1.6547446750782565E-4</v>
      </c>
      <c r="G48" s="2"/>
      <c r="H48" s="2">
        <v>-29.05</v>
      </c>
      <c r="I48" s="2"/>
      <c r="J48" s="19">
        <f t="shared" si="6"/>
        <v>-1.3495050900289221E-5</v>
      </c>
      <c r="K48" s="2"/>
      <c r="L48" s="2">
        <f t="shared" si="7"/>
        <v>-247.8</v>
      </c>
      <c r="M48" s="2"/>
      <c r="N48" s="19">
        <f t="shared" si="8"/>
        <v>8.5301204819277103</v>
      </c>
      <c r="O48" s="11"/>
      <c r="P48" s="2">
        <v>458.46</v>
      </c>
      <c r="Q48" s="2"/>
      <c r="R48" s="19">
        <f t="shared" si="9"/>
        <v>9.9377418227738188E-5</v>
      </c>
      <c r="S48" s="2"/>
      <c r="T48" s="2">
        <v>1377.89</v>
      </c>
      <c r="U48" s="2"/>
      <c r="V48" s="19">
        <f t="shared" si="10"/>
        <v>2.4468748346052264E-4</v>
      </c>
      <c r="W48" s="2"/>
      <c r="X48" s="2">
        <f t="shared" si="11"/>
        <v>-919.43000000000006</v>
      </c>
      <c r="Y48" s="2"/>
      <c r="Z48" s="19">
        <f t="shared" si="12"/>
        <v>-0.66727387527306248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69.599999999999994</v>
      </c>
      <c r="E49" s="2"/>
      <c r="F49" s="19">
        <f t="shared" si="5"/>
        <v>4.160022733806994E-5</v>
      </c>
      <c r="G49" s="2"/>
      <c r="H49" s="2">
        <v>166.6</v>
      </c>
      <c r="I49" s="2"/>
      <c r="J49" s="19">
        <f t="shared" si="6"/>
        <v>7.739330395828516E-5</v>
      </c>
      <c r="K49" s="2"/>
      <c r="L49" s="2">
        <f t="shared" si="7"/>
        <v>-97</v>
      </c>
      <c r="M49" s="2"/>
      <c r="N49" s="19">
        <f t="shared" si="8"/>
        <v>-0.5822328931572629</v>
      </c>
      <c r="O49" s="11"/>
      <c r="P49" s="2">
        <v>568.92999999999995</v>
      </c>
      <c r="Q49" s="2"/>
      <c r="R49" s="19">
        <f t="shared" si="9"/>
        <v>1.2332328786002507E-4</v>
      </c>
      <c r="S49" s="2"/>
      <c r="T49" s="2">
        <v>954.56</v>
      </c>
      <c r="U49" s="2"/>
      <c r="V49" s="19">
        <f t="shared" si="10"/>
        <v>1.6951199603166905E-4</v>
      </c>
      <c r="W49" s="2"/>
      <c r="X49" s="2">
        <f t="shared" si="11"/>
        <v>-385.63</v>
      </c>
      <c r="Y49" s="2"/>
      <c r="Z49" s="19">
        <f t="shared" si="12"/>
        <v>-0.40398717733825013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1032.75</v>
      </c>
      <c r="E50" s="2"/>
      <c r="F50" s="19">
        <f t="shared" si="5"/>
        <v>6.1727923539355945E-4</v>
      </c>
      <c r="G50" s="2"/>
      <c r="H50" s="2">
        <v>-1051.22</v>
      </c>
      <c r="I50" s="2"/>
      <c r="J50" s="19">
        <f t="shared" si="6"/>
        <v>-4.8833966979008729E-4</v>
      </c>
      <c r="K50" s="2"/>
      <c r="L50" s="2">
        <f t="shared" si="7"/>
        <v>2083.9700000000003</v>
      </c>
      <c r="M50" s="2"/>
      <c r="N50" s="19">
        <f t="shared" si="8"/>
        <v>-1.9824299385475925</v>
      </c>
      <c r="O50" s="11"/>
      <c r="P50" s="2">
        <v>2031.15</v>
      </c>
      <c r="Q50" s="2"/>
      <c r="R50" s="19">
        <f t="shared" si="9"/>
        <v>4.4027928943260144E-4</v>
      </c>
      <c r="S50" s="2"/>
      <c r="T50" s="2">
        <v>1034.55</v>
      </c>
      <c r="U50" s="2"/>
      <c r="V50" s="19">
        <f t="shared" si="10"/>
        <v>1.8371672340613813E-4</v>
      </c>
      <c r="W50" s="2"/>
      <c r="X50" s="2">
        <f t="shared" si="11"/>
        <v>996.60000000000014</v>
      </c>
      <c r="Y50" s="2"/>
      <c r="Z50" s="19">
        <f t="shared" si="12"/>
        <v>0.96331738437001613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-846175</v>
      </c>
      <c r="E51" s="2"/>
      <c r="F51" s="19">
        <f t="shared" si="5"/>
        <v>-0.50576253401999038</v>
      </c>
      <c r="G51" s="2"/>
      <c r="H51" s="2">
        <v>-484123.00000000006</v>
      </c>
      <c r="I51" s="2"/>
      <c r="J51" s="19">
        <f t="shared" si="6"/>
        <v>-0.22489722984511942</v>
      </c>
      <c r="K51" s="2"/>
      <c r="L51" s="2">
        <f t="shared" si="7"/>
        <v>-362051.99999999994</v>
      </c>
      <c r="M51" s="2"/>
      <c r="N51" s="19">
        <f t="shared" si="8"/>
        <v>0.74785126920224798</v>
      </c>
      <c r="O51" s="11"/>
      <c r="P51" s="2">
        <v>-2574540</v>
      </c>
      <c r="Q51" s="2"/>
      <c r="R51" s="19">
        <f t="shared" si="9"/>
        <v>-0.55806643616464058</v>
      </c>
      <c r="S51" s="2"/>
      <c r="T51" s="2">
        <v>-2496897</v>
      </c>
      <c r="U51" s="2"/>
      <c r="V51" s="19">
        <f t="shared" si="10"/>
        <v>-0.44340218986285446</v>
      </c>
      <c r="W51" s="2"/>
      <c r="X51" s="2">
        <f t="shared" si="11"/>
        <v>-77643</v>
      </c>
      <c r="Y51" s="2"/>
      <c r="Z51" s="19">
        <f t="shared" si="12"/>
        <v>3.1095796102121955E-2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571526</v>
      </c>
      <c r="E52" s="2"/>
      <c r="F52" s="19">
        <f t="shared" si="5"/>
        <v>0.34160361393128968</v>
      </c>
      <c r="G52" s="2"/>
      <c r="H52" s="2">
        <v>854096</v>
      </c>
      <c r="I52" s="2"/>
      <c r="J52" s="19">
        <f t="shared" si="6"/>
        <v>0.39676657465519527</v>
      </c>
      <c r="K52" s="2"/>
      <c r="L52" s="2">
        <f t="shared" si="7"/>
        <v>-282570</v>
      </c>
      <c r="M52" s="2"/>
      <c r="N52" s="19">
        <f t="shared" si="8"/>
        <v>-0.33084102957981304</v>
      </c>
      <c r="O52" s="11"/>
      <c r="P52" s="2">
        <v>2056933.4699999997</v>
      </c>
      <c r="Q52" s="2"/>
      <c r="R52" s="19">
        <f t="shared" si="9"/>
        <v>0.44586820598268717</v>
      </c>
      <c r="S52" s="2"/>
      <c r="T52" s="2">
        <v>2625640</v>
      </c>
      <c r="U52" s="2"/>
      <c r="V52" s="19">
        <f t="shared" si="10"/>
        <v>0.46626453786099514</v>
      </c>
      <c r="W52" s="2"/>
      <c r="X52" s="2">
        <f t="shared" si="11"/>
        <v>-568706.53000000026</v>
      </c>
      <c r="Y52" s="2"/>
      <c r="Z52" s="19">
        <f t="shared" si="12"/>
        <v>-0.21659729818253845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>
        <v>7.3</v>
      </c>
      <c r="E53" s="2"/>
      <c r="F53" s="19">
        <f t="shared" si="5"/>
        <v>4.3632422351711286E-6</v>
      </c>
      <c r="G53" s="2"/>
      <c r="H53" s="2">
        <v>156.58000000000001</v>
      </c>
      <c r="I53" s="2"/>
      <c r="J53" s="19">
        <f t="shared" si="6"/>
        <v>7.273855662537991E-5</v>
      </c>
      <c r="K53" s="2"/>
      <c r="L53" s="2">
        <f t="shared" si="7"/>
        <v>-149.28</v>
      </c>
      <c r="M53" s="2"/>
      <c r="N53" s="19">
        <f t="shared" si="8"/>
        <v>-0.95337846468259035</v>
      </c>
      <c r="O53" s="11"/>
      <c r="P53" s="2">
        <v>7.3</v>
      </c>
      <c r="Q53" s="2"/>
      <c r="R53" s="19">
        <f t="shared" si="9"/>
        <v>1.5823739324313765E-6</v>
      </c>
      <c r="S53" s="2"/>
      <c r="T53" s="2">
        <v>167.08</v>
      </c>
      <c r="U53" s="2"/>
      <c r="V53" s="19">
        <f t="shared" si="10"/>
        <v>2.9670281906817035E-5</v>
      </c>
      <c r="W53" s="2"/>
      <c r="X53" s="2">
        <f t="shared" si="11"/>
        <v>-159.78</v>
      </c>
      <c r="Y53" s="2"/>
      <c r="Z53" s="19">
        <f t="shared" si="12"/>
        <v>-0.95630835527890823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3407.43</v>
      </c>
      <c r="E54" s="2"/>
      <c r="F54" s="19">
        <f t="shared" si="5"/>
        <v>2.03663595745057E-3</v>
      </c>
      <c r="G54" s="2"/>
      <c r="H54" s="2">
        <v>13385.88</v>
      </c>
      <c r="I54" s="2"/>
      <c r="J54" s="19">
        <f t="shared" si="6"/>
        <v>6.2183522184221501E-3</v>
      </c>
      <c r="K54" s="2"/>
      <c r="L54" s="2">
        <f t="shared" si="7"/>
        <v>-9978.4499999999989</v>
      </c>
      <c r="M54" s="2"/>
      <c r="N54" s="19">
        <f t="shared" si="8"/>
        <v>-0.74544594752082038</v>
      </c>
      <c r="O54" s="11"/>
      <c r="P54" s="2">
        <v>42077.369999999995</v>
      </c>
      <c r="Q54" s="2"/>
      <c r="R54" s="19">
        <f t="shared" si="9"/>
        <v>9.1208401963383586E-3</v>
      </c>
      <c r="S54" s="2"/>
      <c r="T54" s="2">
        <v>52281</v>
      </c>
      <c r="U54" s="2"/>
      <c r="V54" s="19">
        <f t="shared" si="10"/>
        <v>9.2841274142345057E-3</v>
      </c>
      <c r="W54" s="2"/>
      <c r="X54" s="2">
        <f t="shared" si="11"/>
        <v>-10203.630000000005</v>
      </c>
      <c r="Y54" s="2"/>
      <c r="Z54" s="19">
        <f t="shared" si="12"/>
        <v>-0.19516899064669774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4124.8100000000004</v>
      </c>
      <c r="E55" s="2"/>
      <c r="F55" s="19">
        <f t="shared" si="5"/>
        <v>2.4654171512405792E-3</v>
      </c>
      <c r="G55" s="2"/>
      <c r="H55" s="2">
        <v>3187.01</v>
      </c>
      <c r="I55" s="2"/>
      <c r="J55" s="19">
        <f t="shared" si="6"/>
        <v>1.4805116065311791E-3</v>
      </c>
      <c r="K55" s="2"/>
      <c r="L55" s="2">
        <f t="shared" si="7"/>
        <v>937.80000000000018</v>
      </c>
      <c r="M55" s="2"/>
      <c r="N55" s="19">
        <f t="shared" si="8"/>
        <v>0.29425699950737527</v>
      </c>
      <c r="O55" s="11"/>
      <c r="P55" s="2">
        <v>11778.23</v>
      </c>
      <c r="Q55" s="2"/>
      <c r="R55" s="19">
        <f t="shared" si="9"/>
        <v>2.5530909756412618E-3</v>
      </c>
      <c r="S55" s="2"/>
      <c r="T55" s="2">
        <v>11057.1</v>
      </c>
      <c r="U55" s="2"/>
      <c r="V55" s="19">
        <f t="shared" si="10"/>
        <v>1.9635340799130153E-3</v>
      </c>
      <c r="W55" s="2"/>
      <c r="X55" s="2">
        <f t="shared" si="11"/>
        <v>721.1299999999992</v>
      </c>
      <c r="Y55" s="2"/>
      <c r="Z55" s="19">
        <f t="shared" si="12"/>
        <v>6.5218728237964665E-2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5"/>
        <v>0</v>
      </c>
      <c r="G56" s="2"/>
      <c r="H56" s="2">
        <v>77.31</v>
      </c>
      <c r="I56" s="2"/>
      <c r="J56" s="19">
        <f t="shared" si="6"/>
        <v>3.5914023583523571E-5</v>
      </c>
      <c r="K56" s="2"/>
      <c r="L56" s="2">
        <f t="shared" si="7"/>
        <v>-77.31</v>
      </c>
      <c r="M56" s="2"/>
      <c r="N56" s="19">
        <f t="shared" si="8"/>
        <v>-1</v>
      </c>
      <c r="O56" s="11"/>
      <c r="P56" s="2">
        <v>105.97</v>
      </c>
      <c r="Q56" s="2"/>
      <c r="R56" s="19">
        <f t="shared" si="9"/>
        <v>2.2970433646541502E-5</v>
      </c>
      <c r="S56" s="2"/>
      <c r="T56" s="2">
        <v>243.53</v>
      </c>
      <c r="U56" s="2"/>
      <c r="V56" s="19">
        <f t="shared" si="10"/>
        <v>4.3246371515245101E-5</v>
      </c>
      <c r="W56" s="2"/>
      <c r="X56" s="2">
        <f t="shared" si="11"/>
        <v>-137.56</v>
      </c>
      <c r="Y56" s="2"/>
      <c r="Z56" s="19">
        <f t="shared" si="12"/>
        <v>-0.56485853898903626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21.41</v>
      </c>
      <c r="Q57" s="2"/>
      <c r="R57" s="19">
        <f t="shared" si="9"/>
        <v>4.6409076566240783E-6</v>
      </c>
      <c r="S57" s="2"/>
      <c r="T57" s="2">
        <v>12.22</v>
      </c>
      <c r="U57" s="2"/>
      <c r="V57" s="19">
        <f t="shared" si="10"/>
        <v>2.1700433618703861E-6</v>
      </c>
      <c r="W57" s="2"/>
      <c r="X57" s="2">
        <f t="shared" si="11"/>
        <v>9.19</v>
      </c>
      <c r="Y57" s="2"/>
      <c r="Z57" s="19">
        <f t="shared" si="12"/>
        <v>0.7520458265139115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21.13</v>
      </c>
      <c r="Q58" s="2"/>
      <c r="R58" s="19">
        <f t="shared" si="9"/>
        <v>4.5802138619554769E-6</v>
      </c>
      <c r="S58" s="2"/>
      <c r="T58" s="2"/>
      <c r="U58" s="2"/>
      <c r="V58" s="19">
        <f t="shared" si="10"/>
        <v>0</v>
      </c>
      <c r="W58" s="2"/>
      <c r="X58" s="2">
        <f t="shared" si="11"/>
        <v>21.13</v>
      </c>
      <c r="Y58" s="2"/>
      <c r="Z58" s="19">
        <f t="shared" si="12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6</v>
      </c>
      <c r="C60" s="28"/>
      <c r="D60" s="21">
        <f>D12-D42</f>
        <v>668927.65000000026</v>
      </c>
      <c r="E60" s="14"/>
      <c r="F60" s="22">
        <f>IF(D$12=0,0,D60/D$12)</f>
        <v>0.39982101024024269</v>
      </c>
      <c r="G60" s="14"/>
      <c r="H60" s="21">
        <f>H12-H42</f>
        <v>634605.66000000015</v>
      </c>
      <c r="I60" s="14"/>
      <c r="J60" s="22">
        <f>IF(H$12=0,0,H60/H$12)</f>
        <v>0.29480329374566738</v>
      </c>
      <c r="K60" s="16"/>
      <c r="L60" s="21">
        <f>+D60-H60</f>
        <v>34321.990000000107</v>
      </c>
      <c r="M60" s="16"/>
      <c r="N60" s="22">
        <f>IF(H60=0,0,L60/H60)</f>
        <v>5.4083964520581333E-2</v>
      </c>
      <c r="O60" s="29"/>
      <c r="P60" s="21">
        <f>P12-P42</f>
        <v>1454665.7199999979</v>
      </c>
      <c r="Q60" s="14"/>
      <c r="R60" s="22">
        <f>IF(P$12=0,0,P60/P$12)</f>
        <v>0.31531850900404329</v>
      </c>
      <c r="S60" s="14"/>
      <c r="T60" s="21">
        <f>T12-T42</f>
        <v>1551775.3699999996</v>
      </c>
      <c r="U60" s="14"/>
      <c r="V60" s="22">
        <f>IF(T$12=0,0,T60/T$12)</f>
        <v>0.27556627174979226</v>
      </c>
      <c r="W60" s="16"/>
      <c r="X60" s="21">
        <f>+P60-T60</f>
        <v>-97109.65000000177</v>
      </c>
      <c r="Y60" s="16"/>
      <c r="Z60" s="22">
        <f>IF(T60=0,0,X60/T60)</f>
        <v>-6.25797082988898E-2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9</v>
      </c>
      <c r="C62" s="10"/>
      <c r="D62" s="20">
        <f>SUM(OSRRefD22x_0)</f>
        <v>51001.53</v>
      </c>
      <c r="E62" s="20"/>
      <c r="F62" s="32">
        <f t="shared" ref="F62:F72" si="13">IF(D$12=0,0,D62/D$12)</f>
        <v>3.0483839692376356E-2</v>
      </c>
      <c r="G62" s="20"/>
      <c r="H62" s="20">
        <f>SUM(OSRRefH22x_0)</f>
        <v>73621.98</v>
      </c>
      <c r="I62" s="20"/>
      <c r="J62" s="32">
        <f t="shared" ref="J62:J72" si="14">IF(H$12=0,0,H62/H$12)</f>
        <v>3.4200769964890701E-2</v>
      </c>
      <c r="K62" s="4"/>
      <c r="L62" s="20">
        <f t="shared" ref="L62:L72" si="15">+D62-H62</f>
        <v>-22620.449999999997</v>
      </c>
      <c r="M62" s="4"/>
      <c r="N62" s="32">
        <f t="shared" ref="N62:N72" si="16">IF(H62=0,0,L62/H62)</f>
        <v>-0.30725131271938078</v>
      </c>
      <c r="O62" s="10"/>
      <c r="P62" s="20">
        <f>SUM(OSRRefP22x_0)</f>
        <v>306588.51999999996</v>
      </c>
      <c r="Q62" s="20"/>
      <c r="R62" s="32">
        <f t="shared" ref="R62:R72" si="17">IF(P$12=0,0,P62/P$12)</f>
        <v>6.6457216716536385E-2</v>
      </c>
      <c r="S62" s="20"/>
      <c r="T62" s="20">
        <f>SUM(OSRRefT22x_0)</f>
        <v>426072.74</v>
      </c>
      <c r="U62" s="20"/>
      <c r="V62" s="32">
        <f t="shared" ref="V62:V72" si="18">IF(T$12=0,0,T62/T$12)</f>
        <v>7.5662546735755065E-2</v>
      </c>
      <c r="W62" s="4"/>
      <c r="X62" s="20">
        <f t="shared" ref="X62:X72" si="19">+P62-T62</f>
        <v>-119484.22000000003</v>
      </c>
      <c r="Y62" s="4"/>
      <c r="Z62" s="32">
        <f t="shared" ref="Z62:Z72" si="20">IF(T62=0,0,X62/T62)</f>
        <v>-0.2804315056626247</v>
      </c>
    </row>
    <row r="63" spans="1:26" s="26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10868.34</v>
      </c>
      <c r="E63" s="1"/>
      <c r="F63" s="5">
        <f t="shared" si="13"/>
        <v>6.4960548101643551E-3</v>
      </c>
      <c r="G63" s="1"/>
      <c r="H63" s="1">
        <f>SUM(OSRRefH22_0x_0)</f>
        <v>14005.4</v>
      </c>
      <c r="I63" s="1"/>
      <c r="J63" s="5">
        <f t="shared" si="14"/>
        <v>6.5061475345580258E-3</v>
      </c>
      <c r="K63" s="1"/>
      <c r="L63" s="1">
        <f t="shared" si="15"/>
        <v>-3137.0599999999995</v>
      </c>
      <c r="M63" s="1"/>
      <c r="N63" s="5">
        <f t="shared" si="16"/>
        <v>-0.22398931840575775</v>
      </c>
      <c r="O63" s="13"/>
      <c r="P63" s="1">
        <f>SUM(OSRRefP22_0x_0)</f>
        <v>71759.13</v>
      </c>
      <c r="Q63" s="1"/>
      <c r="R63" s="5">
        <f t="shared" si="17"/>
        <v>1.5554763935062242E-2</v>
      </c>
      <c r="S63" s="1"/>
      <c r="T63" s="1">
        <f>SUM(OSRRefT22_0x_0)</f>
        <v>90478.43</v>
      </c>
      <c r="U63" s="1"/>
      <c r="V63" s="5">
        <f t="shared" si="18"/>
        <v>1.6067276302287593E-2</v>
      </c>
      <c r="W63" s="1"/>
      <c r="X63" s="1">
        <f t="shared" si="19"/>
        <v>-18719.299999999988</v>
      </c>
      <c r="Y63" s="1"/>
      <c r="Z63" s="5">
        <f t="shared" si="20"/>
        <v>-0.20689240518430735</v>
      </c>
    </row>
    <row r="64" spans="1:26" s="24" customFormat="1" hidden="1" outlineLevel="2" x14ac:dyDescent="0.25">
      <c r="A64" s="25"/>
      <c r="B64" s="11" t="str">
        <f>CONCATENATE("          ", "6111", " - ", "F.I.C.A.")</f>
        <v xml:space="preserve">          6111 - F.I.C.A.</v>
      </c>
      <c r="C64" s="11"/>
      <c r="D64" s="6">
        <v>1676.57</v>
      </c>
      <c r="E64" s="2"/>
      <c r="F64" s="7">
        <f t="shared" si="13"/>
        <v>1.0020932923590219E-3</v>
      </c>
      <c r="G64" s="2"/>
      <c r="H64" s="6">
        <v>1943.46</v>
      </c>
      <c r="I64" s="2"/>
      <c r="J64" s="7">
        <f t="shared" si="14"/>
        <v>9.0282587341397895E-4</v>
      </c>
      <c r="K64" s="2"/>
      <c r="L64" s="6">
        <f t="shared" si="15"/>
        <v>-266.8900000000001</v>
      </c>
      <c r="M64" s="2"/>
      <c r="N64" s="7">
        <f t="shared" si="16"/>
        <v>-0.13732724110606861</v>
      </c>
      <c r="O64" s="11"/>
      <c r="P64" s="6">
        <v>12311.48</v>
      </c>
      <c r="Q64" s="2"/>
      <c r="R64" s="7">
        <f t="shared" si="17"/>
        <v>2.6686801399520878E-3</v>
      </c>
      <c r="S64" s="2"/>
      <c r="T64" s="6">
        <v>14495.25</v>
      </c>
      <c r="U64" s="2"/>
      <c r="V64" s="7">
        <f t="shared" si="18"/>
        <v>2.5740851915836099E-3</v>
      </c>
      <c r="W64" s="2"/>
      <c r="X64" s="6">
        <f t="shared" si="19"/>
        <v>-2183.7700000000004</v>
      </c>
      <c r="Y64" s="2"/>
      <c r="Z64" s="7">
        <f t="shared" si="20"/>
        <v>-0.15065417981752646</v>
      </c>
    </row>
    <row r="65" spans="1:26" s="24" customFormat="1" hidden="1" outlineLevel="2" x14ac:dyDescent="0.25">
      <c r="A65" s="25"/>
      <c r="B65" s="11" t="str">
        <f>CONCATENATE("          ", "6112", " - ", "COMPENSATION INSURANCE")</f>
        <v xml:space="preserve">          6112 - COMPENSATION INSURANCE</v>
      </c>
      <c r="C65" s="11"/>
      <c r="D65" s="6">
        <v>89.99</v>
      </c>
      <c r="E65" s="2"/>
      <c r="F65" s="7">
        <f t="shared" si="13"/>
        <v>5.3787420375760255E-5</v>
      </c>
      <c r="G65" s="2"/>
      <c r="H65" s="6">
        <v>93.22</v>
      </c>
      <c r="I65" s="2"/>
      <c r="J65" s="7">
        <f t="shared" si="14"/>
        <v>4.3304944747847198E-5</v>
      </c>
      <c r="K65" s="2"/>
      <c r="L65" s="6">
        <f t="shared" si="15"/>
        <v>-3.230000000000004</v>
      </c>
      <c r="M65" s="2"/>
      <c r="N65" s="7">
        <f t="shared" si="16"/>
        <v>-3.4649216906243341E-2</v>
      </c>
      <c r="O65" s="11"/>
      <c r="P65" s="6">
        <v>473.32</v>
      </c>
      <c r="Q65" s="2"/>
      <c r="R65" s="7">
        <f t="shared" si="17"/>
        <v>1.025985246162218E-4</v>
      </c>
      <c r="S65" s="2"/>
      <c r="T65" s="6">
        <v>747.45</v>
      </c>
      <c r="U65" s="2"/>
      <c r="V65" s="7">
        <f t="shared" si="18"/>
        <v>1.3273313509247302E-4</v>
      </c>
      <c r="W65" s="2"/>
      <c r="X65" s="6">
        <f t="shared" si="19"/>
        <v>-274.13000000000005</v>
      </c>
      <c r="Y65" s="2"/>
      <c r="Z65" s="7">
        <f t="shared" si="20"/>
        <v>-0.36675362900528469</v>
      </c>
    </row>
    <row r="66" spans="1:26" s="24" customFormat="1" hidden="1" outlineLevel="2" x14ac:dyDescent="0.25">
      <c r="A66" s="25"/>
      <c r="B66" s="11" t="str">
        <f>CONCATENATE("          ", "6113", " - ", "GROUP INSURANCE")</f>
        <v xml:space="preserve">          6113 - GROUP INSURANCE</v>
      </c>
      <c r="C66" s="11"/>
      <c r="D66" s="6">
        <v>4248.21</v>
      </c>
      <c r="E66" s="2"/>
      <c r="F66" s="7">
        <f t="shared" si="13"/>
        <v>2.5391738761474441E-3</v>
      </c>
      <c r="G66" s="2"/>
      <c r="H66" s="6">
        <v>5575.73</v>
      </c>
      <c r="I66" s="2"/>
      <c r="J66" s="7">
        <f t="shared" si="14"/>
        <v>2.5901810725049781E-3</v>
      </c>
      <c r="K66" s="2"/>
      <c r="L66" s="6">
        <f t="shared" si="15"/>
        <v>-1327.5199999999995</v>
      </c>
      <c r="M66" s="2"/>
      <c r="N66" s="7">
        <f t="shared" si="16"/>
        <v>-0.23808900359235466</v>
      </c>
      <c r="O66" s="11"/>
      <c r="P66" s="6">
        <v>29259.63</v>
      </c>
      <c r="Q66" s="2"/>
      <c r="R66" s="7">
        <f t="shared" si="17"/>
        <v>6.342421340354394E-3</v>
      </c>
      <c r="S66" s="2"/>
      <c r="T66" s="6">
        <v>35811.93</v>
      </c>
      <c r="U66" s="2"/>
      <c r="V66" s="7">
        <f t="shared" si="18"/>
        <v>6.359528721134774E-3</v>
      </c>
      <c r="W66" s="2"/>
      <c r="X66" s="6">
        <f t="shared" si="19"/>
        <v>-6552.2999999999993</v>
      </c>
      <c r="Y66" s="2"/>
      <c r="Z66" s="7">
        <f t="shared" si="20"/>
        <v>-0.18296416864435955</v>
      </c>
    </row>
    <row r="67" spans="1:26" s="24" customFormat="1" hidden="1" outlineLevel="2" x14ac:dyDescent="0.25">
      <c r="A67" s="25"/>
      <c r="B67" s="11" t="str">
        <f>CONCATENATE("          ", "6114", " - ", "STATE UNEMPLOYMENT INSURANCE")</f>
        <v xml:space="preserve">          6114 - STATE UNEMPLOYMENT INSURANCE</v>
      </c>
      <c r="C67" s="11"/>
      <c r="D67" s="6">
        <v>68.81</v>
      </c>
      <c r="E67" s="2"/>
      <c r="F67" s="7">
        <f t="shared" si="13"/>
        <v>4.1128040849606219E-5</v>
      </c>
      <c r="G67" s="2"/>
      <c r="H67" s="6">
        <v>78.19</v>
      </c>
      <c r="I67" s="2"/>
      <c r="J67" s="7">
        <f t="shared" si="14"/>
        <v>3.6322823748489297E-5</v>
      </c>
      <c r="K67" s="2"/>
      <c r="L67" s="6">
        <f t="shared" si="15"/>
        <v>-9.3799999999999955</v>
      </c>
      <c r="M67" s="2"/>
      <c r="N67" s="7">
        <f t="shared" si="16"/>
        <v>-0.11996418979409126</v>
      </c>
      <c r="O67" s="11"/>
      <c r="P67" s="6">
        <v>460.4</v>
      </c>
      <c r="Q67" s="2"/>
      <c r="R67" s="7">
        <f t="shared" si="17"/>
        <v>9.9797939519370634E-5</v>
      </c>
      <c r="S67" s="2"/>
      <c r="T67" s="6">
        <v>621.32000000000005</v>
      </c>
      <c r="U67" s="2"/>
      <c r="V67" s="7">
        <f t="shared" si="18"/>
        <v>1.1033480700468972E-4</v>
      </c>
      <c r="W67" s="2"/>
      <c r="X67" s="6">
        <f t="shared" si="19"/>
        <v>-160.92000000000007</v>
      </c>
      <c r="Y67" s="2"/>
      <c r="Z67" s="7">
        <f t="shared" si="20"/>
        <v>-0.25899697418399548</v>
      </c>
    </row>
    <row r="68" spans="1:26" s="24" customFormat="1" hidden="1" outlineLevel="2" x14ac:dyDescent="0.25">
      <c r="A68" s="25"/>
      <c r="B68" s="11" t="str">
        <f>CONCATENATE("          ", "6115", " - ", "P.E.R.S.")</f>
        <v xml:space="preserve">          6115 - P.E.R.S.</v>
      </c>
      <c r="C68" s="11"/>
      <c r="D68" s="6">
        <v>1997.27</v>
      </c>
      <c r="E68" s="2"/>
      <c r="F68" s="7">
        <f t="shared" si="13"/>
        <v>1.193777098498663E-3</v>
      </c>
      <c r="G68" s="2"/>
      <c r="H68" s="6">
        <v>1808.89</v>
      </c>
      <c r="I68" s="2"/>
      <c r="J68" s="7">
        <f t="shared" si="14"/>
        <v>8.4031196636916248E-4</v>
      </c>
      <c r="K68" s="2"/>
      <c r="L68" s="6">
        <f t="shared" si="15"/>
        <v>188.37999999999988</v>
      </c>
      <c r="M68" s="2"/>
      <c r="N68" s="7">
        <f t="shared" si="16"/>
        <v>0.1041412136724731</v>
      </c>
      <c r="O68" s="11"/>
      <c r="P68" s="6">
        <v>10429.67</v>
      </c>
      <c r="Q68" s="2"/>
      <c r="R68" s="7">
        <f t="shared" si="17"/>
        <v>2.2607723194330897E-3</v>
      </c>
      <c r="S68" s="2"/>
      <c r="T68" s="6">
        <v>10183.25</v>
      </c>
      <c r="U68" s="2"/>
      <c r="V68" s="7">
        <f t="shared" si="18"/>
        <v>1.8083546697845016E-3</v>
      </c>
      <c r="W68" s="2"/>
      <c r="X68" s="6">
        <f t="shared" si="19"/>
        <v>246.42000000000007</v>
      </c>
      <c r="Y68" s="2"/>
      <c r="Z68" s="7">
        <f t="shared" si="20"/>
        <v>2.4198561363022619E-2</v>
      </c>
    </row>
    <row r="69" spans="1:26" s="24" customFormat="1" hidden="1" outlineLevel="2" x14ac:dyDescent="0.25">
      <c r="A69" s="25"/>
      <c r="B69" s="11" t="str">
        <f>CONCATENATE("          ", "6117", " - ", "RETIREMENT STAFF HOURLY")</f>
        <v xml:space="preserve">          6117 - RETIREMENT STAFF HOURLY</v>
      </c>
      <c r="C69" s="11"/>
      <c r="D69" s="6">
        <v>213.49</v>
      </c>
      <c r="E69" s="2"/>
      <c r="F69" s="7">
        <f t="shared" si="13"/>
        <v>1.2760391572420334E-4</v>
      </c>
      <c r="G69" s="2"/>
      <c r="H69" s="6">
        <v>279.47000000000003</v>
      </c>
      <c r="I69" s="2"/>
      <c r="J69" s="7">
        <f t="shared" si="14"/>
        <v>1.2982657057156036E-4</v>
      </c>
      <c r="K69" s="2"/>
      <c r="L69" s="6">
        <f t="shared" si="15"/>
        <v>-65.980000000000018</v>
      </c>
      <c r="M69" s="2"/>
      <c r="N69" s="7">
        <f t="shared" si="16"/>
        <v>-0.23608974129602467</v>
      </c>
      <c r="O69" s="11"/>
      <c r="P69" s="6">
        <v>952.23</v>
      </c>
      <c r="Q69" s="2"/>
      <c r="R69" s="7">
        <f t="shared" si="17"/>
        <v>2.0640875749029173E-4</v>
      </c>
      <c r="S69" s="2"/>
      <c r="T69" s="6">
        <v>1720.02</v>
      </c>
      <c r="U69" s="2"/>
      <c r="V69" s="7">
        <f t="shared" si="18"/>
        <v>3.0544337015419817E-4</v>
      </c>
      <c r="W69" s="2"/>
      <c r="X69" s="6">
        <f t="shared" si="19"/>
        <v>-767.79</v>
      </c>
      <c r="Y69" s="2"/>
      <c r="Z69" s="7">
        <f t="shared" si="20"/>
        <v>-0.44638434436808871</v>
      </c>
    </row>
    <row r="70" spans="1:26" s="24" customFormat="1" hidden="1" outlineLevel="2" x14ac:dyDescent="0.25">
      <c r="A70" s="25"/>
      <c r="B70" s="11" t="str">
        <f>CONCATENATE("          ", "6118", " - ", "VACATION")</f>
        <v xml:space="preserve">          6118 - VACATION</v>
      </c>
      <c r="C70" s="11"/>
      <c r="D70" s="6">
        <v>781.18</v>
      </c>
      <c r="E70" s="2"/>
      <c r="F70" s="7">
        <f t="shared" si="13"/>
        <v>4.6691473551657291E-4</v>
      </c>
      <c r="G70" s="2"/>
      <c r="H70" s="6">
        <v>1755.42</v>
      </c>
      <c r="I70" s="2"/>
      <c r="J70" s="7">
        <f t="shared" si="14"/>
        <v>8.1547271089107412E-4</v>
      </c>
      <c r="K70" s="2"/>
      <c r="L70" s="6">
        <f t="shared" si="15"/>
        <v>-974.24000000000012</v>
      </c>
      <c r="M70" s="2"/>
      <c r="N70" s="7">
        <f t="shared" si="16"/>
        <v>-0.55498968907725788</v>
      </c>
      <c r="O70" s="11"/>
      <c r="P70" s="6">
        <v>6417.64</v>
      </c>
      <c r="Q70" s="2"/>
      <c r="R70" s="7">
        <f t="shared" si="17"/>
        <v>1.3911104443464245E-3</v>
      </c>
      <c r="S70" s="2"/>
      <c r="T70" s="6">
        <v>11734.73</v>
      </c>
      <c r="U70" s="2"/>
      <c r="V70" s="7">
        <f t="shared" si="18"/>
        <v>2.0838684893487135E-3</v>
      </c>
      <c r="W70" s="2"/>
      <c r="X70" s="6">
        <f t="shared" si="19"/>
        <v>-5317.0899999999992</v>
      </c>
      <c r="Y70" s="2"/>
      <c r="Z70" s="7">
        <f t="shared" si="20"/>
        <v>-0.45310714434844257</v>
      </c>
    </row>
    <row r="71" spans="1:26" s="24" customFormat="1" hidden="1" outlineLevel="2" x14ac:dyDescent="0.25">
      <c r="A71" s="25"/>
      <c r="B71" s="11" t="str">
        <f>CONCATENATE("          ", "6119", " - ", "SICK LEAVE")</f>
        <v xml:space="preserve">          6119 - SICK LEAVE</v>
      </c>
      <c r="C71" s="11"/>
      <c r="D71" s="6">
        <v>925.42</v>
      </c>
      <c r="E71" s="2"/>
      <c r="F71" s="7">
        <f t="shared" si="13"/>
        <v>5.5312762044822821E-4</v>
      </c>
      <c r="G71" s="2"/>
      <c r="H71" s="6">
        <v>1737.93</v>
      </c>
      <c r="I71" s="2"/>
      <c r="J71" s="7">
        <f t="shared" si="14"/>
        <v>8.0734780761238022E-4</v>
      </c>
      <c r="K71" s="2"/>
      <c r="L71" s="6">
        <f t="shared" si="15"/>
        <v>-812.5100000000001</v>
      </c>
      <c r="M71" s="2"/>
      <c r="N71" s="7">
        <f t="shared" si="16"/>
        <v>-0.46751595288647996</v>
      </c>
      <c r="O71" s="11"/>
      <c r="P71" s="6">
        <v>7045.53</v>
      </c>
      <c r="Q71" s="2"/>
      <c r="R71" s="7">
        <f t="shared" si="17"/>
        <v>1.5272141112552377E-3</v>
      </c>
      <c r="S71" s="2"/>
      <c r="T71" s="6">
        <v>10188.870000000001</v>
      </c>
      <c r="U71" s="2"/>
      <c r="V71" s="7">
        <f t="shared" si="18"/>
        <v>1.8093526766334144E-3</v>
      </c>
      <c r="W71" s="2"/>
      <c r="X71" s="6">
        <f t="shared" si="19"/>
        <v>-3143.3400000000011</v>
      </c>
      <c r="Y71" s="2"/>
      <c r="Z71" s="7">
        <f t="shared" si="20"/>
        <v>-0.30850722405919406</v>
      </c>
    </row>
    <row r="72" spans="1:26" s="24" customFormat="1" hidden="1" outlineLevel="2" x14ac:dyDescent="0.25">
      <c r="A72" s="25"/>
      <c r="B72" s="11" t="str">
        <f>CONCATENATE("          ", "6156", " - ", "EMPLOYEE MEALS")</f>
        <v xml:space="preserve">          6156 - EMPLOYEE MEALS</v>
      </c>
      <c r="C72" s="11"/>
      <c r="D72" s="6">
        <v>867.4</v>
      </c>
      <c r="E72" s="2"/>
      <c r="F72" s="7">
        <f t="shared" si="13"/>
        <v>5.1844881024485441E-4</v>
      </c>
      <c r="G72" s="2"/>
      <c r="H72" s="6">
        <v>733.09</v>
      </c>
      <c r="I72" s="2"/>
      <c r="J72" s="7">
        <f t="shared" si="14"/>
        <v>3.4055376469855508E-4</v>
      </c>
      <c r="K72" s="2"/>
      <c r="L72" s="6">
        <f t="shared" si="15"/>
        <v>134.30999999999995</v>
      </c>
      <c r="M72" s="2"/>
      <c r="N72" s="7">
        <f t="shared" si="16"/>
        <v>0.18321079267211385</v>
      </c>
      <c r="O72" s="11"/>
      <c r="P72" s="6">
        <v>4409.2299999999996</v>
      </c>
      <c r="Q72" s="2"/>
      <c r="R72" s="7">
        <f t="shared" si="17"/>
        <v>9.5576035809512294E-4</v>
      </c>
      <c r="S72" s="2"/>
      <c r="T72" s="6">
        <v>4975.6099999999997</v>
      </c>
      <c r="U72" s="2"/>
      <c r="V72" s="7">
        <f t="shared" si="18"/>
        <v>8.8357524155122027E-4</v>
      </c>
      <c r="W72" s="2"/>
      <c r="X72" s="6">
        <f t="shared" si="19"/>
        <v>-566.38000000000011</v>
      </c>
      <c r="Y72" s="2"/>
      <c r="Z72" s="7">
        <f t="shared" si="20"/>
        <v>-0.11383126892983979</v>
      </c>
    </row>
    <row r="73" spans="1:26" s="26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34667.289999999994</v>
      </c>
      <c r="E73" s="1"/>
      <c r="F73" s="5">
        <f t="shared" ref="F73:F78" si="21">IF(D$12=0,0,D73/D$12)</f>
        <v>2.0720792316017221E-2</v>
      </c>
      <c r="G73" s="1"/>
      <c r="H73" s="1">
        <f>SUM(OSRRefH22_1x_0)</f>
        <v>38666.589999999997</v>
      </c>
      <c r="I73" s="1"/>
      <c r="J73" s="5">
        <f t="shared" ref="J73:J78" si="22">IF(H$12=0,0,H73/H$12)</f>
        <v>1.7962395875752636E-2</v>
      </c>
      <c r="K73" s="1"/>
      <c r="L73" s="1">
        <f t="shared" ref="L73:L78" si="23">+D73-H73</f>
        <v>-3999.3000000000029</v>
      </c>
      <c r="M73" s="1"/>
      <c r="N73" s="5">
        <f t="shared" ref="N73:N78" si="24">IF(H73=0,0,L73/H73)</f>
        <v>-0.1034303774912658</v>
      </c>
      <c r="O73" s="13"/>
      <c r="P73" s="1">
        <f>SUM(OSRRefP22_1x_0)</f>
        <v>177685.43</v>
      </c>
      <c r="Q73" s="1"/>
      <c r="R73" s="5">
        <f t="shared" ref="R73:R78" si="25">IF(P$12=0,0,P73/P$12)</f>
        <v>3.8515725014364392E-2</v>
      </c>
      <c r="S73" s="1"/>
      <c r="T73" s="1">
        <f>SUM(OSRRefT22_1x_0)</f>
        <v>207348.4</v>
      </c>
      <c r="U73" s="1"/>
      <c r="V73" s="5">
        <f t="shared" ref="V73:V78" si="26">IF(T$12=0,0,T73/T$12)</f>
        <v>3.6821196318694398E-2</v>
      </c>
      <c r="W73" s="1"/>
      <c r="X73" s="1">
        <f t="shared" ref="X73:X78" si="27">+P73-T73</f>
        <v>-29662.97</v>
      </c>
      <c r="Y73" s="1"/>
      <c r="Z73" s="5">
        <f t="shared" ref="Z73:Z78" si="28">IF(T73=0,0,X73/T73)</f>
        <v>-0.14305859124063655</v>
      </c>
    </row>
    <row r="74" spans="1:26" s="24" customFormat="1" hidden="1" outlineLevel="2" x14ac:dyDescent="0.25">
      <c r="A74" s="25"/>
      <c r="B74" s="11" t="str">
        <f>CONCATENATE("          ", "6002", " - ", "STAFF SALARIES")</f>
        <v xml:space="preserve">          6002 - STAFF SALARIES</v>
      </c>
      <c r="C74" s="11"/>
      <c r="D74" s="6">
        <v>18107.66</v>
      </c>
      <c r="E74" s="2"/>
      <c r="F74" s="7">
        <f t="shared" si="21"/>
        <v>1.0823028341386143E-2</v>
      </c>
      <c r="G74" s="2"/>
      <c r="H74" s="6">
        <v>17798.46</v>
      </c>
      <c r="I74" s="2"/>
      <c r="J74" s="7">
        <f t="shared" si="22"/>
        <v>8.2681970274272511E-3</v>
      </c>
      <c r="K74" s="2"/>
      <c r="L74" s="6">
        <f t="shared" si="23"/>
        <v>309.20000000000073</v>
      </c>
      <c r="M74" s="2"/>
      <c r="N74" s="7">
        <f t="shared" si="24"/>
        <v>1.7372289512688217E-2</v>
      </c>
      <c r="O74" s="11"/>
      <c r="P74" s="6">
        <v>107136.24</v>
      </c>
      <c r="Q74" s="2"/>
      <c r="R74" s="7">
        <f t="shared" si="25"/>
        <v>2.3223231971878321E-2</v>
      </c>
      <c r="S74" s="2"/>
      <c r="T74" s="6">
        <v>98877.45</v>
      </c>
      <c r="U74" s="2"/>
      <c r="V74" s="7">
        <f t="shared" si="26"/>
        <v>1.7558785107297137E-2</v>
      </c>
      <c r="W74" s="2"/>
      <c r="X74" s="6">
        <f t="shared" si="27"/>
        <v>8258.7900000000081</v>
      </c>
      <c r="Y74" s="2"/>
      <c r="Z74" s="7">
        <f t="shared" si="28"/>
        <v>8.352551567622353E-2</v>
      </c>
    </row>
    <row r="75" spans="1:26" s="24" customFormat="1" hidden="1" outlineLevel="2" x14ac:dyDescent="0.25">
      <c r="A75" s="25"/>
      <c r="B75" s="11" t="str">
        <f>CONCATENATE("          ", "6004", " - ", "STAFF HOURLY")</f>
        <v xml:space="preserve">          6004 - STAFF HOURLY</v>
      </c>
      <c r="C75" s="11"/>
      <c r="D75" s="6">
        <v>3344.03</v>
      </c>
      <c r="E75" s="2"/>
      <c r="F75" s="7">
        <f t="shared" si="21"/>
        <v>1.9987414974903168E-3</v>
      </c>
      <c r="G75" s="2"/>
      <c r="H75" s="6">
        <v>6782.19</v>
      </c>
      <c r="I75" s="2"/>
      <c r="J75" s="7">
        <f t="shared" si="22"/>
        <v>3.1506368077601566E-3</v>
      </c>
      <c r="K75" s="2"/>
      <c r="L75" s="6">
        <f t="shared" si="23"/>
        <v>-3438.1599999999994</v>
      </c>
      <c r="M75" s="2"/>
      <c r="N75" s="7">
        <f t="shared" si="24"/>
        <v>-0.50693949889342527</v>
      </c>
      <c r="O75" s="11"/>
      <c r="P75" s="6">
        <v>21895.89</v>
      </c>
      <c r="Q75" s="2"/>
      <c r="R75" s="7">
        <f t="shared" si="25"/>
        <v>4.7462308990938147E-3</v>
      </c>
      <c r="S75" s="2"/>
      <c r="T75" s="6">
        <v>43350.990000000005</v>
      </c>
      <c r="U75" s="2"/>
      <c r="V75" s="7">
        <f t="shared" si="26"/>
        <v>7.6983247201317107E-3</v>
      </c>
      <c r="W75" s="2"/>
      <c r="X75" s="6">
        <f t="shared" si="27"/>
        <v>-21455.100000000006</v>
      </c>
      <c r="Y75" s="2"/>
      <c r="Z75" s="7">
        <f t="shared" si="28"/>
        <v>-0.4949160330594527</v>
      </c>
    </row>
    <row r="76" spans="1:26" s="24" customFormat="1" hidden="1" outlineLevel="2" x14ac:dyDescent="0.25">
      <c r="A76" s="25"/>
      <c r="B76" s="11" t="str">
        <f>CONCATENATE("          ", "6005", " - ", "TEMPORARY WAGES-HOURLY")</f>
        <v xml:space="preserve">          6005 - TEMPORARY WAGES-HOURLY</v>
      </c>
      <c r="C76" s="11"/>
      <c r="D76" s="6">
        <v>4271.78</v>
      </c>
      <c r="E76" s="2"/>
      <c r="F76" s="7">
        <f t="shared" si="21"/>
        <v>2.5532617692273049E-3</v>
      </c>
      <c r="G76" s="2"/>
      <c r="H76" s="6">
        <v>5174.43</v>
      </c>
      <c r="I76" s="2"/>
      <c r="J76" s="7">
        <f t="shared" si="22"/>
        <v>2.4037589063677645E-3</v>
      </c>
      <c r="K76" s="2"/>
      <c r="L76" s="6">
        <f t="shared" si="23"/>
        <v>-902.65000000000055</v>
      </c>
      <c r="M76" s="2"/>
      <c r="N76" s="7">
        <f t="shared" si="24"/>
        <v>-0.1744443349315771</v>
      </c>
      <c r="O76" s="11"/>
      <c r="P76" s="6">
        <v>17825.05</v>
      </c>
      <c r="Q76" s="2"/>
      <c r="R76" s="7">
        <f t="shared" si="25"/>
        <v>3.8638211594912201E-3</v>
      </c>
      <c r="S76" s="2"/>
      <c r="T76" s="6">
        <v>26605.09</v>
      </c>
      <c r="U76" s="2"/>
      <c r="V76" s="7">
        <f t="shared" si="26"/>
        <v>4.7245661985649912E-3</v>
      </c>
      <c r="W76" s="2"/>
      <c r="X76" s="6">
        <f t="shared" si="27"/>
        <v>-8780.0400000000009</v>
      </c>
      <c r="Y76" s="2"/>
      <c r="Z76" s="7">
        <f t="shared" si="28"/>
        <v>-0.33001354252137471</v>
      </c>
    </row>
    <row r="77" spans="1:26" s="24" customFormat="1" hidden="1" outlineLevel="2" x14ac:dyDescent="0.25">
      <c r="A77" s="25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1"/>
        <v>0</v>
      </c>
      <c r="G77" s="2"/>
      <c r="H77" s="6"/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3834.31</v>
      </c>
      <c r="U77" s="2"/>
      <c r="V77" s="7">
        <f t="shared" si="26"/>
        <v>6.8090171545443867E-4</v>
      </c>
      <c r="W77" s="2"/>
      <c r="X77" s="6">
        <f t="shared" si="27"/>
        <v>-3834.31</v>
      </c>
      <c r="Y77" s="2"/>
      <c r="Z77" s="7">
        <f t="shared" si="28"/>
        <v>-1</v>
      </c>
    </row>
    <row r="78" spans="1:26" s="24" customFormat="1" hidden="1" outlineLevel="2" x14ac:dyDescent="0.25">
      <c r="A78" s="25"/>
      <c r="B78" s="11" t="str">
        <f>CONCATENATE("          ", "6007", " - ", "STUDENT HOURLY")</f>
        <v xml:space="preserve">          6007 - STUDENT HOURLY</v>
      </c>
      <c r="C78" s="11"/>
      <c r="D78" s="6">
        <v>8943.82</v>
      </c>
      <c r="E78" s="2"/>
      <c r="F78" s="7">
        <f t="shared" si="21"/>
        <v>5.3457607079134585E-3</v>
      </c>
      <c r="G78" s="2"/>
      <c r="H78" s="6">
        <v>8911.51</v>
      </c>
      <c r="I78" s="2"/>
      <c r="J78" s="7">
        <f t="shared" si="22"/>
        <v>4.1398031341974666E-3</v>
      </c>
      <c r="K78" s="2"/>
      <c r="L78" s="6">
        <f t="shared" si="23"/>
        <v>32.309999999999491</v>
      </c>
      <c r="M78" s="2"/>
      <c r="N78" s="7">
        <f t="shared" si="24"/>
        <v>3.6256481785914498E-3</v>
      </c>
      <c r="O78" s="11"/>
      <c r="P78" s="6">
        <v>30828.25</v>
      </c>
      <c r="Q78" s="2"/>
      <c r="R78" s="7">
        <f t="shared" si="25"/>
        <v>6.6824409839010383E-3</v>
      </c>
      <c r="S78" s="2"/>
      <c r="T78" s="6">
        <v>34680.559999999998</v>
      </c>
      <c r="U78" s="2"/>
      <c r="V78" s="7">
        <f t="shared" si="26"/>
        <v>6.1586185772461244E-3</v>
      </c>
      <c r="W78" s="2"/>
      <c r="X78" s="6">
        <f t="shared" si="27"/>
        <v>-3852.3099999999977</v>
      </c>
      <c r="Y78" s="2"/>
      <c r="Z78" s="7">
        <f t="shared" si="28"/>
        <v>-0.11107980955324821</v>
      </c>
    </row>
    <row r="79" spans="1:26" s="26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-365.85</v>
      </c>
      <c r="E79" s="1"/>
      <c r="F79" s="5">
        <f t="shared" ref="F79:F83" si="29">IF(D$12=0,0,D79/D$12)</f>
        <v>-2.186701605119668E-4</v>
      </c>
      <c r="G79" s="1"/>
      <c r="H79" s="1">
        <f>SUM(OSRRefH22_2x_0)</f>
        <v>-20.5</v>
      </c>
      <c r="I79" s="1"/>
      <c r="J79" s="5">
        <f t="shared" ref="J79:J83" si="30">IF(H$12=0,0,H79/H$12)</f>
        <v>-9.5231856611335298E-6</v>
      </c>
      <c r="K79" s="1"/>
      <c r="L79" s="1">
        <f t="shared" ref="L79:L83" si="31">+D79-H79</f>
        <v>-345.35</v>
      </c>
      <c r="M79" s="1"/>
      <c r="N79" s="5">
        <f t="shared" ref="N79:N83" si="32">IF(H79=0,0,L79/H79)</f>
        <v>16.846341463414635</v>
      </c>
      <c r="O79" s="13"/>
      <c r="P79" s="1">
        <f>SUM(OSRRefP22_2x_0)</f>
        <v>3981.09</v>
      </c>
      <c r="Q79" s="1"/>
      <c r="R79" s="5">
        <f t="shared" ref="R79:R83" si="33">IF(P$12=0,0,P79/P$12)</f>
        <v>8.6295521077578473E-4</v>
      </c>
      <c r="S79" s="1"/>
      <c r="T79" s="1">
        <f>SUM(OSRRefT22_2x_0)</f>
        <v>4286.82</v>
      </c>
      <c r="U79" s="1"/>
      <c r="V79" s="5">
        <f t="shared" ref="V79:V83" si="34">IF(T$12=0,0,T79/T$12)</f>
        <v>7.612590249208845E-4</v>
      </c>
      <c r="W79" s="1"/>
      <c r="X79" s="1">
        <f t="shared" ref="X79:X83" si="35">+P79-T79</f>
        <v>-305.72999999999956</v>
      </c>
      <c r="Y79" s="1"/>
      <c r="Z79" s="5">
        <f t="shared" ref="Z79:Z83" si="36">IF(T79=0,0,X79/T79)</f>
        <v>-7.1318599801251187E-2</v>
      </c>
    </row>
    <row r="80" spans="1:26" s="24" customFormat="1" hidden="1" outlineLevel="2" x14ac:dyDescent="0.25">
      <c r="A80" s="25"/>
      <c r="B80" s="11" t="str">
        <f>CONCATENATE("          ", "6362", " - ", "ADVERTISING EXPENSE")</f>
        <v xml:space="preserve">          6362 - ADVERTISING EXPENSE</v>
      </c>
      <c r="C80" s="11"/>
      <c r="D80" s="6">
        <v>-365.85</v>
      </c>
      <c r="E80" s="2"/>
      <c r="F80" s="7">
        <f t="shared" si="29"/>
        <v>-2.186701605119668E-4</v>
      </c>
      <c r="G80" s="2"/>
      <c r="H80" s="6">
        <v>-20.5</v>
      </c>
      <c r="I80" s="2"/>
      <c r="J80" s="7">
        <f t="shared" si="30"/>
        <v>-9.5231856611335298E-6</v>
      </c>
      <c r="K80" s="2"/>
      <c r="L80" s="6">
        <f t="shared" si="31"/>
        <v>-345.35</v>
      </c>
      <c r="M80" s="2"/>
      <c r="N80" s="7">
        <f t="shared" si="32"/>
        <v>16.846341463414635</v>
      </c>
      <c r="O80" s="11"/>
      <c r="P80" s="6">
        <v>3981.09</v>
      </c>
      <c r="Q80" s="2"/>
      <c r="R80" s="7">
        <f t="shared" si="33"/>
        <v>8.6295521077578473E-4</v>
      </c>
      <c r="S80" s="2"/>
      <c r="T80" s="6">
        <v>4286.82</v>
      </c>
      <c r="U80" s="2"/>
      <c r="V80" s="7">
        <f t="shared" si="34"/>
        <v>7.612590249208845E-4</v>
      </c>
      <c r="W80" s="2"/>
      <c r="X80" s="6">
        <f t="shared" si="35"/>
        <v>-305.72999999999956</v>
      </c>
      <c r="Y80" s="2"/>
      <c r="Z80" s="7">
        <f t="shared" si="36"/>
        <v>-7.1318599801251187E-2</v>
      </c>
    </row>
    <row r="81" spans="1:26" s="26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2330.11</v>
      </c>
      <c r="E81" s="1"/>
      <c r="F81" s="5">
        <f t="shared" si="29"/>
        <v>1.3927170362458357E-3</v>
      </c>
      <c r="G81" s="1"/>
      <c r="H81" s="1">
        <f>SUM(OSRRefH22_3x_0)</f>
        <v>7748.5199999999995</v>
      </c>
      <c r="I81" s="1"/>
      <c r="J81" s="5">
        <f t="shared" si="30"/>
        <v>3.5995411980003105E-3</v>
      </c>
      <c r="K81" s="1"/>
      <c r="L81" s="1">
        <f t="shared" si="31"/>
        <v>-5418.41</v>
      </c>
      <c r="M81" s="1"/>
      <c r="N81" s="5">
        <f t="shared" si="32"/>
        <v>-0.69928321795646142</v>
      </c>
      <c r="O81" s="13"/>
      <c r="P81" s="1">
        <f>SUM(OSRRefP22_3x_0)</f>
        <v>491.94000000000005</v>
      </c>
      <c r="Q81" s="1"/>
      <c r="R81" s="5">
        <f t="shared" si="33"/>
        <v>1.0663466196168376E-4</v>
      </c>
      <c r="S81" s="1"/>
      <c r="T81" s="1">
        <f>SUM(OSRRefT22_3x_0)</f>
        <v>22196.880000000001</v>
      </c>
      <c r="U81" s="1"/>
      <c r="V81" s="5">
        <f t="shared" si="34"/>
        <v>3.9417505808701748E-3</v>
      </c>
      <c r="W81" s="1"/>
      <c r="X81" s="1">
        <f t="shared" si="35"/>
        <v>-21704.940000000002</v>
      </c>
      <c r="Y81" s="1"/>
      <c r="Z81" s="5">
        <f t="shared" si="36"/>
        <v>-0.9778374258003828</v>
      </c>
    </row>
    <row r="82" spans="1:26" s="24" customFormat="1" hidden="1" outlineLevel="2" x14ac:dyDescent="0.25">
      <c r="A82" s="25"/>
      <c r="B82" s="11" t="str">
        <f>CONCATENATE("          ", "6382", " - ", "DISCOUNTS/MARK DOWNS")</f>
        <v xml:space="preserve">          6382 - DISCOUNTS/MARK DOWNS</v>
      </c>
      <c r="C82" s="11"/>
      <c r="D82" s="6">
        <v>2330.11</v>
      </c>
      <c r="E82" s="2"/>
      <c r="F82" s="7">
        <f t="shared" si="29"/>
        <v>1.3927170362458357E-3</v>
      </c>
      <c r="G82" s="2"/>
      <c r="H82" s="6">
        <v>7902.03</v>
      </c>
      <c r="I82" s="2"/>
      <c r="J82" s="7">
        <f t="shared" si="30"/>
        <v>3.6708535995047305E-3</v>
      </c>
      <c r="K82" s="2"/>
      <c r="L82" s="6">
        <f t="shared" si="31"/>
        <v>-5571.92</v>
      </c>
      <c r="M82" s="2"/>
      <c r="N82" s="7">
        <f t="shared" si="32"/>
        <v>-0.70512513873017446</v>
      </c>
      <c r="O82" s="11"/>
      <c r="P82" s="6">
        <v>925.57</v>
      </c>
      <c r="Q82" s="2"/>
      <c r="R82" s="7">
        <f t="shared" si="33"/>
        <v>2.006298411836314E-4</v>
      </c>
      <c r="S82" s="2"/>
      <c r="T82" s="6">
        <v>22429.59</v>
      </c>
      <c r="U82" s="2"/>
      <c r="V82" s="7">
        <f t="shared" si="34"/>
        <v>3.9830755228293284E-3</v>
      </c>
      <c r="W82" s="2"/>
      <c r="X82" s="6">
        <f t="shared" si="35"/>
        <v>-21504.02</v>
      </c>
      <c r="Y82" s="2"/>
      <c r="Z82" s="7">
        <f t="shared" si="36"/>
        <v>-0.95873442180619439</v>
      </c>
    </row>
    <row r="83" spans="1:26" s="24" customFormat="1" hidden="1" outlineLevel="2" x14ac:dyDescent="0.25">
      <c r="A83" s="25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29"/>
        <v>0</v>
      </c>
      <c r="G83" s="2"/>
      <c r="H83" s="6">
        <v>-153.51</v>
      </c>
      <c r="I83" s="2"/>
      <c r="J83" s="7">
        <f t="shared" si="30"/>
        <v>-7.1312401504419905E-5</v>
      </c>
      <c r="K83" s="2"/>
      <c r="L83" s="6">
        <f t="shared" si="31"/>
        <v>153.51</v>
      </c>
      <c r="M83" s="2"/>
      <c r="N83" s="7">
        <f t="shared" si="32"/>
        <v>-1</v>
      </c>
      <c r="O83" s="11"/>
      <c r="P83" s="6">
        <v>-433.63</v>
      </c>
      <c r="Q83" s="2"/>
      <c r="R83" s="7">
        <f t="shared" si="33"/>
        <v>-9.3995179221947637E-5</v>
      </c>
      <c r="S83" s="2"/>
      <c r="T83" s="6">
        <v>-232.71</v>
      </c>
      <c r="U83" s="2"/>
      <c r="V83" s="7">
        <f t="shared" si="34"/>
        <v>-4.1324941959153648E-5</v>
      </c>
      <c r="W83" s="2"/>
      <c r="X83" s="6">
        <f t="shared" si="35"/>
        <v>-200.92</v>
      </c>
      <c r="Y83" s="2"/>
      <c r="Z83" s="7">
        <f t="shared" si="36"/>
        <v>0.86339220489020663</v>
      </c>
    </row>
    <row r="84" spans="1:26" s="26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37">IF(D$12=0,0,D84/D$12)</f>
        <v>0</v>
      </c>
      <c r="G84" s="1"/>
      <c r="H84" s="1">
        <f>SUM(OSRRefH22_4x_0)</f>
        <v>0</v>
      </c>
      <c r="I84" s="1"/>
      <c r="J84" s="5">
        <f t="shared" ref="J84:J90" si="38">IF(H$12=0,0,H84/H$12)</f>
        <v>0</v>
      </c>
      <c r="K84" s="1"/>
      <c r="L84" s="1">
        <f t="shared" ref="L84:L90" si="39">+D84-H84</f>
        <v>0</v>
      </c>
      <c r="M84" s="1"/>
      <c r="N84" s="5">
        <f t="shared" ref="N84:N90" si="40">IF(H84=0,0,L84/H84)</f>
        <v>0</v>
      </c>
      <c r="O84" s="13"/>
      <c r="P84" s="1">
        <f>SUM(OSRRefP22_4x_0)</f>
        <v>37.880000000000003</v>
      </c>
      <c r="Q84" s="1"/>
      <c r="R84" s="5">
        <f t="shared" ref="R84:R90" si="41">IF(P$12=0,0,P84/P$12)</f>
        <v>8.211003364452129E-6</v>
      </c>
      <c r="S84" s="1"/>
      <c r="T84" s="1">
        <f>SUM(OSRRefT22_4x_0)</f>
        <v>372.67</v>
      </c>
      <c r="U84" s="1"/>
      <c r="V84" s="5">
        <f t="shared" ref="V84:V90" si="42">IF(T$12=0,0,T84/T$12)</f>
        <v>6.6179219285453095E-5</v>
      </c>
      <c r="W84" s="1"/>
      <c r="X84" s="1">
        <f t="shared" ref="X84:X90" si="43">+P84-T84</f>
        <v>-334.79</v>
      </c>
      <c r="Y84" s="1"/>
      <c r="Z84" s="5">
        <f t="shared" ref="Z84:Z90" si="44">IF(T84=0,0,X84/T84)</f>
        <v>-0.89835511310274507</v>
      </c>
    </row>
    <row r="85" spans="1:26" s="24" customFormat="1" hidden="1" outlineLevel="2" x14ac:dyDescent="0.25">
      <c r="A85" s="25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7"/>
        <v>0</v>
      </c>
      <c r="G85" s="2"/>
      <c r="H85" s="6"/>
      <c r="I85" s="2"/>
      <c r="J85" s="7">
        <f t="shared" si="38"/>
        <v>0</v>
      </c>
      <c r="K85" s="2"/>
      <c r="L85" s="6">
        <f t="shared" si="39"/>
        <v>0</v>
      </c>
      <c r="M85" s="2"/>
      <c r="N85" s="7">
        <f t="shared" si="40"/>
        <v>0</v>
      </c>
      <c r="O85" s="11"/>
      <c r="P85" s="6">
        <v>37.880000000000003</v>
      </c>
      <c r="Q85" s="2"/>
      <c r="R85" s="7">
        <f t="shared" si="41"/>
        <v>8.211003364452129E-6</v>
      </c>
      <c r="S85" s="2"/>
      <c r="T85" s="6">
        <v>372.67</v>
      </c>
      <c r="U85" s="2"/>
      <c r="V85" s="7">
        <f t="shared" si="42"/>
        <v>6.6179219285453095E-5</v>
      </c>
      <c r="W85" s="2"/>
      <c r="X85" s="6">
        <f t="shared" si="43"/>
        <v>-334.79</v>
      </c>
      <c r="Y85" s="2"/>
      <c r="Z85" s="7">
        <f t="shared" si="44"/>
        <v>-0.89835511310274507</v>
      </c>
    </row>
    <row r="86" spans="1:26" s="26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7"/>
        <v>5.4546504983796887E-5</v>
      </c>
      <c r="G86" s="1"/>
      <c r="H86" s="1">
        <f>SUM(OSRRefH22_5x_0)</f>
        <v>91.26</v>
      </c>
      <c r="I86" s="1"/>
      <c r="J86" s="5">
        <f t="shared" si="38"/>
        <v>4.2394435289514436E-5</v>
      </c>
      <c r="K86" s="1"/>
      <c r="L86" s="1">
        <f t="shared" si="39"/>
        <v>0</v>
      </c>
      <c r="M86" s="1"/>
      <c r="N86" s="5">
        <f t="shared" si="40"/>
        <v>0</v>
      </c>
      <c r="O86" s="13"/>
      <c r="P86" s="1">
        <f>SUM(OSRRefP22_5x_0)</f>
        <v>638.82000000000005</v>
      </c>
      <c r="Q86" s="1"/>
      <c r="R86" s="5">
        <f t="shared" si="41"/>
        <v>1.3847289253641259E-4</v>
      </c>
      <c r="S86" s="1"/>
      <c r="T86" s="1">
        <f>SUM(OSRRefT22_5x_0)</f>
        <v>638.82000000000005</v>
      </c>
      <c r="U86" s="1"/>
      <c r="V86" s="5">
        <f t="shared" si="42"/>
        <v>1.1344247957692636E-4</v>
      </c>
      <c r="W86" s="1"/>
      <c r="X86" s="1">
        <f t="shared" si="43"/>
        <v>0</v>
      </c>
      <c r="Y86" s="1"/>
      <c r="Z86" s="5">
        <f t="shared" si="44"/>
        <v>0</v>
      </c>
    </row>
    <row r="87" spans="1:26" s="24" customFormat="1" hidden="1" outlineLevel="2" x14ac:dyDescent="0.25">
      <c r="A87" s="25"/>
      <c r="B87" s="11" t="str">
        <f>CONCATENATE("          ", "6351", " - ", "EQUIPMENT RENTAL")</f>
        <v xml:space="preserve">          6351 - EQUIPMENT RENTAL</v>
      </c>
      <c r="C87" s="11"/>
      <c r="D87" s="6">
        <v>91.26</v>
      </c>
      <c r="E87" s="2"/>
      <c r="F87" s="7">
        <f t="shared" si="37"/>
        <v>5.4546504983796887E-5</v>
      </c>
      <c r="G87" s="2"/>
      <c r="H87" s="6">
        <v>91.26</v>
      </c>
      <c r="I87" s="2"/>
      <c r="J87" s="7">
        <f t="shared" si="38"/>
        <v>4.2394435289514436E-5</v>
      </c>
      <c r="K87" s="2"/>
      <c r="L87" s="6">
        <f t="shared" si="39"/>
        <v>0</v>
      </c>
      <c r="M87" s="2"/>
      <c r="N87" s="7">
        <f t="shared" si="40"/>
        <v>0</v>
      </c>
      <c r="O87" s="11"/>
      <c r="P87" s="6">
        <v>638.82000000000005</v>
      </c>
      <c r="Q87" s="2"/>
      <c r="R87" s="7">
        <f t="shared" si="41"/>
        <v>1.3847289253641259E-4</v>
      </c>
      <c r="S87" s="2"/>
      <c r="T87" s="6">
        <v>638.82000000000005</v>
      </c>
      <c r="U87" s="2"/>
      <c r="V87" s="7">
        <f t="shared" si="42"/>
        <v>1.1344247957692636E-4</v>
      </c>
      <c r="W87" s="2"/>
      <c r="X87" s="6">
        <f t="shared" si="43"/>
        <v>0</v>
      </c>
      <c r="Y87" s="2"/>
      <c r="Z87" s="7">
        <f t="shared" si="44"/>
        <v>0</v>
      </c>
    </row>
    <row r="88" spans="1:26" s="26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11.489999999999998</v>
      </c>
      <c r="E88" s="1"/>
      <c r="F88" s="5">
        <f t="shared" si="37"/>
        <v>6.8676237372762006E-6</v>
      </c>
      <c r="G88" s="1"/>
      <c r="H88" s="1">
        <f>SUM(OSRRefH22_6x_0)</f>
        <v>1675.76</v>
      </c>
      <c r="I88" s="1"/>
      <c r="J88" s="5">
        <f t="shared" si="38"/>
        <v>7.7846700504883529E-4</v>
      </c>
      <c r="K88" s="1"/>
      <c r="L88" s="1">
        <f t="shared" si="39"/>
        <v>-1664.27</v>
      </c>
      <c r="M88" s="1"/>
      <c r="N88" s="5">
        <f t="shared" si="40"/>
        <v>-0.9931434095574545</v>
      </c>
      <c r="O88" s="13"/>
      <c r="P88" s="1">
        <f>SUM(OSRRefP22_6x_0)</f>
        <v>11953.390000000001</v>
      </c>
      <c r="Q88" s="1"/>
      <c r="R88" s="5">
        <f t="shared" si="41"/>
        <v>2.5910592794775194E-3</v>
      </c>
      <c r="S88" s="1"/>
      <c r="T88" s="1">
        <f>SUM(OSRRefT22_6x_0)</f>
        <v>15426.810000000001</v>
      </c>
      <c r="U88" s="1"/>
      <c r="V88" s="5">
        <f t="shared" si="42"/>
        <v>2.7395128179489112E-3</v>
      </c>
      <c r="W88" s="1"/>
      <c r="X88" s="1">
        <f t="shared" si="43"/>
        <v>-3473.42</v>
      </c>
      <c r="Y88" s="1"/>
      <c r="Z88" s="5">
        <f t="shared" si="44"/>
        <v>-0.22515477924470451</v>
      </c>
    </row>
    <row r="89" spans="1:26" s="24" customFormat="1" hidden="1" outlineLevel="2" x14ac:dyDescent="0.25">
      <c r="A89" s="25"/>
      <c r="B89" s="11" t="str">
        <f>CONCATENATE("          ", "6305", " - ", "FREIGHT OUT")</f>
        <v xml:space="preserve">          6305 - FREIGHT OUT</v>
      </c>
      <c r="C89" s="11"/>
      <c r="D89" s="6">
        <v>10.54</v>
      </c>
      <c r="E89" s="2"/>
      <c r="F89" s="7">
        <f t="shared" si="37"/>
        <v>6.2998045422881775E-6</v>
      </c>
      <c r="G89" s="2"/>
      <c r="H89" s="6">
        <v>1675.76</v>
      </c>
      <c r="I89" s="2"/>
      <c r="J89" s="7">
        <f t="shared" si="38"/>
        <v>7.7846700504883529E-4</v>
      </c>
      <c r="K89" s="2"/>
      <c r="L89" s="6">
        <f t="shared" si="39"/>
        <v>-1665.22</v>
      </c>
      <c r="M89" s="2"/>
      <c r="N89" s="7">
        <f t="shared" si="40"/>
        <v>-0.99371031651310449</v>
      </c>
      <c r="O89" s="11"/>
      <c r="P89" s="6">
        <v>11951.94</v>
      </c>
      <c r="Q89" s="2"/>
      <c r="R89" s="7">
        <f t="shared" si="41"/>
        <v>2.5907449723265568E-3</v>
      </c>
      <c r="S89" s="2"/>
      <c r="T89" s="6">
        <v>15423.52</v>
      </c>
      <c r="U89" s="2"/>
      <c r="V89" s="7">
        <f t="shared" si="42"/>
        <v>2.7389285755053307E-3</v>
      </c>
      <c r="W89" s="2"/>
      <c r="X89" s="6">
        <f t="shared" si="43"/>
        <v>-3471.58</v>
      </c>
      <c r="Y89" s="2"/>
      <c r="Z89" s="7">
        <f t="shared" si="44"/>
        <v>-0.22508350882288866</v>
      </c>
    </row>
    <row r="90" spans="1:26" s="24" customFormat="1" hidden="1" outlineLevel="2" x14ac:dyDescent="0.25">
      <c r="A90" s="25"/>
      <c r="B90" s="11" t="str">
        <f>CONCATENATE("          ", "6307", " - ", "POSTAGE")</f>
        <v xml:space="preserve">          6307 - POSTAGE</v>
      </c>
      <c r="C90" s="11"/>
      <c r="D90" s="6">
        <v>0.95</v>
      </c>
      <c r="E90" s="2"/>
      <c r="F90" s="7">
        <f t="shared" si="37"/>
        <v>5.6781919498802365E-7</v>
      </c>
      <c r="G90" s="2"/>
      <c r="H90" s="6"/>
      <c r="I90" s="2"/>
      <c r="J90" s="7">
        <f t="shared" si="38"/>
        <v>0</v>
      </c>
      <c r="K90" s="2"/>
      <c r="L90" s="6">
        <f t="shared" si="39"/>
        <v>0.95</v>
      </c>
      <c r="M90" s="2"/>
      <c r="N90" s="7">
        <f t="shared" si="40"/>
        <v>0</v>
      </c>
      <c r="O90" s="11"/>
      <c r="P90" s="6">
        <v>1.45</v>
      </c>
      <c r="Q90" s="2"/>
      <c r="R90" s="7">
        <f t="shared" si="41"/>
        <v>3.1430715096239666E-7</v>
      </c>
      <c r="S90" s="2"/>
      <c r="T90" s="6">
        <v>3.29</v>
      </c>
      <c r="U90" s="2"/>
      <c r="V90" s="7">
        <f t="shared" si="42"/>
        <v>5.8424244358048858E-7</v>
      </c>
      <c r="W90" s="2"/>
      <c r="X90" s="6">
        <f t="shared" si="43"/>
        <v>-1.84</v>
      </c>
      <c r="Y90" s="2"/>
      <c r="Z90" s="7">
        <f t="shared" si="44"/>
        <v>-0.55927051671732519</v>
      </c>
    </row>
    <row r="91" spans="1:26" s="26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100.16</v>
      </c>
      <c r="E91" s="1"/>
      <c r="F91" s="5">
        <f t="shared" ref="F91:F97" si="45">IF(D$12=0,0,D91/D$12)</f>
        <v>5.9866074284210997E-5</v>
      </c>
      <c r="G91" s="1"/>
      <c r="H91" s="1">
        <f>SUM(OSRRefH22_7x_0)</f>
        <v>0</v>
      </c>
      <c r="I91" s="1"/>
      <c r="J91" s="5">
        <f t="shared" ref="J91:J97" si="46">IF(H$12=0,0,H91/H$12)</f>
        <v>0</v>
      </c>
      <c r="K91" s="1"/>
      <c r="L91" s="1">
        <f t="shared" ref="L91:L97" si="47">+D91-H91</f>
        <v>100.16</v>
      </c>
      <c r="M91" s="1"/>
      <c r="N91" s="5">
        <f t="shared" ref="N91:N97" si="48">IF(H91=0,0,L91/H91)</f>
        <v>0</v>
      </c>
      <c r="O91" s="13"/>
      <c r="P91" s="1">
        <f>SUM(OSRRefP22_7x_0)</f>
        <v>8253.06</v>
      </c>
      <c r="Q91" s="1"/>
      <c r="R91" s="5">
        <f t="shared" ref="R91:R97" si="49">IF(P$12=0,0,P91/P$12)</f>
        <v>1.78896260367015E-3</v>
      </c>
      <c r="S91" s="1"/>
      <c r="T91" s="1">
        <f>SUM(OSRRefT22_7x_0)</f>
        <v>10865.1</v>
      </c>
      <c r="U91" s="1"/>
      <c r="V91" s="5">
        <f t="shared" ref="V91:V97" si="50">IF(T$12=0,0,T91/T$12)</f>
        <v>1.9294384722633334E-3</v>
      </c>
      <c r="W91" s="1"/>
      <c r="X91" s="1">
        <f t="shared" ref="X91:X97" si="51">+P91-T91</f>
        <v>-2612.0400000000009</v>
      </c>
      <c r="Y91" s="1"/>
      <c r="Z91" s="5">
        <f t="shared" ref="Z91:Z97" si="52">IF(T91=0,0,X91/T91)</f>
        <v>-0.24040643896512695</v>
      </c>
    </row>
    <row r="92" spans="1:26" s="24" customFormat="1" hidden="1" outlineLevel="2" x14ac:dyDescent="0.25">
      <c r="A92" s="25"/>
      <c r="B92" s="11" t="str">
        <f>CONCATENATE("          ", "6279", " - ", "GENERAL EXPENSE")</f>
        <v xml:space="preserve">          6279 - GENERAL EXPENSE</v>
      </c>
      <c r="C92" s="11"/>
      <c r="D92" s="6">
        <v>100.16</v>
      </c>
      <c r="E92" s="2"/>
      <c r="F92" s="7">
        <f t="shared" si="45"/>
        <v>5.9866074284210997E-5</v>
      </c>
      <c r="G92" s="2"/>
      <c r="H92" s="6"/>
      <c r="I92" s="2"/>
      <c r="J92" s="7">
        <f t="shared" si="46"/>
        <v>0</v>
      </c>
      <c r="K92" s="2"/>
      <c r="L92" s="6">
        <f t="shared" si="47"/>
        <v>100.16</v>
      </c>
      <c r="M92" s="2"/>
      <c r="N92" s="7">
        <f t="shared" si="48"/>
        <v>0</v>
      </c>
      <c r="O92" s="11"/>
      <c r="P92" s="6">
        <v>8253.06</v>
      </c>
      <c r="Q92" s="2"/>
      <c r="R92" s="7">
        <f t="shared" si="49"/>
        <v>1.78896260367015E-3</v>
      </c>
      <c r="S92" s="2"/>
      <c r="T92" s="6">
        <v>10865.1</v>
      </c>
      <c r="U92" s="2"/>
      <c r="V92" s="7">
        <f t="shared" si="50"/>
        <v>1.9294384722633334E-3</v>
      </c>
      <c r="W92" s="2"/>
      <c r="X92" s="6">
        <f t="shared" si="51"/>
        <v>-2612.0400000000009</v>
      </c>
      <c r="Y92" s="2"/>
      <c r="Z92" s="7">
        <f t="shared" si="52"/>
        <v>-0.24040643896512695</v>
      </c>
    </row>
    <row r="93" spans="1:26" s="26" customFormat="1" outlineLevel="1" collapsed="1" x14ac:dyDescent="0.25">
      <c r="A93" s="27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1000</v>
      </c>
      <c r="E93" s="1"/>
      <c r="F93" s="5">
        <f t="shared" si="45"/>
        <v>5.9770441577686705E-4</v>
      </c>
      <c r="G93" s="1"/>
      <c r="H93" s="1">
        <f>SUM(OSRRefH22_8x_0)</f>
        <v>6950</v>
      </c>
      <c r="I93" s="1"/>
      <c r="J93" s="5">
        <f t="shared" si="46"/>
        <v>3.2285922119452697E-3</v>
      </c>
      <c r="K93" s="1"/>
      <c r="L93" s="1">
        <f t="shared" si="47"/>
        <v>-5950</v>
      </c>
      <c r="M93" s="1"/>
      <c r="N93" s="5">
        <f t="shared" si="48"/>
        <v>-0.85611510791366907</v>
      </c>
      <c r="O93" s="13"/>
      <c r="P93" s="1">
        <f>SUM(OSRRefP22_8x_0)</f>
        <v>12800</v>
      </c>
      <c r="Q93" s="1"/>
      <c r="R93" s="5">
        <f t="shared" si="49"/>
        <v>2.7745734705646053E-3</v>
      </c>
      <c r="S93" s="1"/>
      <c r="T93" s="1">
        <f>SUM(OSRRefT22_8x_0)</f>
        <v>48650</v>
      </c>
      <c r="U93" s="1"/>
      <c r="V93" s="5">
        <f t="shared" si="50"/>
        <v>8.6393297508178639E-3</v>
      </c>
      <c r="W93" s="1"/>
      <c r="X93" s="1">
        <f t="shared" si="51"/>
        <v>-35850</v>
      </c>
      <c r="Y93" s="1"/>
      <c r="Z93" s="5">
        <f t="shared" si="52"/>
        <v>-0.73689619732785205</v>
      </c>
    </row>
    <row r="94" spans="1:26" s="24" customFormat="1" hidden="1" outlineLevel="2" x14ac:dyDescent="0.25">
      <c r="A94" s="25"/>
      <c r="B94" s="11" t="str">
        <f>CONCATENATE("          ", "6408", " - ", "INVENTORY ADJUSTMENT")</f>
        <v xml:space="preserve">          6408 - INVENTORY ADJUSTMENT</v>
      </c>
      <c r="C94" s="11"/>
      <c r="D94" s="6">
        <v>1000</v>
      </c>
      <c r="E94" s="2"/>
      <c r="F94" s="7">
        <f t="shared" si="45"/>
        <v>5.9770441577686705E-4</v>
      </c>
      <c r="G94" s="2"/>
      <c r="H94" s="6">
        <v>6950</v>
      </c>
      <c r="I94" s="2"/>
      <c r="J94" s="7">
        <f t="shared" si="46"/>
        <v>3.2285922119452697E-3</v>
      </c>
      <c r="K94" s="2"/>
      <c r="L94" s="6">
        <f t="shared" si="47"/>
        <v>-5950</v>
      </c>
      <c r="M94" s="2"/>
      <c r="N94" s="7">
        <f t="shared" si="48"/>
        <v>-0.85611510791366907</v>
      </c>
      <c r="O94" s="11"/>
      <c r="P94" s="6">
        <v>12800</v>
      </c>
      <c r="Q94" s="2"/>
      <c r="R94" s="7">
        <f t="shared" si="49"/>
        <v>2.7745734705646053E-3</v>
      </c>
      <c r="S94" s="2"/>
      <c r="T94" s="6">
        <v>48650</v>
      </c>
      <c r="U94" s="2"/>
      <c r="V94" s="7">
        <f t="shared" si="50"/>
        <v>8.6393297508178639E-3</v>
      </c>
      <c r="W94" s="2"/>
      <c r="X94" s="6">
        <f t="shared" si="51"/>
        <v>-35850</v>
      </c>
      <c r="Y94" s="2"/>
      <c r="Z94" s="7">
        <f t="shared" si="52"/>
        <v>-0.73689619732785205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0</v>
      </c>
      <c r="E95" s="1"/>
      <c r="F95" s="5">
        <f t="shared" si="45"/>
        <v>0</v>
      </c>
      <c r="G95" s="1"/>
      <c r="H95" s="1">
        <f>SUM(OSRRefH22_9x_0)</f>
        <v>140.67000000000002</v>
      </c>
      <c r="I95" s="1"/>
      <c r="J95" s="5">
        <f t="shared" si="46"/>
        <v>6.5347635461056276E-5</v>
      </c>
      <c r="K95" s="1"/>
      <c r="L95" s="1">
        <f t="shared" si="47"/>
        <v>-140.67000000000002</v>
      </c>
      <c r="M95" s="1"/>
      <c r="N95" s="5">
        <f t="shared" si="48"/>
        <v>-1</v>
      </c>
      <c r="O95" s="13"/>
      <c r="P95" s="1">
        <f>SUM(OSRRefP22_9x_0)</f>
        <v>143.16</v>
      </c>
      <c r="Q95" s="1"/>
      <c r="R95" s="5">
        <f t="shared" si="49"/>
        <v>3.1031870159846008E-5</v>
      </c>
      <c r="S95" s="1"/>
      <c r="T95" s="1">
        <f>SUM(OSRRefT22_9x_0)</f>
        <v>682.85</v>
      </c>
      <c r="U95" s="1"/>
      <c r="V95" s="5">
        <f t="shared" si="50"/>
        <v>1.2126138376867376E-4</v>
      </c>
      <c r="W95" s="1"/>
      <c r="X95" s="1">
        <f t="shared" si="51"/>
        <v>-539.69000000000005</v>
      </c>
      <c r="Y95" s="1"/>
      <c r="Z95" s="5">
        <f t="shared" si="52"/>
        <v>-0.79034927143589373</v>
      </c>
    </row>
    <row r="96" spans="1:26" s="24" customFormat="1" hidden="1" outlineLevel="2" x14ac:dyDescent="0.25">
      <c r="A96" s="25"/>
      <c r="B96" s="11" t="str">
        <f>CONCATENATE("          ", "6373", " - ", "MAINTENANCE CONTRACTS")</f>
        <v xml:space="preserve">          6373 - MAINTENANCE CONTRACTS</v>
      </c>
      <c r="C96" s="11"/>
      <c r="D96" s="6"/>
      <c r="E96" s="2"/>
      <c r="F96" s="7">
        <f t="shared" si="45"/>
        <v>0</v>
      </c>
      <c r="G96" s="2"/>
      <c r="H96" s="6">
        <v>62.67</v>
      </c>
      <c r="I96" s="2"/>
      <c r="J96" s="7">
        <f t="shared" si="46"/>
        <v>2.911307538454821E-5</v>
      </c>
      <c r="K96" s="2"/>
      <c r="L96" s="6">
        <f t="shared" si="47"/>
        <v>-62.67</v>
      </c>
      <c r="M96" s="2"/>
      <c r="N96" s="7">
        <f t="shared" si="48"/>
        <v>-1</v>
      </c>
      <c r="O96" s="11"/>
      <c r="P96" s="6">
        <v>143.16</v>
      </c>
      <c r="Q96" s="2"/>
      <c r="R96" s="7">
        <f t="shared" si="49"/>
        <v>3.1031870159846008E-5</v>
      </c>
      <c r="S96" s="2"/>
      <c r="T96" s="6">
        <v>214.85</v>
      </c>
      <c r="U96" s="2"/>
      <c r="V96" s="7">
        <f t="shared" si="50"/>
        <v>3.8153340122573849E-5</v>
      </c>
      <c r="W96" s="2"/>
      <c r="X96" s="6">
        <f t="shared" si="51"/>
        <v>-71.69</v>
      </c>
      <c r="Y96" s="2"/>
      <c r="Z96" s="7">
        <f t="shared" si="52"/>
        <v>-0.33367465673725855</v>
      </c>
    </row>
    <row r="97" spans="1:26" s="24" customFormat="1" hidden="1" outlineLevel="2" x14ac:dyDescent="0.25">
      <c r="A97" s="25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45"/>
        <v>0</v>
      </c>
      <c r="G97" s="2"/>
      <c r="H97" s="6">
        <v>78</v>
      </c>
      <c r="I97" s="2"/>
      <c r="J97" s="7">
        <f t="shared" si="46"/>
        <v>3.6234560076508059E-5</v>
      </c>
      <c r="K97" s="2"/>
      <c r="L97" s="6">
        <f t="shared" si="47"/>
        <v>-78</v>
      </c>
      <c r="M97" s="2"/>
      <c r="N97" s="7">
        <f t="shared" si="48"/>
        <v>-1</v>
      </c>
      <c r="O97" s="11"/>
      <c r="P97" s="6"/>
      <c r="Q97" s="2"/>
      <c r="R97" s="7">
        <f t="shared" si="49"/>
        <v>0</v>
      </c>
      <c r="S97" s="2"/>
      <c r="T97" s="6">
        <v>468</v>
      </c>
      <c r="U97" s="2"/>
      <c r="V97" s="7">
        <f t="shared" si="50"/>
        <v>8.3108043646099895E-5</v>
      </c>
      <c r="W97" s="2"/>
      <c r="X97" s="6">
        <f t="shared" si="51"/>
        <v>-468</v>
      </c>
      <c r="Y97" s="2"/>
      <c r="Z97" s="7">
        <f t="shared" si="52"/>
        <v>-1</v>
      </c>
    </row>
    <row r="98" spans="1:26" s="26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258.10000000000002</v>
      </c>
      <c r="E98" s="1"/>
      <c r="F98" s="5">
        <f t="shared" ref="F98:F100" si="53">IF(D$12=0,0,D98/D$12)</f>
        <v>1.5426750971200939E-4</v>
      </c>
      <c r="G98" s="1"/>
      <c r="H98" s="1">
        <f>SUM(OSRRefH22_10x_0)</f>
        <v>2048.1400000000003</v>
      </c>
      <c r="I98" s="1"/>
      <c r="J98" s="5">
        <f t="shared" ref="J98:J100" si="54">IF(H$12=0,0,H98/H$12)</f>
        <v>9.5145451121922094E-4</v>
      </c>
      <c r="K98" s="1"/>
      <c r="L98" s="1">
        <f t="shared" ref="L98:L100" si="55">+D98-H98</f>
        <v>-1790.0400000000004</v>
      </c>
      <c r="M98" s="1"/>
      <c r="N98" s="5">
        <f t="shared" ref="N98:N100" si="56">IF(H98=0,0,L98/H98)</f>
        <v>-0.87398322380306037</v>
      </c>
      <c r="O98" s="13"/>
      <c r="P98" s="1">
        <f>SUM(OSRRefP22_10x_0)</f>
        <v>1815.5</v>
      </c>
      <c r="Q98" s="1"/>
      <c r="R98" s="5">
        <f t="shared" ref="R98:R100" si="57">IF(P$12=0,0,P98/P$12)</f>
        <v>3.9353422936015946E-4</v>
      </c>
      <c r="S98" s="1"/>
      <c r="T98" s="1">
        <f>SUM(OSRRefT22_10x_0)</f>
        <v>7061.5</v>
      </c>
      <c r="U98" s="1"/>
      <c r="V98" s="5">
        <f t="shared" ref="V98:V100" si="58">IF(T$12=0,0,T98/T$12)</f>
        <v>1.2539902782199453E-3</v>
      </c>
      <c r="W98" s="1"/>
      <c r="X98" s="1">
        <f t="shared" ref="X98:X100" si="59">+P98-T98</f>
        <v>-5246</v>
      </c>
      <c r="Y98" s="1"/>
      <c r="Z98" s="5">
        <f t="shared" ref="Z98:Z100" si="60">IF(T98=0,0,X98/T98)</f>
        <v>-0.74290164979112083</v>
      </c>
    </row>
    <row r="99" spans="1:26" s="24" customFormat="1" hidden="1" outlineLevel="2" x14ac:dyDescent="0.25">
      <c r="A99" s="25"/>
      <c r="B99" s="11" t="str">
        <f>CONCATENATE("          ", "6258", " - ", "MEMBERSHIP DUES")</f>
        <v xml:space="preserve">          6258 - MEMBERSHIP DUES</v>
      </c>
      <c r="C99" s="11"/>
      <c r="D99" s="6">
        <v>258.10000000000002</v>
      </c>
      <c r="E99" s="2"/>
      <c r="F99" s="7">
        <f t="shared" si="53"/>
        <v>1.5426750971200939E-4</v>
      </c>
      <c r="G99" s="2"/>
      <c r="H99" s="6">
        <v>250</v>
      </c>
      <c r="I99" s="2"/>
      <c r="J99" s="7">
        <f t="shared" si="54"/>
        <v>1.161364105016284E-4</v>
      </c>
      <c r="K99" s="2"/>
      <c r="L99" s="6">
        <f t="shared" si="55"/>
        <v>8.1000000000000227</v>
      </c>
      <c r="M99" s="2"/>
      <c r="N99" s="7">
        <f t="shared" si="56"/>
        <v>3.2400000000000088E-2</v>
      </c>
      <c r="O99" s="11"/>
      <c r="P99" s="6">
        <v>1815.5</v>
      </c>
      <c r="Q99" s="2"/>
      <c r="R99" s="7">
        <f t="shared" si="57"/>
        <v>3.9353422936015946E-4</v>
      </c>
      <c r="S99" s="2"/>
      <c r="T99" s="6">
        <v>5263.36</v>
      </c>
      <c r="U99" s="2"/>
      <c r="V99" s="7">
        <f t="shared" si="58"/>
        <v>9.3467425770328279E-4</v>
      </c>
      <c r="W99" s="2"/>
      <c r="X99" s="6">
        <f t="shared" si="59"/>
        <v>-3447.8599999999997</v>
      </c>
      <c r="Y99" s="2"/>
      <c r="Z99" s="7">
        <f t="shared" si="60"/>
        <v>-0.65506824537937736</v>
      </c>
    </row>
    <row r="100" spans="1:26" s="24" customFormat="1" hidden="1" outlineLevel="2" x14ac:dyDescent="0.25">
      <c r="A100" s="25"/>
      <c r="B100" s="11" t="str">
        <f>CONCATENATE("          ", "6275", " - ", "SUBSCRIPTIONS")</f>
        <v xml:space="preserve">          6275 - SUBSCRIPTIONS</v>
      </c>
      <c r="C100" s="11"/>
      <c r="D100" s="6"/>
      <c r="E100" s="2"/>
      <c r="F100" s="7">
        <f t="shared" si="53"/>
        <v>0</v>
      </c>
      <c r="G100" s="2"/>
      <c r="H100" s="6">
        <v>1798.14</v>
      </c>
      <c r="I100" s="2"/>
      <c r="J100" s="7">
        <f t="shared" si="54"/>
        <v>8.353181007175924E-4</v>
      </c>
      <c r="K100" s="2"/>
      <c r="L100" s="6">
        <f t="shared" si="55"/>
        <v>-1798.14</v>
      </c>
      <c r="M100" s="2"/>
      <c r="N100" s="7">
        <f t="shared" si="56"/>
        <v>-1</v>
      </c>
      <c r="O100" s="11"/>
      <c r="P100" s="6"/>
      <c r="Q100" s="2"/>
      <c r="R100" s="7">
        <f t="shared" si="57"/>
        <v>0</v>
      </c>
      <c r="S100" s="2"/>
      <c r="T100" s="6">
        <v>1798.14</v>
      </c>
      <c r="U100" s="2"/>
      <c r="V100" s="7">
        <f t="shared" si="58"/>
        <v>3.1931602051666258E-4</v>
      </c>
      <c r="W100" s="2"/>
      <c r="X100" s="6">
        <f t="shared" si="59"/>
        <v>-1798.14</v>
      </c>
      <c r="Y100" s="2"/>
      <c r="Z100" s="7">
        <f t="shared" si="60"/>
        <v>-1</v>
      </c>
    </row>
    <row r="101" spans="1:26" s="26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SUM(OSRRefD22_11x_0)</f>
        <v>220.28</v>
      </c>
      <c r="E101" s="1"/>
      <c r="F101" s="5">
        <f t="shared" ref="F101:F105" si="61">IF(D$12=0,0,D101/D$12)</f>
        <v>1.3166232870732826E-4</v>
      </c>
      <c r="G101" s="1"/>
      <c r="H101" s="1">
        <f>SUM(OSRRefH22_11x_0)</f>
        <v>1635.6399999999999</v>
      </c>
      <c r="I101" s="1"/>
      <c r="J101" s="5">
        <f t="shared" ref="J101:J105" si="62">IF(H$12=0,0,H101/H$12)</f>
        <v>7.5982943389153387E-4</v>
      </c>
      <c r="K101" s="1"/>
      <c r="L101" s="1">
        <f t="shared" ref="L101:L105" si="63">+D101-H101</f>
        <v>-1415.36</v>
      </c>
      <c r="M101" s="1"/>
      <c r="N101" s="5">
        <f t="shared" ref="N101:N105" si="64">IF(H101=0,0,L101/H101)</f>
        <v>-0.86532488811718966</v>
      </c>
      <c r="O101" s="13"/>
      <c r="P101" s="1">
        <f>SUM(OSRRefP22_11x_0)</f>
        <v>9643.3300000000017</v>
      </c>
      <c r="Q101" s="1"/>
      <c r="R101" s="5">
        <f t="shared" ref="R101:R105" si="65">IF(P$12=0,0,P101/P$12)</f>
        <v>2.0903224676484203E-3</v>
      </c>
      <c r="S101" s="1"/>
      <c r="T101" s="1">
        <f>SUM(OSRRefT22_11x_0)</f>
        <v>14016.7</v>
      </c>
      <c r="U101" s="1"/>
      <c r="V101" s="5">
        <f t="shared" ref="V101:V105" si="66">IF(T$12=0,0,T101/T$12)</f>
        <v>2.4891036653296762E-3</v>
      </c>
      <c r="W101" s="1"/>
      <c r="X101" s="1">
        <f t="shared" ref="X101:X105" si="67">+P101-T101</f>
        <v>-4373.369999999999</v>
      </c>
      <c r="Y101" s="1"/>
      <c r="Z101" s="5">
        <f t="shared" ref="Z101:Z105" si="68">IF(T101=0,0,X101/T101)</f>
        <v>-0.31201138641763032</v>
      </c>
    </row>
    <row r="102" spans="1:26" s="24" customFormat="1" hidden="1" outlineLevel="2" x14ac:dyDescent="0.25">
      <c r="A102" s="25"/>
      <c r="B102" s="11" t="str">
        <f>CONCATENATE("          ", "6234", " - ", "EXPENDABLE SUPPLIES &amp; EQUIPMEN")</f>
        <v xml:space="preserve">          6234 - EXPENDABLE SUPPLIES &amp; EQUIPMEN</v>
      </c>
      <c r="C102" s="11"/>
      <c r="D102" s="6"/>
      <c r="E102" s="2"/>
      <c r="F102" s="7">
        <f t="shared" si="61"/>
        <v>0</v>
      </c>
      <c r="G102" s="2"/>
      <c r="H102" s="6"/>
      <c r="I102" s="2"/>
      <c r="J102" s="7">
        <f t="shared" si="62"/>
        <v>0</v>
      </c>
      <c r="K102" s="2"/>
      <c r="L102" s="6">
        <f t="shared" si="63"/>
        <v>0</v>
      </c>
      <c r="M102" s="2"/>
      <c r="N102" s="7">
        <f t="shared" si="64"/>
        <v>0</v>
      </c>
      <c r="O102" s="11"/>
      <c r="P102" s="6"/>
      <c r="Q102" s="2"/>
      <c r="R102" s="7">
        <f t="shared" si="65"/>
        <v>0</v>
      </c>
      <c r="S102" s="2"/>
      <c r="T102" s="6">
        <v>272.45999999999998</v>
      </c>
      <c r="U102" s="2"/>
      <c r="V102" s="7">
        <f t="shared" si="66"/>
        <v>4.8383798230376872E-5</v>
      </c>
      <c r="W102" s="2"/>
      <c r="X102" s="6">
        <f t="shared" si="67"/>
        <v>-272.45999999999998</v>
      </c>
      <c r="Y102" s="2"/>
      <c r="Z102" s="7">
        <f t="shared" si="68"/>
        <v>-1</v>
      </c>
    </row>
    <row r="103" spans="1:26" s="24" customFormat="1" hidden="1" outlineLevel="2" x14ac:dyDescent="0.25">
      <c r="A103" s="25"/>
      <c r="B103" s="11" t="str">
        <f>CONCATENATE("          ", "6241", " - ", "OFFICE EXPENSE")</f>
        <v xml:space="preserve">          6241 - OFFICE EXPENSE</v>
      </c>
      <c r="C103" s="11"/>
      <c r="D103" s="6">
        <v>220.28</v>
      </c>
      <c r="E103" s="2"/>
      <c r="F103" s="7">
        <f t="shared" si="61"/>
        <v>1.3166232870732826E-4</v>
      </c>
      <c r="G103" s="2"/>
      <c r="H103" s="6">
        <v>599.41999999999996</v>
      </c>
      <c r="I103" s="2"/>
      <c r="J103" s="7">
        <f t="shared" si="62"/>
        <v>2.7845794873154436E-4</v>
      </c>
      <c r="K103" s="2"/>
      <c r="L103" s="6">
        <f t="shared" si="63"/>
        <v>-379.14</v>
      </c>
      <c r="M103" s="2"/>
      <c r="N103" s="7">
        <f t="shared" si="64"/>
        <v>-0.63251142771345636</v>
      </c>
      <c r="O103" s="11"/>
      <c r="P103" s="6">
        <v>3804.21</v>
      </c>
      <c r="Q103" s="2"/>
      <c r="R103" s="7">
        <f t="shared" si="65"/>
        <v>8.2461407362942004E-4</v>
      </c>
      <c r="S103" s="2"/>
      <c r="T103" s="6">
        <v>5144.74</v>
      </c>
      <c r="U103" s="2"/>
      <c r="V103" s="7">
        <f t="shared" si="66"/>
        <v>9.1360956510221363E-4</v>
      </c>
      <c r="W103" s="2"/>
      <c r="X103" s="6">
        <f t="shared" si="67"/>
        <v>-1340.5299999999997</v>
      </c>
      <c r="Y103" s="2"/>
      <c r="Z103" s="7">
        <f t="shared" si="68"/>
        <v>-0.26056321602257837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61"/>
        <v>0</v>
      </c>
      <c r="G104" s="2"/>
      <c r="H104" s="6">
        <v>116.42</v>
      </c>
      <c r="I104" s="2"/>
      <c r="J104" s="7">
        <f t="shared" si="62"/>
        <v>5.4082403642398316E-5</v>
      </c>
      <c r="K104" s="2"/>
      <c r="L104" s="6">
        <f t="shared" si="63"/>
        <v>-116.42</v>
      </c>
      <c r="M104" s="2"/>
      <c r="N104" s="7">
        <f t="shared" si="64"/>
        <v>-1</v>
      </c>
      <c r="O104" s="11"/>
      <c r="P104" s="6">
        <v>4978.08</v>
      </c>
      <c r="Q104" s="2"/>
      <c r="R104" s="7">
        <f t="shared" si="65"/>
        <v>1.0790663048709571E-3</v>
      </c>
      <c r="S104" s="2"/>
      <c r="T104" s="6">
        <v>2254.34</v>
      </c>
      <c r="U104" s="2"/>
      <c r="V104" s="7">
        <f t="shared" si="66"/>
        <v>4.0032860494262576E-4</v>
      </c>
      <c r="W104" s="2"/>
      <c r="X104" s="6">
        <f t="shared" si="67"/>
        <v>2723.74</v>
      </c>
      <c r="Y104" s="2"/>
      <c r="Z104" s="7">
        <f t="shared" si="68"/>
        <v>1.2082205878438921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/>
      <c r="E105" s="2"/>
      <c r="F105" s="7">
        <f t="shared" si="61"/>
        <v>0</v>
      </c>
      <c r="G105" s="2"/>
      <c r="H105" s="6">
        <v>919.8</v>
      </c>
      <c r="I105" s="2"/>
      <c r="J105" s="7">
        <f t="shared" si="62"/>
        <v>4.272890815175912E-4</v>
      </c>
      <c r="K105" s="2"/>
      <c r="L105" s="6">
        <f t="shared" si="63"/>
        <v>-919.8</v>
      </c>
      <c r="M105" s="2"/>
      <c r="N105" s="7">
        <f t="shared" si="64"/>
        <v>-1</v>
      </c>
      <c r="O105" s="11"/>
      <c r="P105" s="6">
        <v>861.04</v>
      </c>
      <c r="Q105" s="2"/>
      <c r="R105" s="7">
        <f t="shared" si="65"/>
        <v>1.8664208914804278E-4</v>
      </c>
      <c r="S105" s="2"/>
      <c r="T105" s="6">
        <v>6345.16</v>
      </c>
      <c r="U105" s="2"/>
      <c r="V105" s="7">
        <f t="shared" si="66"/>
        <v>1.1267816970544598E-3</v>
      </c>
      <c r="W105" s="2"/>
      <c r="X105" s="6">
        <f t="shared" si="67"/>
        <v>-5484.12</v>
      </c>
      <c r="Y105" s="2"/>
      <c r="Z105" s="7">
        <f t="shared" si="68"/>
        <v>-0.86429971821041551</v>
      </c>
    </row>
    <row r="106" spans="1:26" s="26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SUM(OSRRefD22_12x_0)</f>
        <v>976.35</v>
      </c>
      <c r="E106" s="1"/>
      <c r="F106" s="5">
        <f t="shared" ref="F106:F108" si="69">IF(D$12=0,0,D106/D$12)</f>
        <v>5.8356870634374415E-4</v>
      </c>
      <c r="G106" s="1"/>
      <c r="H106" s="1">
        <f>SUM(OSRRefH22_12x_0)</f>
        <v>680.5</v>
      </c>
      <c r="I106" s="1"/>
      <c r="J106" s="5">
        <f t="shared" ref="J106:J108" si="70">IF(H$12=0,0,H106/H$12)</f>
        <v>3.161233093854325E-4</v>
      </c>
      <c r="K106" s="1"/>
      <c r="L106" s="1">
        <f t="shared" ref="L106:L108" si="71">+D106-H106</f>
        <v>295.85000000000002</v>
      </c>
      <c r="M106" s="1"/>
      <c r="N106" s="5">
        <f t="shared" ref="N106:N108" si="72">IF(H106=0,0,L106/H106)</f>
        <v>0.43475385745775169</v>
      </c>
      <c r="O106" s="13"/>
      <c r="P106" s="1">
        <f>SUM(OSRRefP22_12x_0)</f>
        <v>5910.3899999999994</v>
      </c>
      <c r="Q106" s="1"/>
      <c r="R106" s="5">
        <f t="shared" ref="R106:R108" si="73">IF(P$12=0,0,P106/P$12)</f>
        <v>1.2811571323976824E-3</v>
      </c>
      <c r="S106" s="1"/>
      <c r="T106" s="1">
        <f>SUM(OSRRefT22_12x_0)</f>
        <v>4535.45</v>
      </c>
      <c r="U106" s="1"/>
      <c r="V106" s="5">
        <f t="shared" ref="V106:V108" si="74">IF(T$12=0,0,T106/T$12)</f>
        <v>8.0541106101432425E-4</v>
      </c>
      <c r="W106" s="1"/>
      <c r="X106" s="1">
        <f t="shared" ref="X106:X108" si="75">+P106-T106</f>
        <v>1374.9399999999996</v>
      </c>
      <c r="Y106" s="1"/>
      <c r="Z106" s="5">
        <f t="shared" ref="Z106:Z108" si="76">IF(T106=0,0,X106/T106)</f>
        <v>0.30315404204654439</v>
      </c>
    </row>
    <row r="107" spans="1:26" s="24" customFormat="1" hidden="1" outlineLevel="2" x14ac:dyDescent="0.25">
      <c r="A107" s="25"/>
      <c r="B107" s="11" t="str">
        <f>CONCATENATE("          ", "6303", " - ", "DATA PHONE LINES")</f>
        <v xml:space="preserve">          6303 - DATA PHONE LINES</v>
      </c>
      <c r="C107" s="11"/>
      <c r="D107" s="6">
        <v>295</v>
      </c>
      <c r="E107" s="2"/>
      <c r="F107" s="7">
        <f t="shared" si="69"/>
        <v>1.7632280265417576E-4</v>
      </c>
      <c r="G107" s="2"/>
      <c r="H107" s="6">
        <v>885</v>
      </c>
      <c r="I107" s="2"/>
      <c r="J107" s="7">
        <f t="shared" si="70"/>
        <v>4.1112289317576456E-4</v>
      </c>
      <c r="K107" s="2"/>
      <c r="L107" s="6">
        <f t="shared" si="71"/>
        <v>-590</v>
      </c>
      <c r="M107" s="2"/>
      <c r="N107" s="7">
        <f t="shared" si="72"/>
        <v>-0.66666666666666663</v>
      </c>
      <c r="O107" s="11"/>
      <c r="P107" s="6">
        <v>2065</v>
      </c>
      <c r="Q107" s="2"/>
      <c r="R107" s="7">
        <f t="shared" si="73"/>
        <v>4.4761673568093047E-4</v>
      </c>
      <c r="S107" s="2"/>
      <c r="T107" s="6">
        <v>1770</v>
      </c>
      <c r="U107" s="2"/>
      <c r="V107" s="7">
        <f t="shared" si="74"/>
        <v>3.1431888302050601E-4</v>
      </c>
      <c r="W107" s="2"/>
      <c r="X107" s="6">
        <f t="shared" si="75"/>
        <v>295</v>
      </c>
      <c r="Y107" s="2"/>
      <c r="Z107" s="7">
        <f t="shared" si="76"/>
        <v>0.16666666666666666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6">
        <v>681.35</v>
      </c>
      <c r="E108" s="2"/>
      <c r="F108" s="7">
        <f t="shared" si="69"/>
        <v>4.0724590368956836E-4</v>
      </c>
      <c r="G108" s="2"/>
      <c r="H108" s="6">
        <v>-204.5</v>
      </c>
      <c r="I108" s="2"/>
      <c r="J108" s="7">
        <f t="shared" si="70"/>
        <v>-9.4999583790332038E-5</v>
      </c>
      <c r="K108" s="2"/>
      <c r="L108" s="6">
        <f t="shared" si="71"/>
        <v>885.85</v>
      </c>
      <c r="M108" s="2"/>
      <c r="N108" s="7">
        <f t="shared" si="72"/>
        <v>-4.3317848410757946</v>
      </c>
      <c r="O108" s="11"/>
      <c r="P108" s="6">
        <v>3845.39</v>
      </c>
      <c r="Q108" s="2"/>
      <c r="R108" s="7">
        <f t="shared" si="73"/>
        <v>8.3354039671675213E-4</v>
      </c>
      <c r="S108" s="2"/>
      <c r="T108" s="6">
        <v>2765.45</v>
      </c>
      <c r="U108" s="2"/>
      <c r="V108" s="7">
        <f t="shared" si="74"/>
        <v>4.910921779938183E-4</v>
      </c>
      <c r="W108" s="2"/>
      <c r="X108" s="6">
        <f t="shared" si="75"/>
        <v>1079.94</v>
      </c>
      <c r="Y108" s="2"/>
      <c r="Z108" s="7">
        <f t="shared" si="76"/>
        <v>0.39051148999258717</v>
      </c>
    </row>
    <row r="109" spans="1:26" s="26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SUM(OSRRefD22_13x_0)</f>
        <v>844</v>
      </c>
      <c r="E109" s="1"/>
      <c r="F109" s="5">
        <f t="shared" ref="F109:F112" si="77">IF(D$12=0,0,D109/D$12)</f>
        <v>5.0446252691567571E-4</v>
      </c>
      <c r="G109" s="1"/>
      <c r="H109" s="1">
        <f>SUM(OSRRefH22_13x_0)</f>
        <v>0</v>
      </c>
      <c r="I109" s="1"/>
      <c r="J109" s="5">
        <f t="shared" ref="J109:J112" si="78">IF(H$12=0,0,H109/H$12)</f>
        <v>0</v>
      </c>
      <c r="K109" s="1"/>
      <c r="L109" s="1">
        <f t="shared" ref="L109:L112" si="79">+D109-H109</f>
        <v>844</v>
      </c>
      <c r="M109" s="1"/>
      <c r="N109" s="5">
        <f t="shared" ref="N109:N112" si="80">IF(H109=0,0,L109/H109)</f>
        <v>0</v>
      </c>
      <c r="O109" s="13"/>
      <c r="P109" s="1">
        <f>SUM(OSRRefP22_13x_0)</f>
        <v>1391.47</v>
      </c>
      <c r="Q109" s="1"/>
      <c r="R109" s="5">
        <f t="shared" ref="R109:R112" si="81">IF(P$12=0,0,P109/P$12)</f>
        <v>3.0161998024113526E-4</v>
      </c>
      <c r="S109" s="1"/>
      <c r="T109" s="1">
        <f>SUM(OSRRefT22_13x_0)</f>
        <v>-555.96</v>
      </c>
      <c r="U109" s="1"/>
      <c r="V109" s="5">
        <f t="shared" ref="V109:V112" si="82">IF(T$12=0,0,T109/T$12)</f>
        <v>-9.872809390061048E-5</v>
      </c>
      <c r="W109" s="1"/>
      <c r="X109" s="1">
        <f t="shared" ref="X109:X112" si="83">+P109-T109</f>
        <v>1947.43</v>
      </c>
      <c r="Y109" s="1"/>
      <c r="Z109" s="5">
        <f t="shared" ref="Z109:Z112" si="84">IF(T109=0,0,X109/T109)</f>
        <v>-3.5028239441686453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6">
        <v>844</v>
      </c>
      <c r="E110" s="2"/>
      <c r="F110" s="7">
        <f t="shared" si="77"/>
        <v>5.0446252691567571E-4</v>
      </c>
      <c r="G110" s="2"/>
      <c r="H110" s="6"/>
      <c r="I110" s="2"/>
      <c r="J110" s="7">
        <f t="shared" si="78"/>
        <v>0</v>
      </c>
      <c r="K110" s="2"/>
      <c r="L110" s="6">
        <f t="shared" si="79"/>
        <v>844</v>
      </c>
      <c r="M110" s="2"/>
      <c r="N110" s="7">
        <f t="shared" si="80"/>
        <v>0</v>
      </c>
      <c r="O110" s="11"/>
      <c r="P110" s="6">
        <v>1391.47</v>
      </c>
      <c r="Q110" s="2"/>
      <c r="R110" s="7">
        <f t="shared" si="81"/>
        <v>3.0161998024113526E-4</v>
      </c>
      <c r="S110" s="2"/>
      <c r="T110" s="6">
        <v>-555.96</v>
      </c>
      <c r="U110" s="2"/>
      <c r="V110" s="7">
        <f t="shared" si="82"/>
        <v>-9.872809390061048E-5</v>
      </c>
      <c r="W110" s="2"/>
      <c r="X110" s="6">
        <f t="shared" si="83"/>
        <v>1947.43</v>
      </c>
      <c r="Y110" s="2"/>
      <c r="Z110" s="7">
        <f t="shared" si="84"/>
        <v>-3.5028239441686453</v>
      </c>
    </row>
    <row r="111" spans="1:26" s="26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SUM(OSRRefD22_14x_0)</f>
        <v>0</v>
      </c>
      <c r="E111" s="1"/>
      <c r="F111" s="5">
        <f t="shared" si="77"/>
        <v>0</v>
      </c>
      <c r="G111" s="1"/>
      <c r="H111" s="1">
        <f>SUM(OSRRefH22_14x_0)</f>
        <v>0</v>
      </c>
      <c r="I111" s="1"/>
      <c r="J111" s="5">
        <f t="shared" si="78"/>
        <v>0</v>
      </c>
      <c r="K111" s="1"/>
      <c r="L111" s="1">
        <f t="shared" si="79"/>
        <v>0</v>
      </c>
      <c r="M111" s="1"/>
      <c r="N111" s="5">
        <f t="shared" si="80"/>
        <v>0</v>
      </c>
      <c r="O111" s="13"/>
      <c r="P111" s="1">
        <f>SUM(OSRRefP22_14x_0)</f>
        <v>83.93</v>
      </c>
      <c r="Q111" s="1"/>
      <c r="R111" s="5">
        <f t="shared" si="81"/>
        <v>1.8192964951913073E-5</v>
      </c>
      <c r="S111" s="1"/>
      <c r="T111" s="1">
        <f>SUM(OSRRefT22_14x_0)</f>
        <v>68.27</v>
      </c>
      <c r="U111" s="1"/>
      <c r="V111" s="5">
        <f t="shared" si="82"/>
        <v>1.2123474657519743E-5</v>
      </c>
      <c r="W111" s="1"/>
      <c r="X111" s="1">
        <f t="shared" si="83"/>
        <v>15.660000000000011</v>
      </c>
      <c r="Y111" s="1"/>
      <c r="Z111" s="5">
        <f t="shared" si="84"/>
        <v>0.22938333089204646</v>
      </c>
    </row>
    <row r="112" spans="1:26" s="24" customFormat="1" hidden="1" outlineLevel="2" x14ac:dyDescent="0.25">
      <c r="A112" s="25"/>
      <c r="B112" s="11" t="str">
        <f>CONCATENATE("          ", "6292", " - ", "TRAVEL/CONFERENCE")</f>
        <v xml:space="preserve">          6292 - TRAVEL/CONFERENCE</v>
      </c>
      <c r="C112" s="11"/>
      <c r="D112" s="6"/>
      <c r="E112" s="2"/>
      <c r="F112" s="7">
        <f t="shared" si="77"/>
        <v>0</v>
      </c>
      <c r="G112" s="2"/>
      <c r="H112" s="6"/>
      <c r="I112" s="2"/>
      <c r="J112" s="7">
        <f t="shared" si="78"/>
        <v>0</v>
      </c>
      <c r="K112" s="2"/>
      <c r="L112" s="6">
        <f t="shared" si="79"/>
        <v>0</v>
      </c>
      <c r="M112" s="2"/>
      <c r="N112" s="7">
        <f t="shared" si="80"/>
        <v>0</v>
      </c>
      <c r="O112" s="11"/>
      <c r="P112" s="6">
        <v>83.93</v>
      </c>
      <c r="Q112" s="2"/>
      <c r="R112" s="7">
        <f t="shared" si="81"/>
        <v>1.8192964951913073E-5</v>
      </c>
      <c r="S112" s="2"/>
      <c r="T112" s="6">
        <v>68.27</v>
      </c>
      <c r="U112" s="2"/>
      <c r="V112" s="7">
        <f t="shared" si="82"/>
        <v>1.2123474657519743E-5</v>
      </c>
      <c r="W112" s="2"/>
      <c r="X112" s="6">
        <f t="shared" si="83"/>
        <v>15.660000000000011</v>
      </c>
      <c r="Y112" s="2"/>
      <c r="Z112" s="7">
        <f t="shared" si="84"/>
        <v>0.22938333089204646</v>
      </c>
    </row>
    <row r="113" spans="1:26" s="59" customFormat="1" x14ac:dyDescent="0.25">
      <c r="A113" s="37"/>
      <c r="B113" s="37"/>
      <c r="C113" s="37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9" t="s">
        <v>0</v>
      </c>
      <c r="C114" s="10"/>
      <c r="D114" s="4">
        <f>SUM(OSRRefD25x_0)</f>
        <v>-37238.14</v>
      </c>
      <c r="E114" s="4"/>
      <c r="F114" s="12">
        <f t="shared" ref="F114:F117" si="85">IF(D$12=0,0,D114/D$12)</f>
        <v>-2.2257400713317183E-2</v>
      </c>
      <c r="G114" s="4"/>
      <c r="H114" s="4">
        <f>SUM(OSRRefH25x_0)</f>
        <v>10444.029999999999</v>
      </c>
      <c r="I114" s="4"/>
      <c r="J114" s="12">
        <f t="shared" ref="J114:J117" si="86">IF(H$12=0,0,H114/H$12)</f>
        <v>4.8517286214852882E-3</v>
      </c>
      <c r="K114" s="4"/>
      <c r="L114" s="4">
        <f t="shared" ref="L114:L117" si="87">+D114-H114</f>
        <v>-47682.17</v>
      </c>
      <c r="M114" s="4"/>
      <c r="N114" s="12">
        <f t="shared" ref="N114:N117" si="88">IF(H114=0,0,L114/H114)</f>
        <v>-4.565495311675666</v>
      </c>
      <c r="O114" s="10"/>
      <c r="P114" s="4">
        <f>SUM(OSRRefP25x_0)</f>
        <v>108810.67</v>
      </c>
      <c r="Q114" s="4"/>
      <c r="R114" s="12">
        <f t="shared" ref="R114:R117" si="89">IF(P$12=0,0,P114/P$12)</f>
        <v>2.3586187366903124E-2</v>
      </c>
      <c r="S114" s="4"/>
      <c r="T114" s="4">
        <f>SUM(OSRRefT25x_0)</f>
        <v>62571.96</v>
      </c>
      <c r="U114" s="4"/>
      <c r="V114" s="12">
        <f t="shared" ref="V114:V117" si="90">IF(T$12=0,0,T114/T$12)</f>
        <v>1.11116093647479E-2</v>
      </c>
      <c r="W114" s="4"/>
      <c r="X114" s="4">
        <f t="shared" ref="X114:X117" si="91">+P114-T114</f>
        <v>46238.71</v>
      </c>
      <c r="Y114" s="4"/>
      <c r="Z114" s="12">
        <f t="shared" ref="Z114:Z117" si="92">IF(T114=0,0,X114/T114)</f>
        <v>0.73896854118042654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-37707.24</f>
        <v>-37707.24</v>
      </c>
      <c r="E115" s="2"/>
      <c r="F115" s="19">
        <f t="shared" si="85"/>
        <v>-2.253778385475811E-2</v>
      </c>
      <c r="G115" s="2"/>
      <c r="H115" s="2">
        <f>--4436.53</f>
        <v>4436.53</v>
      </c>
      <c r="I115" s="2"/>
      <c r="J115" s="19">
        <f t="shared" si="86"/>
        <v>2.0609706771311576E-3</v>
      </c>
      <c r="K115" s="2"/>
      <c r="L115" s="2">
        <f t="shared" si="87"/>
        <v>-42143.77</v>
      </c>
      <c r="M115" s="2"/>
      <c r="N115" s="19">
        <f t="shared" si="88"/>
        <v>-9.4992640644828281</v>
      </c>
      <c r="O115" s="11"/>
      <c r="P115" s="2">
        <f>--16434.61</f>
        <v>16434.61</v>
      </c>
      <c r="Q115" s="2"/>
      <c r="R115" s="19">
        <f t="shared" si="89"/>
        <v>3.5624244457090446E-3</v>
      </c>
      <c r="S115" s="2"/>
      <c r="T115" s="2">
        <f>--52719.38</f>
        <v>52719.38</v>
      </c>
      <c r="U115" s="2"/>
      <c r="V115" s="19">
        <f t="shared" si="90"/>
        <v>9.3619755000754826E-3</v>
      </c>
      <c r="W115" s="2"/>
      <c r="X115" s="2">
        <f t="shared" si="91"/>
        <v>-36284.769999999997</v>
      </c>
      <c r="Y115" s="2"/>
      <c r="Z115" s="19">
        <f t="shared" si="92"/>
        <v>-0.68826245680430986</v>
      </c>
    </row>
    <row r="116" spans="1:26" s="24" customFormat="1" hidden="1" outlineLevel="1" x14ac:dyDescent="0.25">
      <c r="A116" s="44"/>
      <c r="B116" s="11" t="str">
        <f>CONCATENATE("          ", "9151", " - ", "MISC. INCOME")</f>
        <v xml:space="preserve">          9151 - MISC. INCOME</v>
      </c>
      <c r="C116" s="11"/>
      <c r="D116" s="2">
        <f>0</f>
        <v>0</v>
      </c>
      <c r="E116" s="2"/>
      <c r="F116" s="19">
        <f t="shared" si="85"/>
        <v>0</v>
      </c>
      <c r="G116" s="2"/>
      <c r="H116" s="2">
        <f>0</f>
        <v>0</v>
      </c>
      <c r="I116" s="2"/>
      <c r="J116" s="19">
        <f t="shared" si="86"/>
        <v>0</v>
      </c>
      <c r="K116" s="2"/>
      <c r="L116" s="2">
        <f t="shared" si="87"/>
        <v>0</v>
      </c>
      <c r="M116" s="2"/>
      <c r="N116" s="19">
        <f t="shared" si="88"/>
        <v>0</v>
      </c>
      <c r="O116" s="11"/>
      <c r="P116" s="2">
        <f>--87676.2</f>
        <v>87676.2</v>
      </c>
      <c r="Q116" s="2"/>
      <c r="R116" s="19">
        <f t="shared" si="89"/>
        <v>1.9005004571868472E-2</v>
      </c>
      <c r="S116" s="2"/>
      <c r="T116" s="2">
        <f>0</f>
        <v>0</v>
      </c>
      <c r="U116" s="2"/>
      <c r="V116" s="19">
        <f t="shared" si="90"/>
        <v>0</v>
      </c>
      <c r="W116" s="2"/>
      <c r="X116" s="2">
        <f t="shared" si="91"/>
        <v>87676.2</v>
      </c>
      <c r="Y116" s="2"/>
      <c r="Z116" s="19">
        <f t="shared" si="92"/>
        <v>0</v>
      </c>
    </row>
    <row r="117" spans="1:26" s="24" customFormat="1" hidden="1" outlineLevel="1" x14ac:dyDescent="0.25">
      <c r="A117" s="44"/>
      <c r="B117" s="11" t="str">
        <f>CONCATENATE("          ", "9152", " - ", "MISC. INCOME")</f>
        <v xml:space="preserve">          9152 - MISC. INCOME</v>
      </c>
      <c r="C117" s="11"/>
      <c r="D117" s="2">
        <f>--469.1</f>
        <v>469.1</v>
      </c>
      <c r="E117" s="2"/>
      <c r="F117" s="19">
        <f t="shared" si="85"/>
        <v>2.8038314144092835E-4</v>
      </c>
      <c r="G117" s="2"/>
      <c r="H117" s="2">
        <f>--6007.5</f>
        <v>6007.5</v>
      </c>
      <c r="I117" s="2"/>
      <c r="J117" s="19">
        <f t="shared" si="86"/>
        <v>2.7907579443541305E-3</v>
      </c>
      <c r="K117" s="2"/>
      <c r="L117" s="2">
        <f t="shared" si="87"/>
        <v>-5538.4</v>
      </c>
      <c r="M117" s="2"/>
      <c r="N117" s="19">
        <f t="shared" si="88"/>
        <v>-0.92191427382438618</v>
      </c>
      <c r="O117" s="11"/>
      <c r="P117" s="2">
        <f>--4699.86</f>
        <v>4699.8599999999997</v>
      </c>
      <c r="Q117" s="2"/>
      <c r="R117" s="19">
        <f t="shared" si="89"/>
        <v>1.0187583493256067E-3</v>
      </c>
      <c r="S117" s="2"/>
      <c r="T117" s="2">
        <f>--9852.58</f>
        <v>9852.58</v>
      </c>
      <c r="U117" s="2"/>
      <c r="V117" s="19">
        <f t="shared" si="90"/>
        <v>1.7496338646724166E-3</v>
      </c>
      <c r="W117" s="2"/>
      <c r="X117" s="2">
        <f t="shared" si="91"/>
        <v>-5152.72</v>
      </c>
      <c r="Y117" s="2"/>
      <c r="Z117" s="19">
        <f t="shared" si="92"/>
        <v>-0.5229817976611203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8" t="s">
        <v>3</v>
      </c>
      <c r="C119" s="28"/>
      <c r="D119" s="21">
        <f>+D60-D62+D114</f>
        <v>580687.98000000021</v>
      </c>
      <c r="E119" s="14"/>
      <c r="F119" s="22">
        <f>IF(D$12=0,0,D119/D$12)</f>
        <v>0.34707976983454913</v>
      </c>
      <c r="G119" s="14"/>
      <c r="H119" s="21">
        <f>+H60-H62+H114</f>
        <v>571427.7100000002</v>
      </c>
      <c r="I119" s="14"/>
      <c r="J119" s="22">
        <f>IF(H$12=0,0,H119/H$12)</f>
        <v>0.26545425240226195</v>
      </c>
      <c r="K119" s="16"/>
      <c r="L119" s="21">
        <f>+D119-H119</f>
        <v>9260.2700000000186</v>
      </c>
      <c r="M119" s="16"/>
      <c r="N119" s="22">
        <f>IF(H119=0,0,L119/H119)</f>
        <v>1.620549692978665E-2</v>
      </c>
      <c r="O119" s="29"/>
      <c r="P119" s="21">
        <f>+P60-P62+P114</f>
        <v>1256887.8699999978</v>
      </c>
      <c r="Q119" s="14"/>
      <c r="R119" s="22">
        <f>IF(P$12=0,0,P119/P$12)</f>
        <v>0.27244747965441002</v>
      </c>
      <c r="S119" s="14"/>
      <c r="T119" s="21">
        <f>+T60-T62+T114</f>
        <v>1188274.5899999996</v>
      </c>
      <c r="U119" s="14"/>
      <c r="V119" s="22">
        <f>IF(T$12=0,0,T119/T$12)</f>
        <v>0.21101533437878511</v>
      </c>
      <c r="W119" s="16"/>
      <c r="X119" s="21">
        <f>+P119-T119</f>
        <v>68613.279999998165</v>
      </c>
      <c r="Y119" s="16"/>
      <c r="Z119" s="22">
        <f>IF(T119=0,0,X119/T119)</f>
        <v>5.7741939933259184E-2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163534.04999999999</v>
      </c>
      <c r="E121" s="4"/>
      <c r="F121" s="12">
        <f>IF(D$12=0,0,D121/D$12)</f>
        <v>9.7745023814874946E-2</v>
      </c>
      <c r="G121" s="4"/>
      <c r="H121" s="4">
        <v>197587.99</v>
      </c>
      <c r="I121" s="4"/>
      <c r="J121" s="12">
        <f>IF(H$12=0,0,H121/H$12)</f>
        <v>9.1788639667326588E-2</v>
      </c>
      <c r="K121" s="4"/>
      <c r="L121" s="4">
        <f>+D121-H121</f>
        <v>-34053.94</v>
      </c>
      <c r="M121" s="4"/>
      <c r="N121" s="12">
        <f>IF(H121=0,0,L121/H121)</f>
        <v>-0.17234822825010773</v>
      </c>
      <c r="O121" s="10"/>
      <c r="P121" s="4">
        <v>481104.11</v>
      </c>
      <c r="Q121" s="4"/>
      <c r="R121" s="12">
        <f>IF(P$12=0,0,P121/P$12)</f>
        <v>0.10428583595199965</v>
      </c>
      <c r="S121" s="4"/>
      <c r="T121" s="4">
        <v>572979.75</v>
      </c>
      <c r="U121" s="4"/>
      <c r="V121" s="12">
        <f>IF(T$12=0,0,T121/T$12)</f>
        <v>0.10175048305840044</v>
      </c>
      <c r="W121" s="4"/>
      <c r="X121" s="4">
        <f>+P121-T121</f>
        <v>-91875.640000000014</v>
      </c>
      <c r="Y121" s="4"/>
      <c r="Z121" s="12">
        <f>IF(T121=0,0,X121/T121)</f>
        <v>-0.16034709778137887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4</v>
      </c>
      <c r="C123" s="28"/>
      <c r="D123" s="34">
        <f>+D119-D121</f>
        <v>417153.93000000023</v>
      </c>
      <c r="E123" s="14"/>
      <c r="F123" s="31">
        <f>IF(D$12=0,0,D123/D$12)</f>
        <v>0.2493347460196742</v>
      </c>
      <c r="G123" s="14"/>
      <c r="H123" s="34">
        <f>+H119-H121</f>
        <v>373839.7200000002</v>
      </c>
      <c r="I123" s="14"/>
      <c r="J123" s="31">
        <f>IF(H$12=0,0,H123/H$12)</f>
        <v>0.17366561273493539</v>
      </c>
      <c r="K123" s="16"/>
      <c r="L123" s="34">
        <f>D123-H123</f>
        <v>43314.210000000021</v>
      </c>
      <c r="M123" s="16"/>
      <c r="N123" s="31">
        <f>IF(H123=0,0,L123/H123)</f>
        <v>0.11586304954433413</v>
      </c>
      <c r="O123" s="29"/>
      <c r="P123" s="34">
        <f>+P119-P121</f>
        <v>775783.7599999978</v>
      </c>
      <c r="Q123" s="14"/>
      <c r="R123" s="31">
        <f>IF(P$12=0,0,P123/P$12)</f>
        <v>0.16816164370241035</v>
      </c>
      <c r="S123" s="14"/>
      <c r="T123" s="34">
        <f>+T119-T121</f>
        <v>615294.83999999962</v>
      </c>
      <c r="U123" s="14"/>
      <c r="V123" s="31">
        <f>IF(T$12=0,0,T123/T$12)</f>
        <v>0.10926485132038466</v>
      </c>
      <c r="W123" s="16"/>
      <c r="X123" s="34">
        <f>P123-T123</f>
        <v>160488.91999999818</v>
      </c>
      <c r="Y123" s="16"/>
      <c r="Z123" s="31">
        <f>IF(T123=0,0,X123/T123)</f>
        <v>0.26083254655605154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5</v>
      </c>
      <c r="C126" s="28"/>
      <c r="D126" s="30">
        <f>SUM(D123:D125)</f>
        <v>417153.93000000023</v>
      </c>
      <c r="E126" s="14"/>
      <c r="F126" s="33">
        <f>IF(D$12=0,0,D126/D$12)</f>
        <v>0.2493347460196742</v>
      </c>
      <c r="G126" s="14"/>
      <c r="H126" s="30">
        <f>SUM(H123:H125)</f>
        <v>373839.7200000002</v>
      </c>
      <c r="I126" s="14"/>
      <c r="J126" s="33">
        <f>IF(H$12=0,0,H126/H$12)</f>
        <v>0.17366561273493539</v>
      </c>
      <c r="K126" s="16"/>
      <c r="L126" s="30">
        <f>+D126-H126</f>
        <v>43314.210000000021</v>
      </c>
      <c r="M126" s="16"/>
      <c r="N126" s="33">
        <f>IF(H126=0,0,L126/H126)</f>
        <v>0.11586304954433413</v>
      </c>
      <c r="O126" s="29"/>
      <c r="P126" s="30">
        <f>SUM(P123:P125)</f>
        <v>775783.7599999978</v>
      </c>
      <c r="Q126" s="14"/>
      <c r="R126" s="33">
        <f>IF(P$12=0,0,P126/P$12)</f>
        <v>0.16816164370241035</v>
      </c>
      <c r="S126" s="14"/>
      <c r="T126" s="30">
        <f>SUM(T123:T125)</f>
        <v>615294.83999999962</v>
      </c>
      <c r="U126" s="14"/>
      <c r="V126" s="33">
        <f>IF(T$12=0,0,T126/T$12)</f>
        <v>0.10926485132038466</v>
      </c>
      <c r="W126" s="16"/>
      <c r="X126" s="30">
        <f>+P126-T126</f>
        <v>160488.91999999818</v>
      </c>
      <c r="Y126" s="16"/>
      <c r="Z126" s="33">
        <f>IF(T126=0,0,X126/T126)</f>
        <v>0.26083254655605154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61">
        <v>43879.5533502662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55" t="s">
        <v>313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8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","311", " - ", "Textbooks")</f>
        <v>Department 311 - Textbooks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1092908.1500000001</v>
      </c>
      <c r="E12" s="4"/>
      <c r="F12" s="12"/>
      <c r="G12" s="4"/>
      <c r="H12" s="4">
        <f>SUM(OSRRefH13x_0)</f>
        <v>1257133.9500000002</v>
      </c>
      <c r="I12" s="4"/>
      <c r="J12" s="12"/>
      <c r="K12" s="4"/>
      <c r="L12" s="4">
        <f t="shared" ref="L12:L39" si="0">+D12-H12</f>
        <v>-164225.80000000005</v>
      </c>
      <c r="M12" s="4"/>
      <c r="N12" s="12">
        <f t="shared" ref="N12:N39" si="1">IF(H12=0,0,L12/H12)</f>
        <v>-0.13063508467017379</v>
      </c>
      <c r="O12" s="10"/>
      <c r="P12" s="4">
        <f>SUM(OSRRefP13x_0)</f>
        <v>3130187.82</v>
      </c>
      <c r="Q12" s="4"/>
      <c r="R12" s="12"/>
      <c r="S12" s="4"/>
      <c r="T12" s="4">
        <f>SUM(OSRRefT13x_0)</f>
        <v>3658347.62</v>
      </c>
      <c r="U12" s="4"/>
      <c r="V12" s="12"/>
      <c r="W12" s="4"/>
      <c r="X12" s="4">
        <f t="shared" ref="X12:X39" si="2">+P12-T12</f>
        <v>-528159.80000000028</v>
      </c>
      <c r="Y12" s="4"/>
      <c r="Z12" s="12">
        <f t="shared" ref="Z12:Z39" si="3">IF(T12=0,0,X12/T12)</f>
        <v>-0.14437113551281391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--614719.15</f>
        <v>614719.15</v>
      </c>
      <c r="E13" s="2"/>
      <c r="F13" s="19"/>
      <c r="G13" s="2"/>
      <c r="H13" s="2">
        <f>--824680.12</f>
        <v>824680.12</v>
      </c>
      <c r="I13" s="2"/>
      <c r="J13" s="19"/>
      <c r="K13" s="2"/>
      <c r="L13" s="2">
        <f t="shared" si="0"/>
        <v>-209960.96999999997</v>
      </c>
      <c r="M13" s="2"/>
      <c r="N13" s="19">
        <f t="shared" si="1"/>
        <v>-0.25459686114417307</v>
      </c>
      <c r="O13" s="11"/>
      <c r="P13" s="2">
        <f>--1898269.92</f>
        <v>1898269.92</v>
      </c>
      <c r="Q13" s="2"/>
      <c r="R13" s="19"/>
      <c r="S13" s="2"/>
      <c r="T13" s="2">
        <f>--2389163.69</f>
        <v>2389163.69</v>
      </c>
      <c r="U13" s="2"/>
      <c r="V13" s="19"/>
      <c r="W13" s="2"/>
      <c r="X13" s="2">
        <f t="shared" si="2"/>
        <v>-490893.77</v>
      </c>
      <c r="Y13" s="2"/>
      <c r="Z13" s="19">
        <f t="shared" si="3"/>
        <v>-0.20546677988396853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--277674.65</f>
        <v>277674.65000000002</v>
      </c>
      <c r="E14" s="2"/>
      <c r="F14" s="19"/>
      <c r="G14" s="2"/>
      <c r="H14" s="2">
        <f>--229586.77</f>
        <v>229586.77</v>
      </c>
      <c r="I14" s="2"/>
      <c r="J14" s="19"/>
      <c r="K14" s="2"/>
      <c r="L14" s="2">
        <f t="shared" si="0"/>
        <v>48087.880000000034</v>
      </c>
      <c r="M14" s="2"/>
      <c r="N14" s="19">
        <f t="shared" si="1"/>
        <v>0.20945405521407021</v>
      </c>
      <c r="O14" s="11"/>
      <c r="P14" s="2">
        <f>--648207.53</f>
        <v>648207.53</v>
      </c>
      <c r="Q14" s="2"/>
      <c r="R14" s="19"/>
      <c r="S14" s="2"/>
      <c r="T14" s="2">
        <f>--603888.62</f>
        <v>603888.62</v>
      </c>
      <c r="U14" s="2"/>
      <c r="V14" s="19"/>
      <c r="W14" s="2"/>
      <c r="X14" s="2">
        <f t="shared" si="2"/>
        <v>44318.910000000033</v>
      </c>
      <c r="Y14" s="2"/>
      <c r="Z14" s="19">
        <f t="shared" si="3"/>
        <v>7.3389212070265594E-2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--15841.34</f>
        <v>15841.34</v>
      </c>
      <c r="E15" s="2"/>
      <c r="F15" s="19"/>
      <c r="G15" s="2"/>
      <c r="H15" s="2">
        <f>--4636.4</f>
        <v>4636.3999999999996</v>
      </c>
      <c r="I15" s="2"/>
      <c r="J15" s="19"/>
      <c r="K15" s="2"/>
      <c r="L15" s="2">
        <f t="shared" si="0"/>
        <v>11204.94</v>
      </c>
      <c r="M15" s="2"/>
      <c r="N15" s="19">
        <f t="shared" si="1"/>
        <v>2.416732809938746</v>
      </c>
      <c r="O15" s="11"/>
      <c r="P15" s="2">
        <f>--32272.01</f>
        <v>32272.01</v>
      </c>
      <c r="Q15" s="2"/>
      <c r="R15" s="19"/>
      <c r="S15" s="2"/>
      <c r="T15" s="2">
        <f>--14580.65</f>
        <v>14580.65</v>
      </c>
      <c r="U15" s="2"/>
      <c r="V15" s="19"/>
      <c r="W15" s="2"/>
      <c r="X15" s="2">
        <f t="shared" si="2"/>
        <v>17691.36</v>
      </c>
      <c r="Y15" s="2"/>
      <c r="Z15" s="19">
        <f t="shared" si="3"/>
        <v>1.2133450840668969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--10921.53</f>
        <v>10921.53</v>
      </c>
      <c r="E16" s="2"/>
      <c r="F16" s="19"/>
      <c r="G16" s="2"/>
      <c r="H16" s="2">
        <f>--25647.37</f>
        <v>25647.37</v>
      </c>
      <c r="I16" s="2"/>
      <c r="J16" s="19"/>
      <c r="K16" s="2"/>
      <c r="L16" s="2">
        <f t="shared" si="0"/>
        <v>-14725.839999999998</v>
      </c>
      <c r="M16" s="2"/>
      <c r="N16" s="19">
        <f t="shared" si="1"/>
        <v>-0.57416569418228847</v>
      </c>
      <c r="O16" s="11"/>
      <c r="P16" s="2">
        <f>--41201.41</f>
        <v>41201.410000000003</v>
      </c>
      <c r="Q16" s="2"/>
      <c r="R16" s="19"/>
      <c r="S16" s="2"/>
      <c r="T16" s="2">
        <f>--68329.47</f>
        <v>68329.47</v>
      </c>
      <c r="U16" s="2"/>
      <c r="V16" s="19"/>
      <c r="W16" s="2"/>
      <c r="X16" s="2">
        <f t="shared" si="2"/>
        <v>-27128.059999999998</v>
      </c>
      <c r="Y16" s="2"/>
      <c r="Z16" s="19">
        <f t="shared" si="3"/>
        <v>-0.39701844606726788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7.3900000000000006</v>
      </c>
      <c r="Y17" s="2"/>
      <c r="Z17" s="19">
        <f t="shared" si="3"/>
        <v>1.2675814751286449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--229.57</f>
        <v>229.57</v>
      </c>
      <c r="E18" s="2"/>
      <c r="F18" s="19"/>
      <c r="G18" s="2"/>
      <c r="H18" s="2">
        <f>--229.95</f>
        <v>229.95</v>
      </c>
      <c r="I18" s="2"/>
      <c r="J18" s="19"/>
      <c r="K18" s="2"/>
      <c r="L18" s="2">
        <f t="shared" si="0"/>
        <v>-0.37999999999999545</v>
      </c>
      <c r="M18" s="2"/>
      <c r="N18" s="19">
        <f t="shared" si="1"/>
        <v>-1.6525331593824548E-3</v>
      </c>
      <c r="O18" s="11"/>
      <c r="P18" s="2">
        <f>--1509.89</f>
        <v>1509.89</v>
      </c>
      <c r="Q18" s="2"/>
      <c r="R18" s="19"/>
      <c r="S18" s="2"/>
      <c r="T18" s="2">
        <f>--3009.14</f>
        <v>3009.14</v>
      </c>
      <c r="U18" s="2"/>
      <c r="V18" s="19"/>
      <c r="W18" s="2"/>
      <c r="X18" s="2">
        <f t="shared" si="2"/>
        <v>-1499.2499999999998</v>
      </c>
      <c r="Y18" s="2"/>
      <c r="Z18" s="19">
        <f t="shared" si="3"/>
        <v>-0.49823205301182394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--107.48</f>
        <v>107.48</v>
      </c>
      <c r="E19" s="2"/>
      <c r="F19" s="19"/>
      <c r="G19" s="2"/>
      <c r="H19" s="2">
        <f>--276.12</f>
        <v>276.12</v>
      </c>
      <c r="I19" s="2"/>
      <c r="J19" s="19"/>
      <c r="K19" s="2"/>
      <c r="L19" s="2">
        <f t="shared" si="0"/>
        <v>-168.64</v>
      </c>
      <c r="M19" s="2"/>
      <c r="N19" s="19">
        <f t="shared" si="1"/>
        <v>-0.61074894973200056</v>
      </c>
      <c r="O19" s="11"/>
      <c r="P19" s="2">
        <f>--1100.17</f>
        <v>1100.17</v>
      </c>
      <c r="Q19" s="2"/>
      <c r="R19" s="19"/>
      <c r="S19" s="2"/>
      <c r="T19" s="2">
        <f>--1486.56</f>
        <v>1486.56</v>
      </c>
      <c r="U19" s="2"/>
      <c r="V19" s="19"/>
      <c r="W19" s="2"/>
      <c r="X19" s="2">
        <f t="shared" si="2"/>
        <v>-386.38999999999987</v>
      </c>
      <c r="Y19" s="2"/>
      <c r="Z19" s="19">
        <f t="shared" si="3"/>
        <v>-0.2599222365730276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--737.51</f>
        <v>737.51</v>
      </c>
      <c r="E20" s="2"/>
      <c r="F20" s="19"/>
      <c r="G20" s="2"/>
      <c r="H20" s="2">
        <f>--861.8</f>
        <v>861.8</v>
      </c>
      <c r="I20" s="2"/>
      <c r="J20" s="19"/>
      <c r="K20" s="2"/>
      <c r="L20" s="2">
        <f t="shared" si="0"/>
        <v>-124.28999999999996</v>
      </c>
      <c r="M20" s="2"/>
      <c r="N20" s="19">
        <f t="shared" si="1"/>
        <v>-0.14422139707588763</v>
      </c>
      <c r="O20" s="11"/>
      <c r="P20" s="2">
        <f>--3627.9</f>
        <v>3627.9</v>
      </c>
      <c r="Q20" s="2"/>
      <c r="R20" s="19"/>
      <c r="S20" s="2"/>
      <c r="T20" s="2">
        <f>--5029.28</f>
        <v>5029.28</v>
      </c>
      <c r="U20" s="2"/>
      <c r="V20" s="19"/>
      <c r="W20" s="2"/>
      <c r="X20" s="2">
        <f t="shared" si="2"/>
        <v>-1401.3799999999997</v>
      </c>
      <c r="Y20" s="2"/>
      <c r="Z20" s="19">
        <f t="shared" si="3"/>
        <v>-0.27864425921801922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--37117.66</f>
        <v>37117.660000000003</v>
      </c>
      <c r="E21" s="2"/>
      <c r="F21" s="19"/>
      <c r="G21" s="2"/>
      <c r="H21" s="2">
        <f>--53494.81</f>
        <v>53494.81</v>
      </c>
      <c r="I21" s="2"/>
      <c r="J21" s="19"/>
      <c r="K21" s="2"/>
      <c r="L21" s="2">
        <f t="shared" si="0"/>
        <v>-16377.149999999994</v>
      </c>
      <c r="M21" s="2"/>
      <c r="N21" s="19">
        <f t="shared" si="1"/>
        <v>-0.30614465216345277</v>
      </c>
      <c r="O21" s="11"/>
      <c r="P21" s="2">
        <f>--132405.23</f>
        <v>132405.23000000001</v>
      </c>
      <c r="Q21" s="2"/>
      <c r="R21" s="19"/>
      <c r="S21" s="2"/>
      <c r="T21" s="2">
        <f>--247756.04</f>
        <v>247756.04</v>
      </c>
      <c r="U21" s="2"/>
      <c r="V21" s="19"/>
      <c r="W21" s="2"/>
      <c r="X21" s="2">
        <f t="shared" si="2"/>
        <v>-115350.81</v>
      </c>
      <c r="Y21" s="2"/>
      <c r="Z21" s="19">
        <f t="shared" si="3"/>
        <v>-0.46558223161784468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--28414.21</f>
        <v>28414.21</v>
      </c>
      <c r="E22" s="2"/>
      <c r="F22" s="19"/>
      <c r="G22" s="2"/>
      <c r="H22" s="2">
        <f>--27386.23</f>
        <v>27386.23</v>
      </c>
      <c r="I22" s="2"/>
      <c r="J22" s="19"/>
      <c r="K22" s="2"/>
      <c r="L22" s="2">
        <f t="shared" si="0"/>
        <v>1027.9799999999996</v>
      </c>
      <c r="M22" s="2"/>
      <c r="N22" s="19">
        <f t="shared" si="1"/>
        <v>3.7536382335210054E-2</v>
      </c>
      <c r="O22" s="11"/>
      <c r="P22" s="2">
        <f>--66616.8</f>
        <v>66616.800000000003</v>
      </c>
      <c r="Q22" s="2"/>
      <c r="R22" s="19"/>
      <c r="S22" s="2"/>
      <c r="T22" s="2">
        <f>--81341.89</f>
        <v>81341.89</v>
      </c>
      <c r="U22" s="2"/>
      <c r="V22" s="19"/>
      <c r="W22" s="2"/>
      <c r="X22" s="2">
        <f t="shared" si="2"/>
        <v>-14725.089999999997</v>
      </c>
      <c r="Y22" s="2"/>
      <c r="Z22" s="19">
        <f t="shared" si="3"/>
        <v>-0.18102714357878821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--334.99</f>
        <v>334.99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334.99</v>
      </c>
      <c r="M23" s="2"/>
      <c r="N23" s="19">
        <f t="shared" si="1"/>
        <v>0</v>
      </c>
      <c r="O23" s="11"/>
      <c r="P23" s="2">
        <f>--664.97</f>
        <v>664.97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155.12</v>
      </c>
      <c r="Y23" s="2"/>
      <c r="Z23" s="19">
        <f t="shared" si="3"/>
        <v>0.30424634696479358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--169179.13</f>
        <v>169179.13</v>
      </c>
      <c r="E24" s="2"/>
      <c r="F24" s="19"/>
      <c r="G24" s="2"/>
      <c r="H24" s="2">
        <f>--168068.46</f>
        <v>168068.46</v>
      </c>
      <c r="I24" s="2"/>
      <c r="J24" s="19"/>
      <c r="K24" s="2"/>
      <c r="L24" s="2">
        <f t="shared" si="0"/>
        <v>1110.6700000000128</v>
      </c>
      <c r="M24" s="2"/>
      <c r="N24" s="19">
        <f t="shared" si="1"/>
        <v>6.6084380138903684E-3</v>
      </c>
      <c r="O24" s="11"/>
      <c r="P24" s="2">
        <f>--502067.96</f>
        <v>502067.96</v>
      </c>
      <c r="Q24" s="2"/>
      <c r="R24" s="19"/>
      <c r="S24" s="2"/>
      <c r="T24" s="2">
        <f>--509033.58</f>
        <v>509033.58</v>
      </c>
      <c r="U24" s="2"/>
      <c r="V24" s="19"/>
      <c r="W24" s="2"/>
      <c r="X24" s="2">
        <f t="shared" si="2"/>
        <v>-6965.6199999999953</v>
      </c>
      <c r="Y24" s="2"/>
      <c r="Z24" s="19">
        <f t="shared" si="3"/>
        <v>-1.3684008823150715E-2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--4684.53</f>
        <v>4684.53</v>
      </c>
      <c r="E25" s="2"/>
      <c r="F25" s="19"/>
      <c r="G25" s="2"/>
      <c r="H25" s="2">
        <f>--3767.61</f>
        <v>3767.61</v>
      </c>
      <c r="I25" s="2"/>
      <c r="J25" s="19"/>
      <c r="K25" s="2"/>
      <c r="L25" s="2">
        <f t="shared" si="0"/>
        <v>916.91999999999962</v>
      </c>
      <c r="M25" s="2"/>
      <c r="N25" s="19">
        <f t="shared" si="1"/>
        <v>0.24336913852548422</v>
      </c>
      <c r="O25" s="11"/>
      <c r="P25" s="2">
        <f>--12708.5</f>
        <v>12708.5</v>
      </c>
      <c r="Q25" s="2"/>
      <c r="R25" s="19"/>
      <c r="S25" s="2"/>
      <c r="T25" s="2">
        <f>--14922.09</f>
        <v>14922.09</v>
      </c>
      <c r="U25" s="2"/>
      <c r="V25" s="19"/>
      <c r="W25" s="2"/>
      <c r="X25" s="2">
        <f t="shared" si="2"/>
        <v>-2213.59</v>
      </c>
      <c r="Y25" s="2"/>
      <c r="Z25" s="19">
        <f t="shared" si="3"/>
        <v>-0.14834316104513512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ref="D26:D27" si="4"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--1146.72</f>
        <v>1146.72</v>
      </c>
      <c r="Q26" s="2"/>
      <c r="R26" s="19"/>
      <c r="S26" s="2"/>
      <c r="T26" s="2">
        <f>--38.23</f>
        <v>38.229999999999997</v>
      </c>
      <c r="U26" s="2"/>
      <c r="V26" s="19"/>
      <c r="W26" s="2"/>
      <c r="X26" s="2">
        <f t="shared" si="2"/>
        <v>1108.49</v>
      </c>
      <c r="Y26" s="2"/>
      <c r="Z26" s="19">
        <f t="shared" si="3"/>
        <v>28.995291655767723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4"/>
        <v>0</v>
      </c>
      <c r="E27" s="2"/>
      <c r="F27" s="19"/>
      <c r="G27" s="2"/>
      <c r="H27" s="2">
        <f>--87.71</f>
        <v>87.71</v>
      </c>
      <c r="I27" s="2"/>
      <c r="J27" s="19"/>
      <c r="K27" s="2"/>
      <c r="L27" s="2">
        <f t="shared" si="0"/>
        <v>-87.71</v>
      </c>
      <c r="M27" s="2"/>
      <c r="N27" s="19">
        <f t="shared" si="1"/>
        <v>-1</v>
      </c>
      <c r="O27" s="11"/>
      <c r="P27" s="2">
        <f>--41.91</f>
        <v>41.91</v>
      </c>
      <c r="Q27" s="2"/>
      <c r="R27" s="19"/>
      <c r="S27" s="2"/>
      <c r="T27" s="2">
        <f>--220.35</f>
        <v>220.35</v>
      </c>
      <c r="U27" s="2"/>
      <c r="V27" s="19"/>
      <c r="W27" s="2"/>
      <c r="X27" s="2">
        <f t="shared" si="2"/>
        <v>-178.44</v>
      </c>
      <c r="Y27" s="2"/>
      <c r="Z27" s="19">
        <f t="shared" si="3"/>
        <v>-0.80980258679373729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-37895.48</f>
        <v>-37895.480000000003</v>
      </c>
      <c r="E28" s="2"/>
      <c r="F28" s="19"/>
      <c r="G28" s="2"/>
      <c r="H28" s="2">
        <f>-52388.4</f>
        <v>-52388.4</v>
      </c>
      <c r="I28" s="2"/>
      <c r="J28" s="19"/>
      <c r="K28" s="2"/>
      <c r="L28" s="2">
        <f t="shared" si="0"/>
        <v>14492.919999999998</v>
      </c>
      <c r="M28" s="2"/>
      <c r="N28" s="19">
        <f t="shared" si="1"/>
        <v>-0.27664368447977028</v>
      </c>
      <c r="O28" s="11"/>
      <c r="P28" s="2">
        <f>-116625.85</f>
        <v>-116625.85</v>
      </c>
      <c r="Q28" s="2"/>
      <c r="R28" s="19"/>
      <c r="S28" s="2"/>
      <c r="T28" s="2">
        <f>-166409.27</f>
        <v>-166409.26999999999</v>
      </c>
      <c r="U28" s="2"/>
      <c r="V28" s="19"/>
      <c r="W28" s="2"/>
      <c r="X28" s="2">
        <f t="shared" si="2"/>
        <v>49783.419999999984</v>
      </c>
      <c r="Y28" s="2"/>
      <c r="Z28" s="19">
        <f t="shared" si="3"/>
        <v>-0.29916254064452052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-16170.8</f>
        <v>-16170.8</v>
      </c>
      <c r="E29" s="2"/>
      <c r="F29" s="19"/>
      <c r="G29" s="2"/>
      <c r="H29" s="2">
        <f>-12515.4</f>
        <v>-12515.4</v>
      </c>
      <c r="I29" s="2"/>
      <c r="J29" s="19"/>
      <c r="K29" s="2"/>
      <c r="L29" s="2">
        <f t="shared" si="0"/>
        <v>-3655.3999999999996</v>
      </c>
      <c r="M29" s="2"/>
      <c r="N29" s="19">
        <f t="shared" si="1"/>
        <v>0.29207216709014494</v>
      </c>
      <c r="O29" s="11"/>
      <c r="P29" s="2">
        <f>-43379.15</f>
        <v>-43379.15</v>
      </c>
      <c r="Q29" s="2"/>
      <c r="R29" s="19"/>
      <c r="S29" s="2"/>
      <c r="T29" s="2">
        <f>-42477.35</f>
        <v>-42477.35</v>
      </c>
      <c r="U29" s="2"/>
      <c r="V29" s="19"/>
      <c r="W29" s="2"/>
      <c r="X29" s="2">
        <f t="shared" si="2"/>
        <v>-901.80000000000291</v>
      </c>
      <c r="Y29" s="2"/>
      <c r="Z29" s="19">
        <f t="shared" si="3"/>
        <v>2.1230137944104398E-2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-4891.98</f>
        <v>-4891.9799999999996</v>
      </c>
      <c r="E31" s="2"/>
      <c r="F31" s="19"/>
      <c r="G31" s="2"/>
      <c r="H31" s="2">
        <f>-9964.33</f>
        <v>-9964.33</v>
      </c>
      <c r="I31" s="2"/>
      <c r="J31" s="19"/>
      <c r="K31" s="2"/>
      <c r="L31" s="2">
        <f t="shared" si="0"/>
        <v>5072.3500000000004</v>
      </c>
      <c r="M31" s="2"/>
      <c r="N31" s="19">
        <f t="shared" si="1"/>
        <v>-0.50905078414705263</v>
      </c>
      <c r="O31" s="11"/>
      <c r="P31" s="2">
        <f>-16261.44</f>
        <v>-16261.44</v>
      </c>
      <c r="Q31" s="2"/>
      <c r="R31" s="19"/>
      <c r="S31" s="2"/>
      <c r="T31" s="2">
        <f>-26008.18</f>
        <v>-26008.18</v>
      </c>
      <c r="U31" s="2"/>
      <c r="V31" s="19"/>
      <c r="W31" s="2"/>
      <c r="X31" s="2">
        <f t="shared" si="2"/>
        <v>9746.74</v>
      </c>
      <c r="Y31" s="2"/>
      <c r="Z31" s="19">
        <f t="shared" si="3"/>
        <v>-0.37475671115779724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-13.95</f>
        <v>-13.95</v>
      </c>
      <c r="E32" s="2"/>
      <c r="F32" s="19"/>
      <c r="G32" s="2"/>
      <c r="H32" s="2">
        <f>-24.94</f>
        <v>-24.94</v>
      </c>
      <c r="I32" s="2"/>
      <c r="J32" s="19"/>
      <c r="K32" s="2"/>
      <c r="L32" s="2">
        <f t="shared" si="0"/>
        <v>10.990000000000002</v>
      </c>
      <c r="M32" s="2"/>
      <c r="N32" s="19">
        <f t="shared" si="1"/>
        <v>-0.44065757818765044</v>
      </c>
      <c r="O32" s="11"/>
      <c r="P32" s="2">
        <f>-116.66</f>
        <v>-116.66</v>
      </c>
      <c r="Q32" s="2"/>
      <c r="R32" s="19"/>
      <c r="S32" s="2"/>
      <c r="T32" s="2">
        <f>-121.9</f>
        <v>-121.9</v>
      </c>
      <c r="U32" s="2"/>
      <c r="V32" s="19"/>
      <c r="W32" s="2"/>
      <c r="X32" s="2">
        <f t="shared" si="2"/>
        <v>5.2400000000000091</v>
      </c>
      <c r="Y32" s="2"/>
      <c r="Z32" s="19">
        <f t="shared" si="3"/>
        <v>-4.2986054142740024E-2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-11.94</f>
        <v>-11.94</v>
      </c>
      <c r="Q33" s="2"/>
      <c r="R33" s="19"/>
      <c r="S33" s="2"/>
      <c r="T33" s="2">
        <f>-3.95</f>
        <v>-3.95</v>
      </c>
      <c r="U33" s="2"/>
      <c r="V33" s="19"/>
      <c r="W33" s="2"/>
      <c r="X33" s="2">
        <f t="shared" si="2"/>
        <v>-7.9899999999999993</v>
      </c>
      <c r="Y33" s="2"/>
      <c r="Z33" s="19">
        <f t="shared" si="3"/>
        <v>2.022784810126582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-6.5</f>
        <v>-6.5</v>
      </c>
      <c r="E34" s="2"/>
      <c r="F34" s="19"/>
      <c r="G34" s="2"/>
      <c r="H34" s="2">
        <f>-20.85</f>
        <v>-20.85</v>
      </c>
      <c r="I34" s="2"/>
      <c r="J34" s="19"/>
      <c r="K34" s="2"/>
      <c r="L34" s="2">
        <f t="shared" si="0"/>
        <v>14.350000000000001</v>
      </c>
      <c r="M34" s="2"/>
      <c r="N34" s="19">
        <f t="shared" si="1"/>
        <v>-0.68824940047961636</v>
      </c>
      <c r="O34" s="11"/>
      <c r="P34" s="2">
        <f>-39.25</f>
        <v>-39.25</v>
      </c>
      <c r="Q34" s="2"/>
      <c r="R34" s="19"/>
      <c r="S34" s="2"/>
      <c r="T34" s="2">
        <f>-60.65</f>
        <v>-60.65</v>
      </c>
      <c r="U34" s="2"/>
      <c r="V34" s="19"/>
      <c r="W34" s="2"/>
      <c r="X34" s="2">
        <f t="shared" si="2"/>
        <v>21.4</v>
      </c>
      <c r="Y34" s="2"/>
      <c r="Z34" s="19">
        <f t="shared" si="3"/>
        <v>-0.3528441879637263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-2910.64</f>
        <v>-2910.64</v>
      </c>
      <c r="E35" s="2"/>
      <c r="F35" s="19"/>
      <c r="G35" s="2"/>
      <c r="H35" s="2">
        <f>-4939.03</f>
        <v>-4939.03</v>
      </c>
      <c r="I35" s="2"/>
      <c r="J35" s="19"/>
      <c r="K35" s="2"/>
      <c r="L35" s="2">
        <f t="shared" si="0"/>
        <v>2028.3899999999999</v>
      </c>
      <c r="M35" s="2"/>
      <c r="N35" s="19">
        <f t="shared" si="1"/>
        <v>-0.41068590391230664</v>
      </c>
      <c r="O35" s="11"/>
      <c r="P35" s="2">
        <f>-15221.62</f>
        <v>-15221.62</v>
      </c>
      <c r="Q35" s="2"/>
      <c r="R35" s="19"/>
      <c r="S35" s="2"/>
      <c r="T35" s="2">
        <f>-35074.1</f>
        <v>-35074.1</v>
      </c>
      <c r="U35" s="2"/>
      <c r="V35" s="19"/>
      <c r="W35" s="2"/>
      <c r="X35" s="2">
        <f t="shared" si="2"/>
        <v>19852.479999999996</v>
      </c>
      <c r="Y35" s="2"/>
      <c r="Z35" s="19">
        <f t="shared" si="3"/>
        <v>-0.56601537886930808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-614.47</f>
        <v>-614.47</v>
      </c>
      <c r="E36" s="2"/>
      <c r="F36" s="19"/>
      <c r="G36" s="2"/>
      <c r="H36" s="2">
        <f>-1055.72</f>
        <v>-1055.72</v>
      </c>
      <c r="I36" s="2"/>
      <c r="J36" s="19"/>
      <c r="K36" s="2"/>
      <c r="L36" s="2">
        <f t="shared" si="0"/>
        <v>441.25</v>
      </c>
      <c r="M36" s="2"/>
      <c r="N36" s="19">
        <f t="shared" si="1"/>
        <v>-0.41796120183381957</v>
      </c>
      <c r="O36" s="11"/>
      <c r="P36" s="2">
        <f>-1312.37</f>
        <v>-1312.37</v>
      </c>
      <c r="Q36" s="2"/>
      <c r="R36" s="19"/>
      <c r="S36" s="2"/>
      <c r="T36" s="2">
        <f>-3569.16</f>
        <v>-3569.16</v>
      </c>
      <c r="U36" s="2"/>
      <c r="V36" s="19"/>
      <c r="W36" s="2"/>
      <c r="X36" s="2">
        <f t="shared" si="2"/>
        <v>2256.79</v>
      </c>
      <c r="Y36" s="2"/>
      <c r="Z36" s="19">
        <f t="shared" si="3"/>
        <v>-0.63230283876318238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-4312.43</f>
        <v>-4312.43</v>
      </c>
      <c r="E38" s="2"/>
      <c r="F38" s="19"/>
      <c r="G38" s="2"/>
      <c r="H38" s="2">
        <f>-540.96</f>
        <v>-540.96</v>
      </c>
      <c r="I38" s="2"/>
      <c r="J38" s="19"/>
      <c r="K38" s="2"/>
      <c r="L38" s="2">
        <f t="shared" si="0"/>
        <v>-3771.4700000000003</v>
      </c>
      <c r="M38" s="2"/>
      <c r="N38" s="19">
        <f t="shared" si="1"/>
        <v>6.9718093759242832</v>
      </c>
      <c r="O38" s="11"/>
      <c r="P38" s="2">
        <f>-17742.75</f>
        <v>-17742.75</v>
      </c>
      <c r="Q38" s="2"/>
      <c r="R38" s="19"/>
      <c r="S38" s="2"/>
      <c r="T38" s="2">
        <f>-4284.71</f>
        <v>-4284.71</v>
      </c>
      <c r="U38" s="2"/>
      <c r="V38" s="19"/>
      <c r="W38" s="2"/>
      <c r="X38" s="2">
        <f t="shared" si="2"/>
        <v>-13458.04</v>
      </c>
      <c r="Y38" s="2"/>
      <c r="Z38" s="19">
        <f t="shared" si="3"/>
        <v>3.1409453615297185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-237.35</f>
        <v>-237.35</v>
      </c>
      <c r="E39" s="2"/>
      <c r="F39" s="19"/>
      <c r="G39" s="2"/>
      <c r="H39" s="2">
        <f>-139.77</f>
        <v>-139.77000000000001</v>
      </c>
      <c r="I39" s="2"/>
      <c r="J39" s="19"/>
      <c r="K39" s="2"/>
      <c r="L39" s="2">
        <f t="shared" si="0"/>
        <v>-97.579999999999984</v>
      </c>
      <c r="M39" s="2"/>
      <c r="N39" s="19">
        <f t="shared" si="1"/>
        <v>0.69814695571295682</v>
      </c>
      <c r="O39" s="11"/>
      <c r="P39" s="2">
        <f>-625.31</f>
        <v>-625.30999999999995</v>
      </c>
      <c r="Q39" s="2"/>
      <c r="R39" s="19"/>
      <c r="S39" s="2"/>
      <c r="T39" s="2">
        <f>-749.03</f>
        <v>-749.03</v>
      </c>
      <c r="U39" s="2"/>
      <c r="V39" s="19"/>
      <c r="W39" s="2"/>
      <c r="X39" s="2">
        <f t="shared" si="2"/>
        <v>123.72000000000003</v>
      </c>
      <c r="Y39" s="2"/>
      <c r="Z39" s="19">
        <f t="shared" si="3"/>
        <v>-0.16517362455442378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571532.92000000016</v>
      </c>
      <c r="E41" s="4"/>
      <c r="F41" s="12">
        <f t="shared" ref="F41:F57" si="5">IF(D$12=0,0,D41/D$12)</f>
        <v>0.52294689174017051</v>
      </c>
      <c r="G41" s="4"/>
      <c r="H41" s="4">
        <f>SUM(OSRRefH16x_0)</f>
        <v>854251.79999999993</v>
      </c>
      <c r="I41" s="4"/>
      <c r="J41" s="12">
        <f t="shared" ref="J41:J57" si="6">IF(H$12=0,0,H41/H$12)</f>
        <v>0.67952329184968696</v>
      </c>
      <c r="K41" s="4"/>
      <c r="L41" s="4">
        <f t="shared" ref="L41:L57" si="7">+D41-H41</f>
        <v>-282718.87999999977</v>
      </c>
      <c r="M41" s="4"/>
      <c r="N41" s="12">
        <f t="shared" ref="N41:N57" si="8">IF(H41=0,0,L41/H41)</f>
        <v>-0.33095497135622048</v>
      </c>
      <c r="O41" s="10"/>
      <c r="P41" s="4">
        <f>SUM(OSRRefP16x_0)</f>
        <v>2056937.1099999999</v>
      </c>
      <c r="Q41" s="4"/>
      <c r="R41" s="12">
        <f t="shared" ref="R41:R57" si="9">IF(P$12=0,0,P41/P$12)</f>
        <v>0.65712897381346269</v>
      </c>
      <c r="S41" s="4"/>
      <c r="T41" s="4">
        <f>SUM(OSRRefT16x_0)</f>
        <v>2625804.8600000003</v>
      </c>
      <c r="U41" s="4"/>
      <c r="V41" s="12">
        <f t="shared" ref="V41:V57" si="10">IF(T$12=0,0,T41/T$12)</f>
        <v>0.71775706760201219</v>
      </c>
      <c r="W41" s="4"/>
      <c r="X41" s="4">
        <f t="shared" ref="X41:X57" si="11">+P41-T41</f>
        <v>-568867.75000000047</v>
      </c>
      <c r="Y41" s="4"/>
      <c r="Z41" s="12">
        <f t="shared" ref="Z41:Z57" si="12">IF(T41=0,0,X41/T41)</f>
        <v>-0.21664509753401873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739345.02</v>
      </c>
      <c r="E42" s="2"/>
      <c r="F42" s="19">
        <f t="shared" si="5"/>
        <v>0.67649328079399895</v>
      </c>
      <c r="G42" s="2"/>
      <c r="H42" s="2">
        <v>530708.66999999993</v>
      </c>
      <c r="I42" s="2"/>
      <c r="J42" s="19">
        <f t="shared" si="6"/>
        <v>0.42215761494628307</v>
      </c>
      <c r="K42" s="2"/>
      <c r="L42" s="2">
        <f t="shared" si="7"/>
        <v>208636.35000000009</v>
      </c>
      <c r="M42" s="2"/>
      <c r="N42" s="19">
        <f t="shared" si="8"/>
        <v>0.39312783414674596</v>
      </c>
      <c r="O42" s="11"/>
      <c r="P42" s="2">
        <v>2174334.31</v>
      </c>
      <c r="Q42" s="2"/>
      <c r="R42" s="19">
        <f t="shared" si="9"/>
        <v>0.69463381593504514</v>
      </c>
      <c r="S42" s="2"/>
      <c r="T42" s="2">
        <v>2331163.5300000003</v>
      </c>
      <c r="U42" s="2"/>
      <c r="V42" s="19">
        <f t="shared" si="10"/>
        <v>0.63721761082944883</v>
      </c>
      <c r="W42" s="2"/>
      <c r="X42" s="2">
        <f t="shared" si="11"/>
        <v>-156829.2200000002</v>
      </c>
      <c r="Y42" s="2"/>
      <c r="Z42" s="19">
        <f t="shared" si="12"/>
        <v>-6.727508301401755E-2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-21642.639999999999</v>
      </c>
      <c r="E43" s="2"/>
      <c r="F43" s="19">
        <f t="shared" si="5"/>
        <v>-1.9802798615784864E-2</v>
      </c>
      <c r="G43" s="2"/>
      <c r="H43" s="2">
        <v>-229283.71000000002</v>
      </c>
      <c r="I43" s="2"/>
      <c r="J43" s="19">
        <f t="shared" si="6"/>
        <v>-0.18238606156487938</v>
      </c>
      <c r="K43" s="2"/>
      <c r="L43" s="2">
        <f t="shared" si="7"/>
        <v>207641.07</v>
      </c>
      <c r="M43" s="2"/>
      <c r="N43" s="19">
        <f t="shared" si="8"/>
        <v>-0.90560759855115736</v>
      </c>
      <c r="O43" s="11"/>
      <c r="P43" s="2">
        <v>-136150.99</v>
      </c>
      <c r="Q43" s="2"/>
      <c r="R43" s="19">
        <f t="shared" si="9"/>
        <v>-4.3496108805381524E-2</v>
      </c>
      <c r="S43" s="2"/>
      <c r="T43" s="2">
        <v>-411503.01999999996</v>
      </c>
      <c r="U43" s="2"/>
      <c r="V43" s="19">
        <f t="shared" si="10"/>
        <v>-0.11248330195587043</v>
      </c>
      <c r="W43" s="2"/>
      <c r="X43" s="2">
        <f t="shared" si="11"/>
        <v>275352.02999999997</v>
      </c>
      <c r="Y43" s="2"/>
      <c r="Z43" s="19">
        <f t="shared" si="12"/>
        <v>-0.66913732492169797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5"/>
        <v>0</v>
      </c>
      <c r="G44" s="2"/>
      <c r="H44" s="2">
        <v>45275.65</v>
      </c>
      <c r="I44" s="2"/>
      <c r="J44" s="19">
        <f t="shared" si="6"/>
        <v>3.6014976765204688E-2</v>
      </c>
      <c r="K44" s="2"/>
      <c r="L44" s="2">
        <f t="shared" si="7"/>
        <v>-45275.65</v>
      </c>
      <c r="M44" s="2"/>
      <c r="N44" s="19">
        <f t="shared" si="8"/>
        <v>-1</v>
      </c>
      <c r="O44" s="11"/>
      <c r="P44" s="2">
        <v>-78.400000000000006</v>
      </c>
      <c r="Q44" s="2"/>
      <c r="R44" s="19">
        <f t="shared" si="9"/>
        <v>-2.5046420377420039E-5</v>
      </c>
      <c r="S44" s="2"/>
      <c r="T44" s="2">
        <v>53419.4</v>
      </c>
      <c r="U44" s="2"/>
      <c r="V44" s="19">
        <f t="shared" si="10"/>
        <v>1.4602056870691802E-2</v>
      </c>
      <c r="W44" s="2"/>
      <c r="X44" s="2">
        <f t="shared" si="11"/>
        <v>-53497.8</v>
      </c>
      <c r="Y44" s="2"/>
      <c r="Z44" s="19">
        <f t="shared" si="12"/>
        <v>-1.0014676316094901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119541.49999999999</v>
      </c>
      <c r="E45" s="2"/>
      <c r="F45" s="19">
        <f t="shared" si="5"/>
        <v>0.10937927400394989</v>
      </c>
      <c r="G45" s="2"/>
      <c r="H45" s="2">
        <v>121328.07999999999</v>
      </c>
      <c r="I45" s="2"/>
      <c r="J45" s="19">
        <f t="shared" si="6"/>
        <v>9.6511656534293722E-2</v>
      </c>
      <c r="K45" s="2"/>
      <c r="L45" s="2">
        <f t="shared" si="7"/>
        <v>-1786.5800000000017</v>
      </c>
      <c r="M45" s="2"/>
      <c r="N45" s="19">
        <f t="shared" si="8"/>
        <v>-1.4725197992088905E-2</v>
      </c>
      <c r="O45" s="11"/>
      <c r="P45" s="2">
        <v>473893.77</v>
      </c>
      <c r="Q45" s="2"/>
      <c r="R45" s="19">
        <f t="shared" si="9"/>
        <v>0.15139467573546433</v>
      </c>
      <c r="S45" s="2"/>
      <c r="T45" s="2">
        <v>453923.02</v>
      </c>
      <c r="U45" s="2"/>
      <c r="V45" s="19">
        <f t="shared" si="10"/>
        <v>0.1240787008644083</v>
      </c>
      <c r="W45" s="2"/>
      <c r="X45" s="2">
        <f t="shared" si="11"/>
        <v>19970.75</v>
      </c>
      <c r="Y45" s="2"/>
      <c r="Z45" s="19">
        <f t="shared" si="12"/>
        <v>4.3995896044223534E-2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573</v>
      </c>
      <c r="E46" s="2"/>
      <c r="F46" s="19">
        <f t="shared" si="5"/>
        <v>5.2428925523155805E-4</v>
      </c>
      <c r="G46" s="2"/>
      <c r="H46" s="2">
        <v>357</v>
      </c>
      <c r="I46" s="2"/>
      <c r="J46" s="19">
        <f t="shared" si="6"/>
        <v>2.8397928478504614E-4</v>
      </c>
      <c r="K46" s="2"/>
      <c r="L46" s="2">
        <f t="shared" si="7"/>
        <v>216</v>
      </c>
      <c r="M46" s="2"/>
      <c r="N46" s="19">
        <f t="shared" si="8"/>
        <v>0.60504201680672265</v>
      </c>
      <c r="O46" s="11"/>
      <c r="P46" s="2">
        <v>5475</v>
      </c>
      <c r="Q46" s="2"/>
      <c r="R46" s="19">
        <f t="shared" si="9"/>
        <v>1.7490963209996773E-3</v>
      </c>
      <c r="S46" s="2"/>
      <c r="T46" s="2">
        <v>2931</v>
      </c>
      <c r="U46" s="2"/>
      <c r="V46" s="19">
        <f t="shared" si="10"/>
        <v>8.0118138144564838E-4</v>
      </c>
      <c r="W46" s="2"/>
      <c r="X46" s="2">
        <f t="shared" si="11"/>
        <v>2544</v>
      </c>
      <c r="Y46" s="2"/>
      <c r="Z46" s="19">
        <f t="shared" si="12"/>
        <v>0.86796315250767653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-276.85000000000002</v>
      </c>
      <c r="E47" s="2"/>
      <c r="F47" s="19">
        <f t="shared" si="5"/>
        <v>-2.5331497436449711E-4</v>
      </c>
      <c r="G47" s="2"/>
      <c r="H47" s="2">
        <v>-29.05</v>
      </c>
      <c r="I47" s="2"/>
      <c r="J47" s="19">
        <f t="shared" si="6"/>
        <v>-2.3108118271724343E-5</v>
      </c>
      <c r="K47" s="2"/>
      <c r="L47" s="2">
        <f t="shared" si="7"/>
        <v>-247.8</v>
      </c>
      <c r="M47" s="2"/>
      <c r="N47" s="19">
        <f t="shared" si="8"/>
        <v>8.5301204819277103</v>
      </c>
      <c r="O47" s="11"/>
      <c r="P47" s="2">
        <v>458.46</v>
      </c>
      <c r="Q47" s="2"/>
      <c r="R47" s="19">
        <f t="shared" si="9"/>
        <v>1.464640546713264E-4</v>
      </c>
      <c r="S47" s="2"/>
      <c r="T47" s="2">
        <v>1377.89</v>
      </c>
      <c r="U47" s="2"/>
      <c r="V47" s="19">
        <f t="shared" si="10"/>
        <v>3.7664272046405479E-4</v>
      </c>
      <c r="W47" s="2"/>
      <c r="X47" s="2">
        <f t="shared" si="11"/>
        <v>-919.43000000000006</v>
      </c>
      <c r="Y47" s="2"/>
      <c r="Z47" s="19">
        <f t="shared" si="12"/>
        <v>-0.66727387527306248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69.599999999999994</v>
      </c>
      <c r="E48" s="2"/>
      <c r="F48" s="19">
        <f t="shared" si="5"/>
        <v>6.3683302206136885E-5</v>
      </c>
      <c r="G48" s="2"/>
      <c r="H48" s="2">
        <v>166.6</v>
      </c>
      <c r="I48" s="2"/>
      <c r="J48" s="19">
        <f t="shared" si="6"/>
        <v>1.3252366623302153E-4</v>
      </c>
      <c r="K48" s="2"/>
      <c r="L48" s="2">
        <f t="shared" si="7"/>
        <v>-97</v>
      </c>
      <c r="M48" s="2"/>
      <c r="N48" s="19">
        <f t="shared" si="8"/>
        <v>-0.5822328931572629</v>
      </c>
      <c r="O48" s="11"/>
      <c r="P48" s="2">
        <v>568.92999999999995</v>
      </c>
      <c r="Q48" s="2"/>
      <c r="R48" s="19">
        <f t="shared" si="9"/>
        <v>1.8175586664956098E-4</v>
      </c>
      <c r="S48" s="2"/>
      <c r="T48" s="2">
        <v>954.56</v>
      </c>
      <c r="U48" s="2"/>
      <c r="V48" s="19">
        <f t="shared" si="10"/>
        <v>2.609265436618076E-4</v>
      </c>
      <c r="W48" s="2"/>
      <c r="X48" s="2">
        <f t="shared" si="11"/>
        <v>-385.63</v>
      </c>
      <c r="Y48" s="2"/>
      <c r="Z48" s="19">
        <f t="shared" si="12"/>
        <v>-0.40398717733825013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>
        <v>1032.75</v>
      </c>
      <c r="E49" s="2"/>
      <c r="F49" s="19">
        <f t="shared" si="5"/>
        <v>9.4495589588200978E-4</v>
      </c>
      <c r="G49" s="2"/>
      <c r="H49" s="2">
        <v>-1051.22</v>
      </c>
      <c r="I49" s="2"/>
      <c r="J49" s="19">
        <f t="shared" si="6"/>
        <v>-8.3620365196564758E-4</v>
      </c>
      <c r="K49" s="2"/>
      <c r="L49" s="2">
        <f t="shared" si="7"/>
        <v>2083.9700000000003</v>
      </c>
      <c r="M49" s="2"/>
      <c r="N49" s="19">
        <f t="shared" si="8"/>
        <v>-1.9824299385475925</v>
      </c>
      <c r="O49" s="11"/>
      <c r="P49" s="2">
        <v>2031.15</v>
      </c>
      <c r="Q49" s="2"/>
      <c r="R49" s="19">
        <f t="shared" si="9"/>
        <v>6.4889077486730503E-4</v>
      </c>
      <c r="S49" s="2"/>
      <c r="T49" s="2">
        <v>1034.55</v>
      </c>
      <c r="U49" s="2"/>
      <c r="V49" s="19">
        <f t="shared" si="10"/>
        <v>2.8279160633728947E-4</v>
      </c>
      <c r="W49" s="2"/>
      <c r="X49" s="2">
        <f t="shared" si="11"/>
        <v>996.60000000000014</v>
      </c>
      <c r="Y49" s="2"/>
      <c r="Z49" s="19">
        <f t="shared" si="12"/>
        <v>0.96331738437001613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-846175</v>
      </c>
      <c r="E50" s="2"/>
      <c r="F50" s="19">
        <f t="shared" si="5"/>
        <v>-0.77424164144077423</v>
      </c>
      <c r="G50" s="2"/>
      <c r="H50" s="2">
        <v>-484123.00000000006</v>
      </c>
      <c r="I50" s="2"/>
      <c r="J50" s="19">
        <f t="shared" si="6"/>
        <v>-0.38510056943414822</v>
      </c>
      <c r="K50" s="2"/>
      <c r="L50" s="2">
        <f t="shared" si="7"/>
        <v>-362051.99999999994</v>
      </c>
      <c r="M50" s="2"/>
      <c r="N50" s="19">
        <f t="shared" si="8"/>
        <v>0.74785126920224798</v>
      </c>
      <c r="O50" s="11"/>
      <c r="P50" s="2">
        <v>-2574540</v>
      </c>
      <c r="Q50" s="2"/>
      <c r="R50" s="19">
        <f t="shared" si="9"/>
        <v>-0.82248738671534416</v>
      </c>
      <c r="S50" s="2"/>
      <c r="T50" s="2">
        <v>-2496897</v>
      </c>
      <c r="U50" s="2"/>
      <c r="V50" s="19">
        <f t="shared" si="10"/>
        <v>-0.6825204325443518</v>
      </c>
      <c r="W50" s="2"/>
      <c r="X50" s="2">
        <f t="shared" si="11"/>
        <v>-77643</v>
      </c>
      <c r="Y50" s="2"/>
      <c r="Z50" s="19">
        <f t="shared" si="12"/>
        <v>3.1095796102121955E-2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571526</v>
      </c>
      <c r="E51" s="2"/>
      <c r="F51" s="19">
        <f t="shared" si="5"/>
        <v>0.5229405600095488</v>
      </c>
      <c r="G51" s="2"/>
      <c r="H51" s="2">
        <v>854096</v>
      </c>
      <c r="I51" s="2"/>
      <c r="J51" s="19">
        <f t="shared" si="6"/>
        <v>0.67939935915341387</v>
      </c>
      <c r="K51" s="2"/>
      <c r="L51" s="2">
        <f t="shared" si="7"/>
        <v>-282570</v>
      </c>
      <c r="M51" s="2"/>
      <c r="N51" s="19">
        <f t="shared" si="8"/>
        <v>-0.33084102957981304</v>
      </c>
      <c r="O51" s="11"/>
      <c r="P51" s="2">
        <v>2056933.4699999997</v>
      </c>
      <c r="Q51" s="2"/>
      <c r="R51" s="19">
        <f t="shared" si="9"/>
        <v>0.65712781094394512</v>
      </c>
      <c r="S51" s="2"/>
      <c r="T51" s="2">
        <v>2625640</v>
      </c>
      <c r="U51" s="2"/>
      <c r="V51" s="19">
        <f t="shared" si="10"/>
        <v>0.71771200354109599</v>
      </c>
      <c r="W51" s="2"/>
      <c r="X51" s="2">
        <f t="shared" si="11"/>
        <v>-568706.53000000026</v>
      </c>
      <c r="Y51" s="2"/>
      <c r="Z51" s="19">
        <f t="shared" si="12"/>
        <v>-0.21659729818253845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>
        <v>7.3</v>
      </c>
      <c r="E52" s="2"/>
      <c r="F52" s="19">
        <f t="shared" si="5"/>
        <v>6.679426811850565E-6</v>
      </c>
      <c r="G52" s="2"/>
      <c r="H52" s="2">
        <v>156.58000000000001</v>
      </c>
      <c r="I52" s="2"/>
      <c r="J52" s="19">
        <f t="shared" si="6"/>
        <v>1.2455315521468495E-4</v>
      </c>
      <c r="K52" s="2"/>
      <c r="L52" s="2">
        <f t="shared" si="7"/>
        <v>-149.28</v>
      </c>
      <c r="M52" s="2"/>
      <c r="N52" s="19">
        <f t="shared" si="8"/>
        <v>-0.95337846468259035</v>
      </c>
      <c r="O52" s="11"/>
      <c r="P52" s="2">
        <v>7.3</v>
      </c>
      <c r="Q52" s="2"/>
      <c r="R52" s="19">
        <f t="shared" si="9"/>
        <v>2.3321284279995696E-6</v>
      </c>
      <c r="S52" s="2"/>
      <c r="T52" s="2">
        <v>167.08</v>
      </c>
      <c r="U52" s="2"/>
      <c r="V52" s="19">
        <f t="shared" si="10"/>
        <v>4.5670892259276339E-5</v>
      </c>
      <c r="W52" s="2"/>
      <c r="X52" s="2">
        <f t="shared" si="11"/>
        <v>-159.78</v>
      </c>
      <c r="Y52" s="2"/>
      <c r="Z52" s="19">
        <f t="shared" si="12"/>
        <v>-0.95630835527890823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3407.43</v>
      </c>
      <c r="E53" s="2"/>
      <c r="F53" s="19">
        <f t="shared" si="5"/>
        <v>3.1177642878772562E-3</v>
      </c>
      <c r="G53" s="2"/>
      <c r="H53" s="2">
        <v>13385.88</v>
      </c>
      <c r="I53" s="2"/>
      <c r="J53" s="19">
        <f t="shared" si="6"/>
        <v>1.0647934533945247E-2</v>
      </c>
      <c r="K53" s="2"/>
      <c r="L53" s="2">
        <f t="shared" si="7"/>
        <v>-9978.4499999999989</v>
      </c>
      <c r="M53" s="2"/>
      <c r="N53" s="19">
        <f t="shared" si="8"/>
        <v>-0.74544594752082038</v>
      </c>
      <c r="O53" s="11"/>
      <c r="P53" s="2">
        <v>42077.369999999995</v>
      </c>
      <c r="Q53" s="2"/>
      <c r="R53" s="19">
        <f t="shared" si="9"/>
        <v>1.3442442568829623E-2</v>
      </c>
      <c r="S53" s="2"/>
      <c r="T53" s="2">
        <v>52281</v>
      </c>
      <c r="U53" s="2"/>
      <c r="V53" s="19">
        <f t="shared" si="10"/>
        <v>1.4290878131477293E-2</v>
      </c>
      <c r="W53" s="2"/>
      <c r="X53" s="2">
        <f t="shared" si="11"/>
        <v>-10203.630000000005</v>
      </c>
      <c r="Y53" s="2"/>
      <c r="Z53" s="19">
        <f t="shared" si="12"/>
        <v>-0.19516899064669774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4124.8100000000004</v>
      </c>
      <c r="E54" s="2"/>
      <c r="F54" s="19">
        <f t="shared" si="5"/>
        <v>3.7741597955875798E-3</v>
      </c>
      <c r="G54" s="2"/>
      <c r="H54" s="2">
        <v>3187.01</v>
      </c>
      <c r="I54" s="2"/>
      <c r="J54" s="19">
        <f t="shared" si="6"/>
        <v>2.5351395529489913E-3</v>
      </c>
      <c r="K54" s="2"/>
      <c r="L54" s="2">
        <f t="shared" si="7"/>
        <v>937.80000000000018</v>
      </c>
      <c r="M54" s="2"/>
      <c r="N54" s="19">
        <f t="shared" si="8"/>
        <v>0.29425699950737527</v>
      </c>
      <c r="O54" s="11"/>
      <c r="P54" s="2">
        <v>11778.23</v>
      </c>
      <c r="Q54" s="2"/>
      <c r="R54" s="19">
        <f t="shared" si="9"/>
        <v>3.7627869882900511E-3</v>
      </c>
      <c r="S54" s="2"/>
      <c r="T54" s="2">
        <v>11057.1</v>
      </c>
      <c r="U54" s="2"/>
      <c r="V54" s="19">
        <f t="shared" si="10"/>
        <v>3.0224301101271509E-3</v>
      </c>
      <c r="W54" s="2"/>
      <c r="X54" s="2">
        <f t="shared" si="11"/>
        <v>721.1299999999992</v>
      </c>
      <c r="Y54" s="2"/>
      <c r="Z54" s="19">
        <f t="shared" si="12"/>
        <v>6.5218728237964665E-2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5"/>
        <v>0</v>
      </c>
      <c r="G55" s="2"/>
      <c r="H55" s="2">
        <v>77.31</v>
      </c>
      <c r="I55" s="2"/>
      <c r="J55" s="19">
        <f t="shared" si="6"/>
        <v>6.1497026629501173E-5</v>
      </c>
      <c r="K55" s="2"/>
      <c r="L55" s="2">
        <f t="shared" si="7"/>
        <v>-77.31</v>
      </c>
      <c r="M55" s="2"/>
      <c r="N55" s="19">
        <f t="shared" si="8"/>
        <v>-1</v>
      </c>
      <c r="O55" s="11"/>
      <c r="P55" s="2">
        <v>105.97</v>
      </c>
      <c r="Q55" s="2"/>
      <c r="R55" s="19">
        <f t="shared" si="9"/>
        <v>3.3854198563714304E-5</v>
      </c>
      <c r="S55" s="2"/>
      <c r="T55" s="2">
        <v>243.53</v>
      </c>
      <c r="U55" s="2"/>
      <c r="V55" s="19">
        <f t="shared" si="10"/>
        <v>6.6568304955120689E-5</v>
      </c>
      <c r="W55" s="2"/>
      <c r="X55" s="2">
        <f t="shared" si="11"/>
        <v>-137.56</v>
      </c>
      <c r="Y55" s="2"/>
      <c r="Z55" s="19">
        <f t="shared" si="12"/>
        <v>-0.56485853898903626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21.41</v>
      </c>
      <c r="Q56" s="2"/>
      <c r="R56" s="19">
        <f t="shared" si="9"/>
        <v>6.8398451566398343E-6</v>
      </c>
      <c r="S56" s="2"/>
      <c r="T56" s="2">
        <v>12.22</v>
      </c>
      <c r="U56" s="2"/>
      <c r="V56" s="19">
        <f t="shared" si="10"/>
        <v>3.3403058619125975E-6</v>
      </c>
      <c r="W56" s="2"/>
      <c r="X56" s="2">
        <f t="shared" si="11"/>
        <v>9.19</v>
      </c>
      <c r="Y56" s="2"/>
      <c r="Z56" s="19">
        <f t="shared" si="12"/>
        <v>0.7520458265139115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21.13</v>
      </c>
      <c r="Q57" s="2"/>
      <c r="R57" s="19">
        <f t="shared" si="9"/>
        <v>6.7503936552919055E-6</v>
      </c>
      <c r="S57" s="2"/>
      <c r="T57" s="2"/>
      <c r="U57" s="2"/>
      <c r="V57" s="19">
        <f t="shared" si="10"/>
        <v>0</v>
      </c>
      <c r="W57" s="2"/>
      <c r="X57" s="2">
        <f t="shared" si="11"/>
        <v>21.13</v>
      </c>
      <c r="Y57" s="2"/>
      <c r="Z57" s="19">
        <f t="shared" si="12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1">
        <f>D12-D41</f>
        <v>521375.23</v>
      </c>
      <c r="E59" s="14"/>
      <c r="F59" s="22">
        <f>IF(D$12=0,0,D59/D$12)</f>
        <v>0.47705310825982944</v>
      </c>
      <c r="G59" s="14"/>
      <c r="H59" s="21">
        <f>H12-H41</f>
        <v>402882.15000000026</v>
      </c>
      <c r="I59" s="14"/>
      <c r="J59" s="22">
        <f>IF(H$12=0,0,H59/H$12)</f>
        <v>0.32047670815031304</v>
      </c>
      <c r="K59" s="16"/>
      <c r="L59" s="21">
        <f>+D59-H59</f>
        <v>118493.07999999973</v>
      </c>
      <c r="M59" s="16"/>
      <c r="N59" s="22">
        <f>IF(H59=0,0,L59/H59)</f>
        <v>0.29411350192605867</v>
      </c>
      <c r="O59" s="29"/>
      <c r="P59" s="21">
        <f>P12-P41</f>
        <v>1073250.71</v>
      </c>
      <c r="Q59" s="14"/>
      <c r="R59" s="22">
        <f>IF(P$12=0,0,P59/P$12)</f>
        <v>0.34287102618653725</v>
      </c>
      <c r="S59" s="14"/>
      <c r="T59" s="21">
        <f>T12-T41</f>
        <v>1032542.7599999998</v>
      </c>
      <c r="U59" s="14"/>
      <c r="V59" s="22">
        <f>IF(T$12=0,0,T59/T$12)</f>
        <v>0.28224293239798787</v>
      </c>
      <c r="W59" s="16"/>
      <c r="X59" s="21">
        <f>+P59-T59</f>
        <v>40707.950000000186</v>
      </c>
      <c r="Y59" s="16"/>
      <c r="Z59" s="22">
        <f>IF(T59=0,0,X59/T59)</f>
        <v>3.9424953209686149E-2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0">
        <f>SUM(OSRRefD22x_0)</f>
        <v>51001.53</v>
      </c>
      <c r="E61" s="20"/>
      <c r="F61" s="32">
        <f t="shared" ref="F61:F71" si="13">IF(D$12=0,0,D61/D$12)</f>
        <v>4.6665888620191907E-2</v>
      </c>
      <c r="G61" s="20"/>
      <c r="H61" s="20">
        <f>SUM(OSRRefH22x_0)</f>
        <v>73621.98</v>
      </c>
      <c r="I61" s="20"/>
      <c r="J61" s="32">
        <f t="shared" ref="J61:J71" si="14">IF(H$12=0,0,H61/H$12)</f>
        <v>5.8563353571033532E-2</v>
      </c>
      <c r="K61" s="4"/>
      <c r="L61" s="20">
        <f t="shared" ref="L61:L71" si="15">+D61-H61</f>
        <v>-22620.449999999997</v>
      </c>
      <c r="M61" s="4"/>
      <c r="N61" s="32">
        <f t="shared" ref="N61:N71" si="16">IF(H61=0,0,L61/H61)</f>
        <v>-0.30725131271938078</v>
      </c>
      <c r="O61" s="10"/>
      <c r="P61" s="20">
        <f>SUM(OSRRefP22x_0)</f>
        <v>306588.51999999996</v>
      </c>
      <c r="Q61" s="20"/>
      <c r="R61" s="32">
        <f t="shared" ref="R61:R71" si="17">IF(P$12=0,0,P61/P$12)</f>
        <v>9.7945726464426661E-2</v>
      </c>
      <c r="S61" s="20"/>
      <c r="T61" s="20">
        <f>SUM(OSRRefT22x_0)</f>
        <v>426027.74</v>
      </c>
      <c r="U61" s="20"/>
      <c r="V61" s="32">
        <f t="shared" ref="V61:V71" si="18">IF(T$12=0,0,T61/T$12)</f>
        <v>0.11645359715706841</v>
      </c>
      <c r="W61" s="4"/>
      <c r="X61" s="20">
        <f t="shared" ref="X61:X71" si="19">+P61-T61</f>
        <v>-119439.22000000003</v>
      </c>
      <c r="Y61" s="4"/>
      <c r="Z61" s="32">
        <f t="shared" ref="Z61:Z71" si="20">IF(T61=0,0,X61/T61)</f>
        <v>-0.28035549985547897</v>
      </c>
    </row>
    <row r="62" spans="1:26" s="26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10868.34</v>
      </c>
      <c r="E62" s="1"/>
      <c r="F62" s="5">
        <f t="shared" si="13"/>
        <v>9.9444221364805435E-3</v>
      </c>
      <c r="G62" s="1"/>
      <c r="H62" s="1">
        <f>SUM(OSRRefH22_0x_0)</f>
        <v>14005.4</v>
      </c>
      <c r="I62" s="1"/>
      <c r="J62" s="5">
        <f t="shared" si="14"/>
        <v>1.1140738025569986E-2</v>
      </c>
      <c r="K62" s="1"/>
      <c r="L62" s="1">
        <f t="shared" si="15"/>
        <v>-3137.0599999999995</v>
      </c>
      <c r="M62" s="1"/>
      <c r="N62" s="5">
        <f t="shared" si="16"/>
        <v>-0.22398931840575775</v>
      </c>
      <c r="O62" s="13"/>
      <c r="P62" s="1">
        <f>SUM(OSRRefP22_0x_0)</f>
        <v>71759.13</v>
      </c>
      <c r="Q62" s="1"/>
      <c r="R62" s="5">
        <f t="shared" si="17"/>
        <v>2.292486397828997E-2</v>
      </c>
      <c r="S62" s="1"/>
      <c r="T62" s="1">
        <f>SUM(OSRRefT22_0x_0)</f>
        <v>90478.43</v>
      </c>
      <c r="U62" s="1"/>
      <c r="V62" s="5">
        <f t="shared" si="18"/>
        <v>2.4732048290151278E-2</v>
      </c>
      <c r="W62" s="1"/>
      <c r="X62" s="1">
        <f t="shared" si="19"/>
        <v>-18719.299999999988</v>
      </c>
      <c r="Y62" s="1"/>
      <c r="Z62" s="5">
        <f t="shared" si="20"/>
        <v>-0.20689240518430735</v>
      </c>
    </row>
    <row r="63" spans="1:26" s="24" customFormat="1" hidden="1" outlineLevel="2" x14ac:dyDescent="0.25">
      <c r="A63" s="25"/>
      <c r="B63" s="11" t="str">
        <f>CONCATENATE("          ", "6111", " - ", "F.I.C.A.")</f>
        <v xml:space="preserve">          6111 - F.I.C.A.</v>
      </c>
      <c r="C63" s="11"/>
      <c r="D63" s="6">
        <v>1676.57</v>
      </c>
      <c r="E63" s="2"/>
      <c r="F63" s="7">
        <f t="shared" si="13"/>
        <v>1.5340447410882605E-3</v>
      </c>
      <c r="G63" s="2"/>
      <c r="H63" s="6">
        <v>1943.46</v>
      </c>
      <c r="I63" s="2"/>
      <c r="J63" s="7">
        <f t="shared" si="14"/>
        <v>1.5459450442810805E-3</v>
      </c>
      <c r="K63" s="2"/>
      <c r="L63" s="6">
        <f t="shared" si="15"/>
        <v>-266.8900000000001</v>
      </c>
      <c r="M63" s="2"/>
      <c r="N63" s="7">
        <f t="shared" si="16"/>
        <v>-0.13732724110606861</v>
      </c>
      <c r="O63" s="11"/>
      <c r="P63" s="6">
        <v>12311.48</v>
      </c>
      <c r="Q63" s="2"/>
      <c r="R63" s="7">
        <f t="shared" si="17"/>
        <v>3.9331441779107048E-3</v>
      </c>
      <c r="S63" s="2"/>
      <c r="T63" s="6">
        <v>14495.25</v>
      </c>
      <c r="U63" s="2"/>
      <c r="V63" s="7">
        <f t="shared" si="18"/>
        <v>3.9622396517912098E-3</v>
      </c>
      <c r="W63" s="2"/>
      <c r="X63" s="6">
        <f t="shared" si="19"/>
        <v>-2183.7700000000004</v>
      </c>
      <c r="Y63" s="2"/>
      <c r="Z63" s="7">
        <f t="shared" si="20"/>
        <v>-0.15065417981752646</v>
      </c>
    </row>
    <row r="64" spans="1:26" s="24" customFormat="1" hidden="1" outlineLevel="2" x14ac:dyDescent="0.25">
      <c r="A64" s="25"/>
      <c r="B64" s="11" t="str">
        <f>CONCATENATE("          ", "6112", " - ", "COMPENSATION INSURANCE")</f>
        <v xml:space="preserve">          6112 - COMPENSATION INSURANCE</v>
      </c>
      <c r="C64" s="11"/>
      <c r="D64" s="6">
        <v>89.99</v>
      </c>
      <c r="E64" s="2"/>
      <c r="F64" s="7">
        <f t="shared" si="13"/>
        <v>8.2339947780607169E-5</v>
      </c>
      <c r="G64" s="2"/>
      <c r="H64" s="6">
        <v>93.22</v>
      </c>
      <c r="I64" s="2"/>
      <c r="J64" s="7">
        <f t="shared" si="14"/>
        <v>7.4152798116700283E-5</v>
      </c>
      <c r="K64" s="2"/>
      <c r="L64" s="6">
        <f t="shared" si="15"/>
        <v>-3.230000000000004</v>
      </c>
      <c r="M64" s="2"/>
      <c r="N64" s="7">
        <f t="shared" si="16"/>
        <v>-3.4649216906243341E-2</v>
      </c>
      <c r="O64" s="11"/>
      <c r="P64" s="6">
        <v>473.32</v>
      </c>
      <c r="Q64" s="2"/>
      <c r="R64" s="7">
        <f t="shared" si="17"/>
        <v>1.5121137363572005E-4</v>
      </c>
      <c r="S64" s="2"/>
      <c r="T64" s="6">
        <v>747.45</v>
      </c>
      <c r="U64" s="2"/>
      <c r="V64" s="7">
        <f t="shared" si="18"/>
        <v>2.0431355290397471E-4</v>
      </c>
      <c r="W64" s="2"/>
      <c r="X64" s="6">
        <f t="shared" si="19"/>
        <v>-274.13000000000005</v>
      </c>
      <c r="Y64" s="2"/>
      <c r="Z64" s="7">
        <f t="shared" si="20"/>
        <v>-0.36675362900528469</v>
      </c>
    </row>
    <row r="65" spans="1:26" s="24" customFormat="1" hidden="1" outlineLevel="2" x14ac:dyDescent="0.25">
      <c r="A65" s="25"/>
      <c r="B65" s="11" t="str">
        <f>CONCATENATE("          ", "6113", " - ", "GROUP INSURANCE")</f>
        <v xml:space="preserve">          6113 - GROUP INSURANCE</v>
      </c>
      <c r="C65" s="11"/>
      <c r="D65" s="6">
        <v>4248.21</v>
      </c>
      <c r="E65" s="2"/>
      <c r="F65" s="7">
        <f t="shared" si="13"/>
        <v>3.8870695584070805E-3</v>
      </c>
      <c r="G65" s="2"/>
      <c r="H65" s="6">
        <v>5575.73</v>
      </c>
      <c r="I65" s="2"/>
      <c r="J65" s="7">
        <f t="shared" si="14"/>
        <v>4.4352711976317228E-3</v>
      </c>
      <c r="K65" s="2"/>
      <c r="L65" s="6">
        <f t="shared" si="15"/>
        <v>-1327.5199999999995</v>
      </c>
      <c r="M65" s="2"/>
      <c r="N65" s="7">
        <f t="shared" si="16"/>
        <v>-0.23808900359235466</v>
      </c>
      <c r="O65" s="11"/>
      <c r="P65" s="6">
        <v>29259.63</v>
      </c>
      <c r="Q65" s="2"/>
      <c r="R65" s="7">
        <f t="shared" si="17"/>
        <v>9.3475636870889115E-3</v>
      </c>
      <c r="S65" s="2"/>
      <c r="T65" s="6">
        <v>35811.93</v>
      </c>
      <c r="U65" s="2"/>
      <c r="V65" s="7">
        <f t="shared" si="18"/>
        <v>9.7890998122261551E-3</v>
      </c>
      <c r="W65" s="2"/>
      <c r="X65" s="6">
        <f t="shared" si="19"/>
        <v>-6552.2999999999993</v>
      </c>
      <c r="Y65" s="2"/>
      <c r="Z65" s="7">
        <f t="shared" si="20"/>
        <v>-0.18296416864435955</v>
      </c>
    </row>
    <row r="66" spans="1:26" s="24" customFormat="1" hidden="1" outlineLevel="2" x14ac:dyDescent="0.25">
      <c r="A66" s="25"/>
      <c r="B66" s="11" t="str">
        <f>CONCATENATE("          ", "6114", " - ", "STATE UNEMPLOYMENT INSURANCE")</f>
        <v xml:space="preserve">          6114 - STATE UNEMPLOYMENT INSURANCE</v>
      </c>
      <c r="C66" s="11"/>
      <c r="D66" s="6">
        <v>68.81</v>
      </c>
      <c r="E66" s="2"/>
      <c r="F66" s="7">
        <f t="shared" si="13"/>
        <v>6.2960460126498271E-5</v>
      </c>
      <c r="G66" s="2"/>
      <c r="H66" s="6">
        <v>78.19</v>
      </c>
      <c r="I66" s="2"/>
      <c r="J66" s="7">
        <f t="shared" si="14"/>
        <v>6.2197031589195399E-5</v>
      </c>
      <c r="K66" s="2"/>
      <c r="L66" s="6">
        <f t="shared" si="15"/>
        <v>-9.3799999999999955</v>
      </c>
      <c r="M66" s="2"/>
      <c r="N66" s="7">
        <f t="shared" si="16"/>
        <v>-0.11996418979409126</v>
      </c>
      <c r="O66" s="11"/>
      <c r="P66" s="6">
        <v>460.4</v>
      </c>
      <c r="Q66" s="2"/>
      <c r="R66" s="7">
        <f t="shared" si="17"/>
        <v>1.4708382578780847E-4</v>
      </c>
      <c r="S66" s="2"/>
      <c r="T66" s="6">
        <v>621.32000000000005</v>
      </c>
      <c r="U66" s="2"/>
      <c r="V66" s="7">
        <f t="shared" si="18"/>
        <v>1.6983623879897997E-4</v>
      </c>
      <c r="W66" s="2"/>
      <c r="X66" s="6">
        <f t="shared" si="19"/>
        <v>-160.92000000000007</v>
      </c>
      <c r="Y66" s="2"/>
      <c r="Z66" s="7">
        <f t="shared" si="20"/>
        <v>-0.25899697418399548</v>
      </c>
    </row>
    <row r="67" spans="1:26" s="24" customFormat="1" hidden="1" outlineLevel="2" x14ac:dyDescent="0.25">
      <c r="A67" s="25"/>
      <c r="B67" s="11" t="str">
        <f>CONCATENATE("          ", "6115", " - ", "P.E.R.S.")</f>
        <v xml:space="preserve">          6115 - P.E.R.S.</v>
      </c>
      <c r="C67" s="11"/>
      <c r="D67" s="6">
        <v>1997.27</v>
      </c>
      <c r="E67" s="2"/>
      <c r="F67" s="7">
        <f t="shared" si="13"/>
        <v>1.8274820258225722E-3</v>
      </c>
      <c r="G67" s="2"/>
      <c r="H67" s="6">
        <v>1808.89</v>
      </c>
      <c r="I67" s="2"/>
      <c r="J67" s="7">
        <f t="shared" si="14"/>
        <v>1.4388999676605663E-3</v>
      </c>
      <c r="K67" s="2"/>
      <c r="L67" s="6">
        <f t="shared" si="15"/>
        <v>188.37999999999988</v>
      </c>
      <c r="M67" s="2"/>
      <c r="N67" s="7">
        <f t="shared" si="16"/>
        <v>0.1041412136724731</v>
      </c>
      <c r="O67" s="11"/>
      <c r="P67" s="6">
        <v>10429.67</v>
      </c>
      <c r="Q67" s="2"/>
      <c r="R67" s="7">
        <f t="shared" si="17"/>
        <v>3.3319630002266129E-3</v>
      </c>
      <c r="S67" s="2"/>
      <c r="T67" s="6">
        <v>10183.25</v>
      </c>
      <c r="U67" s="2"/>
      <c r="V67" s="7">
        <f t="shared" si="18"/>
        <v>2.7835654393061748E-3</v>
      </c>
      <c r="W67" s="2"/>
      <c r="X67" s="6">
        <f t="shared" si="19"/>
        <v>246.42000000000007</v>
      </c>
      <c r="Y67" s="2"/>
      <c r="Z67" s="7">
        <f t="shared" si="20"/>
        <v>2.4198561363022619E-2</v>
      </c>
    </row>
    <row r="68" spans="1:26" s="24" customFormat="1" hidden="1" outlineLevel="2" x14ac:dyDescent="0.25">
      <c r="A68" s="25"/>
      <c r="B68" s="11" t="str">
        <f>CONCATENATE("          ", "6117", " - ", "RETIREMENT STAFF HOURLY")</f>
        <v xml:space="preserve">          6117 - RETIREMENT STAFF HOURLY</v>
      </c>
      <c r="C68" s="11"/>
      <c r="D68" s="6">
        <v>213.49</v>
      </c>
      <c r="E68" s="2"/>
      <c r="F68" s="7">
        <f t="shared" si="13"/>
        <v>1.9534120959753112E-4</v>
      </c>
      <c r="G68" s="2"/>
      <c r="H68" s="6">
        <v>279.47000000000003</v>
      </c>
      <c r="I68" s="2"/>
      <c r="J68" s="7">
        <f t="shared" si="14"/>
        <v>2.2230725691562144E-4</v>
      </c>
      <c r="K68" s="2"/>
      <c r="L68" s="6">
        <f t="shared" si="15"/>
        <v>-65.980000000000018</v>
      </c>
      <c r="M68" s="2"/>
      <c r="N68" s="7">
        <f t="shared" si="16"/>
        <v>-0.23608974129602467</v>
      </c>
      <c r="O68" s="11"/>
      <c r="P68" s="6">
        <v>952.23</v>
      </c>
      <c r="Q68" s="2"/>
      <c r="R68" s="7">
        <f t="shared" si="17"/>
        <v>3.0420858260192199E-4</v>
      </c>
      <c r="S68" s="2"/>
      <c r="T68" s="6">
        <v>1720.02</v>
      </c>
      <c r="U68" s="2"/>
      <c r="V68" s="7">
        <f t="shared" si="18"/>
        <v>4.701630841740512E-4</v>
      </c>
      <c r="W68" s="2"/>
      <c r="X68" s="6">
        <f t="shared" si="19"/>
        <v>-767.79</v>
      </c>
      <c r="Y68" s="2"/>
      <c r="Z68" s="7">
        <f t="shared" si="20"/>
        <v>-0.44638434436808871</v>
      </c>
    </row>
    <row r="69" spans="1:26" s="24" customFormat="1" hidden="1" outlineLevel="2" x14ac:dyDescent="0.25">
      <c r="A69" s="25"/>
      <c r="B69" s="11" t="str">
        <f>CONCATENATE("          ", "6118", " - ", "VACATION")</f>
        <v xml:space="preserve">          6118 - VACATION</v>
      </c>
      <c r="C69" s="11"/>
      <c r="D69" s="6">
        <v>781.18</v>
      </c>
      <c r="E69" s="2"/>
      <c r="F69" s="7">
        <f t="shared" si="13"/>
        <v>7.1477186806594845E-4</v>
      </c>
      <c r="G69" s="2"/>
      <c r="H69" s="6">
        <v>1755.42</v>
      </c>
      <c r="I69" s="2"/>
      <c r="J69" s="7">
        <f t="shared" si="14"/>
        <v>1.3963667117573269E-3</v>
      </c>
      <c r="K69" s="2"/>
      <c r="L69" s="6">
        <f t="shared" si="15"/>
        <v>-974.24000000000012</v>
      </c>
      <c r="M69" s="2"/>
      <c r="N69" s="7">
        <f t="shared" si="16"/>
        <v>-0.55498968907725788</v>
      </c>
      <c r="O69" s="11"/>
      <c r="P69" s="6">
        <v>6417.64</v>
      </c>
      <c r="Q69" s="2"/>
      <c r="R69" s="7">
        <f t="shared" si="17"/>
        <v>2.0502411896804328E-3</v>
      </c>
      <c r="S69" s="2"/>
      <c r="T69" s="6">
        <v>11734.73</v>
      </c>
      <c r="U69" s="2"/>
      <c r="V69" s="7">
        <f t="shared" si="18"/>
        <v>3.2076585439412123E-3</v>
      </c>
      <c r="W69" s="2"/>
      <c r="X69" s="6">
        <f t="shared" si="19"/>
        <v>-5317.0899999999992</v>
      </c>
      <c r="Y69" s="2"/>
      <c r="Z69" s="7">
        <f t="shared" si="20"/>
        <v>-0.45310714434844257</v>
      </c>
    </row>
    <row r="70" spans="1:26" s="24" customFormat="1" hidden="1" outlineLevel="2" x14ac:dyDescent="0.25">
      <c r="A70" s="25"/>
      <c r="B70" s="11" t="str">
        <f>CONCATENATE("          ", "6119", " - ", "SICK LEAVE")</f>
        <v xml:space="preserve">          6119 - SICK LEAVE</v>
      </c>
      <c r="C70" s="11"/>
      <c r="D70" s="6">
        <v>925.42</v>
      </c>
      <c r="E70" s="2"/>
      <c r="F70" s="7">
        <f t="shared" si="13"/>
        <v>8.4675002194832191E-4</v>
      </c>
      <c r="G70" s="2"/>
      <c r="H70" s="6">
        <v>1737.93</v>
      </c>
      <c r="I70" s="2"/>
      <c r="J70" s="7">
        <f t="shared" si="14"/>
        <v>1.382454113183404E-3</v>
      </c>
      <c r="K70" s="2"/>
      <c r="L70" s="6">
        <f t="shared" si="15"/>
        <v>-812.5100000000001</v>
      </c>
      <c r="M70" s="2"/>
      <c r="N70" s="7">
        <f t="shared" si="16"/>
        <v>-0.46751595288647996</v>
      </c>
      <c r="O70" s="11"/>
      <c r="P70" s="6">
        <v>7045.53</v>
      </c>
      <c r="Q70" s="2"/>
      <c r="R70" s="7">
        <f t="shared" si="17"/>
        <v>2.2508329867566863E-3</v>
      </c>
      <c r="S70" s="2"/>
      <c r="T70" s="6">
        <v>10188.870000000001</v>
      </c>
      <c r="U70" s="2"/>
      <c r="V70" s="7">
        <f t="shared" si="18"/>
        <v>2.7851016519857127E-3</v>
      </c>
      <c r="W70" s="2"/>
      <c r="X70" s="6">
        <f t="shared" si="19"/>
        <v>-3143.3400000000011</v>
      </c>
      <c r="Y70" s="2"/>
      <c r="Z70" s="7">
        <f t="shared" si="20"/>
        <v>-0.30850722405919406</v>
      </c>
    </row>
    <row r="71" spans="1:26" s="24" customFormat="1" hidden="1" outlineLevel="2" x14ac:dyDescent="0.25">
      <c r="A71" s="25"/>
      <c r="B71" s="11" t="str">
        <f>CONCATENATE("          ", "6156", " - ", "EMPLOYEE MEALS")</f>
        <v xml:space="preserve">          6156 - EMPLOYEE MEALS</v>
      </c>
      <c r="C71" s="11"/>
      <c r="D71" s="6">
        <v>867.4</v>
      </c>
      <c r="E71" s="2"/>
      <c r="F71" s="7">
        <f t="shared" si="13"/>
        <v>7.9366230364372333E-4</v>
      </c>
      <c r="G71" s="2"/>
      <c r="H71" s="6">
        <v>733.09</v>
      </c>
      <c r="I71" s="2"/>
      <c r="J71" s="7">
        <f t="shared" si="14"/>
        <v>5.8314390443436827E-4</v>
      </c>
      <c r="K71" s="2"/>
      <c r="L71" s="6">
        <f t="shared" si="15"/>
        <v>134.30999999999995</v>
      </c>
      <c r="M71" s="2"/>
      <c r="N71" s="7">
        <f t="shared" si="16"/>
        <v>0.18321079267211385</v>
      </c>
      <c r="O71" s="11"/>
      <c r="P71" s="6">
        <v>4409.2299999999996</v>
      </c>
      <c r="Q71" s="2"/>
      <c r="R71" s="7">
        <f t="shared" si="17"/>
        <v>1.4086151546011702E-3</v>
      </c>
      <c r="S71" s="2"/>
      <c r="T71" s="6">
        <v>4975.6099999999997</v>
      </c>
      <c r="U71" s="2"/>
      <c r="V71" s="7">
        <f t="shared" si="18"/>
        <v>1.3600703150238084E-3</v>
      </c>
      <c r="W71" s="2"/>
      <c r="X71" s="6">
        <f t="shared" si="19"/>
        <v>-566.38000000000011</v>
      </c>
      <c r="Y71" s="2"/>
      <c r="Z71" s="7">
        <f t="shared" si="20"/>
        <v>-0.11383126892983979</v>
      </c>
    </row>
    <row r="72" spans="1:26" s="26" customFormat="1" outlineLevel="1" collapsed="1" x14ac:dyDescent="0.25">
      <c r="A72" s="27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34667.289999999994</v>
      </c>
      <c r="E72" s="1"/>
      <c r="F72" s="5">
        <f t="shared" ref="F72:F77" si="21">IF(D$12=0,0,D72/D$12)</f>
        <v>3.1720222783588894E-2</v>
      </c>
      <c r="G72" s="1"/>
      <c r="H72" s="1">
        <f>SUM(OSRRefH22_1x_0)</f>
        <v>38666.589999999997</v>
      </c>
      <c r="I72" s="1"/>
      <c r="J72" s="5">
        <f t="shared" ref="J72:J77" si="22">IF(H$12=0,0,H72/H$12)</f>
        <v>3.0757732698253826E-2</v>
      </c>
      <c r="K72" s="1"/>
      <c r="L72" s="1">
        <f t="shared" ref="L72:L77" si="23">+D72-H72</f>
        <v>-3999.3000000000029</v>
      </c>
      <c r="M72" s="1"/>
      <c r="N72" s="5">
        <f t="shared" ref="N72:N77" si="24">IF(H72=0,0,L72/H72)</f>
        <v>-0.1034303774912658</v>
      </c>
      <c r="O72" s="13"/>
      <c r="P72" s="1">
        <f>SUM(OSRRefP22_1x_0)</f>
        <v>177685.43</v>
      </c>
      <c r="Q72" s="1"/>
      <c r="R72" s="5">
        <f t="shared" ref="R72:R77" si="25">IF(P$12=0,0,P72/P$12)</f>
        <v>5.6765101718401038E-2</v>
      </c>
      <c r="S72" s="1"/>
      <c r="T72" s="1">
        <f>SUM(OSRRefT22_1x_0)</f>
        <v>207348.4</v>
      </c>
      <c r="U72" s="1"/>
      <c r="V72" s="5">
        <f t="shared" ref="V72:V77" si="26">IF(T$12=0,0,T72/T$12)</f>
        <v>5.6678156790359903E-2</v>
      </c>
      <c r="W72" s="1"/>
      <c r="X72" s="1">
        <f t="shared" ref="X72:X77" si="27">+P72-T72</f>
        <v>-29662.97</v>
      </c>
      <c r="Y72" s="1"/>
      <c r="Z72" s="5">
        <f t="shared" ref="Z72:Z77" si="28">IF(T72=0,0,X72/T72)</f>
        <v>-0.14305859124063655</v>
      </c>
    </row>
    <row r="73" spans="1:26" s="24" customFormat="1" hidden="1" outlineLevel="2" x14ac:dyDescent="0.25">
      <c r="A73" s="25"/>
      <c r="B73" s="11" t="str">
        <f>CONCATENATE("          ", "6002", " - ", "STAFF SALARIES")</f>
        <v xml:space="preserve">          6002 - STAFF SALARIES</v>
      </c>
      <c r="C73" s="11"/>
      <c r="D73" s="6">
        <v>18107.66</v>
      </c>
      <c r="E73" s="2"/>
      <c r="F73" s="7">
        <f t="shared" si="21"/>
        <v>1.656832735669507E-2</v>
      </c>
      <c r="G73" s="2"/>
      <c r="H73" s="6">
        <v>17798.46</v>
      </c>
      <c r="I73" s="2"/>
      <c r="J73" s="7">
        <f t="shared" si="22"/>
        <v>1.4157966221499306E-2</v>
      </c>
      <c r="K73" s="2"/>
      <c r="L73" s="6">
        <f t="shared" si="23"/>
        <v>309.20000000000073</v>
      </c>
      <c r="M73" s="2"/>
      <c r="N73" s="7">
        <f t="shared" si="24"/>
        <v>1.7372289512688217E-2</v>
      </c>
      <c r="O73" s="11"/>
      <c r="P73" s="6">
        <v>107136.24</v>
      </c>
      <c r="Q73" s="2"/>
      <c r="R73" s="7">
        <f t="shared" si="25"/>
        <v>3.4226776845614336E-2</v>
      </c>
      <c r="S73" s="2"/>
      <c r="T73" s="6">
        <v>98877.45</v>
      </c>
      <c r="U73" s="2"/>
      <c r="V73" s="7">
        <f t="shared" si="26"/>
        <v>2.7027899005398506E-2</v>
      </c>
      <c r="W73" s="2"/>
      <c r="X73" s="6">
        <f t="shared" si="27"/>
        <v>8258.7900000000081</v>
      </c>
      <c r="Y73" s="2"/>
      <c r="Z73" s="7">
        <f t="shared" si="28"/>
        <v>8.352551567622353E-2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>
        <v>3344.03</v>
      </c>
      <c r="E74" s="2"/>
      <c r="F74" s="7">
        <f t="shared" si="21"/>
        <v>3.0597539235113214E-3</v>
      </c>
      <c r="G74" s="2"/>
      <c r="H74" s="6">
        <v>6782.19</v>
      </c>
      <c r="I74" s="2"/>
      <c r="J74" s="7">
        <f t="shared" si="22"/>
        <v>5.3949620881688851E-3</v>
      </c>
      <c r="K74" s="2"/>
      <c r="L74" s="6">
        <f t="shared" si="23"/>
        <v>-3438.1599999999994</v>
      </c>
      <c r="M74" s="2"/>
      <c r="N74" s="7">
        <f t="shared" si="24"/>
        <v>-0.50693949889342527</v>
      </c>
      <c r="O74" s="11"/>
      <c r="P74" s="6">
        <v>21895.89</v>
      </c>
      <c r="Q74" s="2"/>
      <c r="R74" s="7">
        <f t="shared" si="25"/>
        <v>6.9950722637467811E-3</v>
      </c>
      <c r="S74" s="2"/>
      <c r="T74" s="6">
        <v>43350.990000000005</v>
      </c>
      <c r="U74" s="2"/>
      <c r="V74" s="7">
        <f t="shared" si="26"/>
        <v>1.1849882652758954E-2</v>
      </c>
      <c r="W74" s="2"/>
      <c r="X74" s="6">
        <f t="shared" si="27"/>
        <v>-21455.100000000006</v>
      </c>
      <c r="Y74" s="2"/>
      <c r="Z74" s="7">
        <f t="shared" si="28"/>
        <v>-0.4949160330594527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4271.78</v>
      </c>
      <c r="E75" s="2"/>
      <c r="F75" s="7">
        <f t="shared" si="21"/>
        <v>3.9086358720995893E-3</v>
      </c>
      <c r="G75" s="2"/>
      <c r="H75" s="6">
        <v>5174.43</v>
      </c>
      <c r="I75" s="2"/>
      <c r="J75" s="7">
        <f t="shared" si="22"/>
        <v>4.1160530268075247E-3</v>
      </c>
      <c r="K75" s="2"/>
      <c r="L75" s="6">
        <f t="shared" si="23"/>
        <v>-902.65000000000055</v>
      </c>
      <c r="M75" s="2"/>
      <c r="N75" s="7">
        <f t="shared" si="24"/>
        <v>-0.1744443349315771</v>
      </c>
      <c r="O75" s="11"/>
      <c r="P75" s="6">
        <v>17825.05</v>
      </c>
      <c r="Q75" s="2"/>
      <c r="R75" s="7">
        <f t="shared" si="25"/>
        <v>5.694562443221059E-3</v>
      </c>
      <c r="S75" s="2"/>
      <c r="T75" s="6">
        <v>26605.09</v>
      </c>
      <c r="U75" s="2"/>
      <c r="V75" s="7">
        <f t="shared" si="26"/>
        <v>7.2724335584052561E-3</v>
      </c>
      <c r="W75" s="2"/>
      <c r="X75" s="6">
        <f t="shared" si="27"/>
        <v>-8780.0400000000009</v>
      </c>
      <c r="Y75" s="2"/>
      <c r="Z75" s="7">
        <f t="shared" si="28"/>
        <v>-0.33001354252137471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1"/>
        <v>0</v>
      </c>
      <c r="G76" s="2"/>
      <c r="H76" s="6"/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3834.31</v>
      </c>
      <c r="U76" s="2"/>
      <c r="V76" s="7">
        <f t="shared" si="26"/>
        <v>1.0480988681988619E-3</v>
      </c>
      <c r="W76" s="2"/>
      <c r="X76" s="6">
        <f t="shared" si="27"/>
        <v>-3834.31</v>
      </c>
      <c r="Y76" s="2"/>
      <c r="Z76" s="7">
        <f t="shared" si="28"/>
        <v>-1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8943.82</v>
      </c>
      <c r="E77" s="2"/>
      <c r="F77" s="7">
        <f t="shared" si="21"/>
        <v>8.1835056312829207E-3</v>
      </c>
      <c r="G77" s="2"/>
      <c r="H77" s="6">
        <v>8911.51</v>
      </c>
      <c r="I77" s="2"/>
      <c r="J77" s="7">
        <f t="shared" si="22"/>
        <v>7.0887513617781134E-3</v>
      </c>
      <c r="K77" s="2"/>
      <c r="L77" s="6">
        <f t="shared" si="23"/>
        <v>32.309999999999491</v>
      </c>
      <c r="M77" s="2"/>
      <c r="N77" s="7">
        <f t="shared" si="24"/>
        <v>3.6256481785914498E-3</v>
      </c>
      <c r="O77" s="11"/>
      <c r="P77" s="6">
        <v>30828.25</v>
      </c>
      <c r="Q77" s="2"/>
      <c r="R77" s="7">
        <f t="shared" si="25"/>
        <v>9.8486901658188675E-3</v>
      </c>
      <c r="S77" s="2"/>
      <c r="T77" s="6">
        <v>34680.559999999998</v>
      </c>
      <c r="U77" s="2"/>
      <c r="V77" s="7">
        <f t="shared" si="26"/>
        <v>9.4798427055983268E-3</v>
      </c>
      <c r="W77" s="2"/>
      <c r="X77" s="6">
        <f t="shared" si="27"/>
        <v>-3852.3099999999977</v>
      </c>
      <c r="Y77" s="2"/>
      <c r="Z77" s="7">
        <f t="shared" si="28"/>
        <v>-0.11107980955324821</v>
      </c>
    </row>
    <row r="78" spans="1:26" s="26" customFormat="1" outlineLevel="1" collapsed="1" x14ac:dyDescent="0.25">
      <c r="A78" s="27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-365.85</v>
      </c>
      <c r="E78" s="1"/>
      <c r="F78" s="5">
        <f t="shared" ref="F78:F82" si="29">IF(D$12=0,0,D78/D$12)</f>
        <v>-3.3474908207062044E-4</v>
      </c>
      <c r="G78" s="1"/>
      <c r="H78" s="1">
        <f>SUM(OSRRefH22_2x_0)</f>
        <v>-20.5</v>
      </c>
      <c r="I78" s="1"/>
      <c r="J78" s="5">
        <f t="shared" ref="J78:J82" si="30">IF(H$12=0,0,H78/H$12)</f>
        <v>-1.6306933720149707E-5</v>
      </c>
      <c r="K78" s="1"/>
      <c r="L78" s="1">
        <f t="shared" ref="L78:L82" si="31">+D78-H78</f>
        <v>-345.35</v>
      </c>
      <c r="M78" s="1"/>
      <c r="N78" s="5">
        <f t="shared" ref="N78:N82" si="32">IF(H78=0,0,L78/H78)</f>
        <v>16.846341463414635</v>
      </c>
      <c r="O78" s="13"/>
      <c r="P78" s="1">
        <f>SUM(OSRRefP22_2x_0)</f>
        <v>3981.09</v>
      </c>
      <c r="Q78" s="1"/>
      <c r="R78" s="5">
        <f t="shared" ref="R78:R82" si="33">IF(P$12=0,0,P78/P$12)</f>
        <v>1.2718374196472339E-3</v>
      </c>
      <c r="S78" s="1"/>
      <c r="T78" s="1">
        <f>SUM(OSRRefT22_2x_0)</f>
        <v>4286.82</v>
      </c>
      <c r="U78" s="1"/>
      <c r="V78" s="5">
        <f t="shared" ref="V78:V82" si="34">IF(T$12=0,0,T78/T$12)</f>
        <v>1.1717913236468215E-3</v>
      </c>
      <c r="W78" s="1"/>
      <c r="X78" s="1">
        <f t="shared" ref="X78:X82" si="35">+P78-T78</f>
        <v>-305.72999999999956</v>
      </c>
      <c r="Y78" s="1"/>
      <c r="Z78" s="5">
        <f t="shared" ref="Z78:Z82" si="36">IF(T78=0,0,X78/T78)</f>
        <v>-7.1318599801251187E-2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6">
        <v>-365.85</v>
      </c>
      <c r="E79" s="2"/>
      <c r="F79" s="7">
        <f t="shared" si="29"/>
        <v>-3.3474908207062044E-4</v>
      </c>
      <c r="G79" s="2"/>
      <c r="H79" s="6">
        <v>-20.5</v>
      </c>
      <c r="I79" s="2"/>
      <c r="J79" s="7">
        <f t="shared" si="30"/>
        <v>-1.6306933720149707E-5</v>
      </c>
      <c r="K79" s="2"/>
      <c r="L79" s="6">
        <f t="shared" si="31"/>
        <v>-345.35</v>
      </c>
      <c r="M79" s="2"/>
      <c r="N79" s="7">
        <f t="shared" si="32"/>
        <v>16.846341463414635</v>
      </c>
      <c r="O79" s="11"/>
      <c r="P79" s="6">
        <v>3981.09</v>
      </c>
      <c r="Q79" s="2"/>
      <c r="R79" s="7">
        <f t="shared" si="33"/>
        <v>1.2718374196472339E-3</v>
      </c>
      <c r="S79" s="2"/>
      <c r="T79" s="6">
        <v>4286.82</v>
      </c>
      <c r="U79" s="2"/>
      <c r="V79" s="7">
        <f t="shared" si="34"/>
        <v>1.1717913236468215E-3</v>
      </c>
      <c r="W79" s="2"/>
      <c r="X79" s="6">
        <f t="shared" si="35"/>
        <v>-305.72999999999956</v>
      </c>
      <c r="Y79" s="2"/>
      <c r="Z79" s="7">
        <f t="shared" si="36"/>
        <v>-7.1318599801251187E-2</v>
      </c>
    </row>
    <row r="80" spans="1:26" s="26" customFormat="1" outlineLevel="1" collapsed="1" x14ac:dyDescent="0.25">
      <c r="A80" s="27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2330.11</v>
      </c>
      <c r="E80" s="1"/>
      <c r="F80" s="5">
        <f t="shared" si="29"/>
        <v>2.132027288843989E-3</v>
      </c>
      <c r="G80" s="1"/>
      <c r="H80" s="1">
        <f>SUM(OSRRefH22_3x_0)</f>
        <v>7748.5199999999995</v>
      </c>
      <c r="I80" s="1"/>
      <c r="J80" s="5">
        <f t="shared" si="30"/>
        <v>6.1636391253294832E-3</v>
      </c>
      <c r="K80" s="1"/>
      <c r="L80" s="1">
        <f t="shared" si="31"/>
        <v>-5418.41</v>
      </c>
      <c r="M80" s="1"/>
      <c r="N80" s="5">
        <f t="shared" si="32"/>
        <v>-0.69928321795646142</v>
      </c>
      <c r="O80" s="13"/>
      <c r="P80" s="1">
        <f>SUM(OSRRefP22_3x_0)</f>
        <v>491.94000000000005</v>
      </c>
      <c r="Q80" s="1"/>
      <c r="R80" s="5">
        <f t="shared" si="33"/>
        <v>1.5715989847535732E-4</v>
      </c>
      <c r="S80" s="1"/>
      <c r="T80" s="1">
        <f>SUM(OSRRefT22_3x_0)</f>
        <v>22196.880000000001</v>
      </c>
      <c r="U80" s="1"/>
      <c r="V80" s="5">
        <f t="shared" si="34"/>
        <v>6.0674605875753271E-3</v>
      </c>
      <c r="W80" s="1"/>
      <c r="X80" s="1">
        <f t="shared" si="35"/>
        <v>-21704.940000000002</v>
      </c>
      <c r="Y80" s="1"/>
      <c r="Z80" s="5">
        <f t="shared" si="36"/>
        <v>-0.9778374258003828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2330.11</v>
      </c>
      <c r="E81" s="2"/>
      <c r="F81" s="7">
        <f t="shared" si="29"/>
        <v>2.132027288843989E-3</v>
      </c>
      <c r="G81" s="2"/>
      <c r="H81" s="6">
        <v>7902.03</v>
      </c>
      <c r="I81" s="2"/>
      <c r="J81" s="7">
        <f t="shared" si="30"/>
        <v>6.2857502177870537E-3</v>
      </c>
      <c r="K81" s="2"/>
      <c r="L81" s="6">
        <f t="shared" si="31"/>
        <v>-5571.92</v>
      </c>
      <c r="M81" s="2"/>
      <c r="N81" s="7">
        <f t="shared" si="32"/>
        <v>-0.70512513873017446</v>
      </c>
      <c r="O81" s="11"/>
      <c r="P81" s="6">
        <v>925.57</v>
      </c>
      <c r="Q81" s="2"/>
      <c r="R81" s="7">
        <f t="shared" si="33"/>
        <v>2.9569152179500851E-4</v>
      </c>
      <c r="S81" s="2"/>
      <c r="T81" s="6">
        <v>22429.59</v>
      </c>
      <c r="U81" s="2"/>
      <c r="V81" s="7">
        <f t="shared" si="34"/>
        <v>6.1310712731011598E-3</v>
      </c>
      <c r="W81" s="2"/>
      <c r="X81" s="6">
        <f t="shared" si="35"/>
        <v>-21504.02</v>
      </c>
      <c r="Y81" s="2"/>
      <c r="Z81" s="7">
        <f t="shared" si="36"/>
        <v>-0.95873442180619439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29"/>
        <v>0</v>
      </c>
      <c r="G82" s="2"/>
      <c r="H82" s="6">
        <v>-153.51</v>
      </c>
      <c r="I82" s="2"/>
      <c r="J82" s="7">
        <f t="shared" si="30"/>
        <v>-1.2211109245756984E-4</v>
      </c>
      <c r="K82" s="2"/>
      <c r="L82" s="6">
        <f t="shared" si="31"/>
        <v>153.51</v>
      </c>
      <c r="M82" s="2"/>
      <c r="N82" s="7">
        <f t="shared" si="32"/>
        <v>-1</v>
      </c>
      <c r="O82" s="11"/>
      <c r="P82" s="6">
        <v>-433.63</v>
      </c>
      <c r="Q82" s="2"/>
      <c r="R82" s="7">
        <f t="shared" si="33"/>
        <v>-1.3853162331965116E-4</v>
      </c>
      <c r="S82" s="2"/>
      <c r="T82" s="6">
        <v>-232.71</v>
      </c>
      <c r="U82" s="2"/>
      <c r="V82" s="7">
        <f t="shared" si="34"/>
        <v>-6.3610685525833103E-5</v>
      </c>
      <c r="W82" s="2"/>
      <c r="X82" s="6">
        <f t="shared" si="35"/>
        <v>-200.92</v>
      </c>
      <c r="Y82" s="2"/>
      <c r="Z82" s="7">
        <f t="shared" si="36"/>
        <v>0.86339220489020663</v>
      </c>
    </row>
    <row r="83" spans="1:26" s="26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9" si="37">IF(D$12=0,0,D83/D$12)</f>
        <v>0</v>
      </c>
      <c r="G83" s="1"/>
      <c r="H83" s="1">
        <f>SUM(OSRRefH22_4x_0)</f>
        <v>0</v>
      </c>
      <c r="I83" s="1"/>
      <c r="J83" s="5">
        <f t="shared" ref="J83:J89" si="38">IF(H$12=0,0,H83/H$12)</f>
        <v>0</v>
      </c>
      <c r="K83" s="1"/>
      <c r="L83" s="1">
        <f t="shared" ref="L83:L89" si="39">+D83-H83</f>
        <v>0</v>
      </c>
      <c r="M83" s="1"/>
      <c r="N83" s="5">
        <f t="shared" ref="N83:N89" si="40">IF(H83=0,0,L83/H83)</f>
        <v>0</v>
      </c>
      <c r="O83" s="13"/>
      <c r="P83" s="1">
        <f>SUM(OSRRefP22_4x_0)</f>
        <v>37.880000000000003</v>
      </c>
      <c r="Q83" s="1"/>
      <c r="R83" s="5">
        <f t="shared" ref="R83:R89" si="41">IF(P$12=0,0,P83/P$12)</f>
        <v>1.210151025378407E-5</v>
      </c>
      <c r="S83" s="1"/>
      <c r="T83" s="1">
        <f>SUM(OSRRefT22_4x_0)</f>
        <v>372.67</v>
      </c>
      <c r="U83" s="1"/>
      <c r="V83" s="5">
        <f t="shared" ref="V83:V89" si="42">IF(T$12=0,0,T83/T$12)</f>
        <v>1.0186839489025923E-4</v>
      </c>
      <c r="W83" s="1"/>
      <c r="X83" s="1">
        <f t="shared" ref="X83:X89" si="43">+P83-T83</f>
        <v>-334.79</v>
      </c>
      <c r="Y83" s="1"/>
      <c r="Z83" s="5">
        <f t="shared" ref="Z83:Z89" si="44">IF(T83=0,0,X83/T83)</f>
        <v>-0.89835511310274507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7"/>
        <v>0</v>
      </c>
      <c r="G84" s="2"/>
      <c r="H84" s="6"/>
      <c r="I84" s="2"/>
      <c r="J84" s="7">
        <f t="shared" si="38"/>
        <v>0</v>
      </c>
      <c r="K84" s="2"/>
      <c r="L84" s="6">
        <f t="shared" si="39"/>
        <v>0</v>
      </c>
      <c r="M84" s="2"/>
      <c r="N84" s="7">
        <f t="shared" si="40"/>
        <v>0</v>
      </c>
      <c r="O84" s="11"/>
      <c r="P84" s="6">
        <v>37.880000000000003</v>
      </c>
      <c r="Q84" s="2"/>
      <c r="R84" s="7">
        <f t="shared" si="41"/>
        <v>1.210151025378407E-5</v>
      </c>
      <c r="S84" s="2"/>
      <c r="T84" s="6">
        <v>372.67</v>
      </c>
      <c r="U84" s="2"/>
      <c r="V84" s="7">
        <f t="shared" si="42"/>
        <v>1.0186839489025923E-4</v>
      </c>
      <c r="W84" s="2"/>
      <c r="X84" s="6">
        <f t="shared" si="43"/>
        <v>-334.79</v>
      </c>
      <c r="Y84" s="2"/>
      <c r="Z84" s="7">
        <f t="shared" si="44"/>
        <v>-0.89835511310274507</v>
      </c>
    </row>
    <row r="85" spans="1:26" s="26" customFormat="1" outlineLevel="1" collapsed="1" x14ac:dyDescent="0.25">
      <c r="A85" s="27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37"/>
        <v>8.3501985047874323E-5</v>
      </c>
      <c r="G85" s="1"/>
      <c r="H85" s="1">
        <f>SUM(OSRRefH22_5x_0)</f>
        <v>91.26</v>
      </c>
      <c r="I85" s="1"/>
      <c r="J85" s="5">
        <f t="shared" si="38"/>
        <v>7.2593696161017682E-5</v>
      </c>
      <c r="K85" s="1"/>
      <c r="L85" s="1">
        <f t="shared" si="39"/>
        <v>0</v>
      </c>
      <c r="M85" s="1"/>
      <c r="N85" s="5">
        <f t="shared" si="40"/>
        <v>0</v>
      </c>
      <c r="O85" s="13"/>
      <c r="P85" s="1">
        <f>SUM(OSRRefP22_5x_0)</f>
        <v>638.82000000000005</v>
      </c>
      <c r="Q85" s="1"/>
      <c r="R85" s="5">
        <f t="shared" si="41"/>
        <v>2.0408360032529935E-4</v>
      </c>
      <c r="S85" s="1"/>
      <c r="T85" s="1">
        <f>SUM(OSRRefT22_5x_0)</f>
        <v>638.82000000000005</v>
      </c>
      <c r="U85" s="1"/>
      <c r="V85" s="5">
        <f t="shared" si="42"/>
        <v>1.7461981920679261E-4</v>
      </c>
      <c r="W85" s="1"/>
      <c r="X85" s="1">
        <f t="shared" si="43"/>
        <v>0</v>
      </c>
      <c r="Y85" s="1"/>
      <c r="Z85" s="5">
        <f t="shared" si="44"/>
        <v>0</v>
      </c>
    </row>
    <row r="86" spans="1:26" s="24" customFormat="1" hidden="1" outlineLevel="2" x14ac:dyDescent="0.25">
      <c r="A86" s="25"/>
      <c r="B86" s="11" t="str">
        <f>CONCATENATE("          ", "6351", " - ", "EQUIPMENT RENTAL")</f>
        <v xml:space="preserve">          6351 - EQUIPMENT RENTAL</v>
      </c>
      <c r="C86" s="11"/>
      <c r="D86" s="6">
        <v>91.26</v>
      </c>
      <c r="E86" s="2"/>
      <c r="F86" s="7">
        <f t="shared" si="37"/>
        <v>8.3501985047874323E-5</v>
      </c>
      <c r="G86" s="2"/>
      <c r="H86" s="6">
        <v>91.26</v>
      </c>
      <c r="I86" s="2"/>
      <c r="J86" s="7">
        <f t="shared" si="38"/>
        <v>7.2593696161017682E-5</v>
      </c>
      <c r="K86" s="2"/>
      <c r="L86" s="6">
        <f t="shared" si="39"/>
        <v>0</v>
      </c>
      <c r="M86" s="2"/>
      <c r="N86" s="7">
        <f t="shared" si="40"/>
        <v>0</v>
      </c>
      <c r="O86" s="11"/>
      <c r="P86" s="6">
        <v>638.82000000000005</v>
      </c>
      <c r="Q86" s="2"/>
      <c r="R86" s="7">
        <f t="shared" si="41"/>
        <v>2.0408360032529935E-4</v>
      </c>
      <c r="S86" s="2"/>
      <c r="T86" s="6">
        <v>638.82000000000005</v>
      </c>
      <c r="U86" s="2"/>
      <c r="V86" s="7">
        <f t="shared" si="42"/>
        <v>1.7461981920679261E-4</v>
      </c>
      <c r="W86" s="2"/>
      <c r="X86" s="6">
        <f t="shared" si="43"/>
        <v>0</v>
      </c>
      <c r="Y86" s="2"/>
      <c r="Z86" s="7">
        <f t="shared" si="44"/>
        <v>0</v>
      </c>
    </row>
    <row r="87" spans="1:26" s="26" customFormat="1" outlineLevel="1" collapsed="1" x14ac:dyDescent="0.25">
      <c r="A87" s="27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11.489999999999998</v>
      </c>
      <c r="E87" s="1"/>
      <c r="F87" s="5">
        <f t="shared" si="37"/>
        <v>1.0513234803857942E-5</v>
      </c>
      <c r="G87" s="1"/>
      <c r="H87" s="1">
        <f>SUM(OSRRefH22_6x_0)</f>
        <v>1675.76</v>
      </c>
      <c r="I87" s="1"/>
      <c r="J87" s="5">
        <f t="shared" si="38"/>
        <v>1.3330003537013694E-3</v>
      </c>
      <c r="K87" s="1"/>
      <c r="L87" s="1">
        <f t="shared" si="39"/>
        <v>-1664.27</v>
      </c>
      <c r="M87" s="1"/>
      <c r="N87" s="5">
        <f t="shared" si="40"/>
        <v>-0.9931434095574545</v>
      </c>
      <c r="O87" s="13"/>
      <c r="P87" s="1">
        <f>SUM(OSRRefP22_6x_0)</f>
        <v>11953.390000000001</v>
      </c>
      <c r="Q87" s="1"/>
      <c r="R87" s="5">
        <f t="shared" si="41"/>
        <v>3.8187452917761342E-3</v>
      </c>
      <c r="S87" s="1"/>
      <c r="T87" s="1">
        <f>SUM(OSRRefT22_6x_0)</f>
        <v>15426.810000000001</v>
      </c>
      <c r="U87" s="1"/>
      <c r="V87" s="5">
        <f t="shared" si="42"/>
        <v>4.216879204059892E-3</v>
      </c>
      <c r="W87" s="1"/>
      <c r="X87" s="1">
        <f t="shared" si="43"/>
        <v>-3473.42</v>
      </c>
      <c r="Y87" s="1"/>
      <c r="Z87" s="5">
        <f t="shared" si="44"/>
        <v>-0.22515477924470451</v>
      </c>
    </row>
    <row r="88" spans="1:26" s="24" customFormat="1" hidden="1" outlineLevel="2" x14ac:dyDescent="0.25">
      <c r="A88" s="25"/>
      <c r="B88" s="11" t="str">
        <f>CONCATENATE("          ", "6305", " - ", "FREIGHT OUT")</f>
        <v xml:space="preserve">          6305 - FREIGHT OUT</v>
      </c>
      <c r="C88" s="11"/>
      <c r="D88" s="6">
        <v>10.54</v>
      </c>
      <c r="E88" s="2"/>
      <c r="F88" s="7">
        <f t="shared" si="37"/>
        <v>9.6439943283431433E-6</v>
      </c>
      <c r="G88" s="2"/>
      <c r="H88" s="6">
        <v>1675.76</v>
      </c>
      <c r="I88" s="2"/>
      <c r="J88" s="7">
        <f t="shared" si="38"/>
        <v>1.3330003537013694E-3</v>
      </c>
      <c r="K88" s="2"/>
      <c r="L88" s="6">
        <f t="shared" si="39"/>
        <v>-1665.22</v>
      </c>
      <c r="M88" s="2"/>
      <c r="N88" s="7">
        <f t="shared" si="40"/>
        <v>-0.99371031651310449</v>
      </c>
      <c r="O88" s="11"/>
      <c r="P88" s="6">
        <v>11951.94</v>
      </c>
      <c r="Q88" s="2"/>
      <c r="R88" s="7">
        <f t="shared" si="41"/>
        <v>3.8182820607870109E-3</v>
      </c>
      <c r="S88" s="2"/>
      <c r="T88" s="6">
        <v>15423.52</v>
      </c>
      <c r="U88" s="2"/>
      <c r="V88" s="7">
        <f t="shared" si="42"/>
        <v>4.2159798909432228E-3</v>
      </c>
      <c r="W88" s="2"/>
      <c r="X88" s="6">
        <f t="shared" si="43"/>
        <v>-3471.58</v>
      </c>
      <c r="Y88" s="2"/>
      <c r="Z88" s="7">
        <f t="shared" si="44"/>
        <v>-0.22508350882288866</v>
      </c>
    </row>
    <row r="89" spans="1:26" s="24" customFormat="1" hidden="1" outlineLevel="2" x14ac:dyDescent="0.25">
      <c r="A89" s="25"/>
      <c r="B89" s="11" t="str">
        <f>CONCATENATE("          ", "6307", " - ", "POSTAGE")</f>
        <v xml:space="preserve">          6307 - POSTAGE</v>
      </c>
      <c r="C89" s="11"/>
      <c r="D89" s="6">
        <v>0.95</v>
      </c>
      <c r="E89" s="2"/>
      <c r="F89" s="7">
        <f t="shared" si="37"/>
        <v>8.6924047551479946E-7</v>
      </c>
      <c r="G89" s="2"/>
      <c r="H89" s="6"/>
      <c r="I89" s="2"/>
      <c r="J89" s="7">
        <f t="shared" si="38"/>
        <v>0</v>
      </c>
      <c r="K89" s="2"/>
      <c r="L89" s="6">
        <f t="shared" si="39"/>
        <v>0.95</v>
      </c>
      <c r="M89" s="2"/>
      <c r="N89" s="7">
        <f t="shared" si="40"/>
        <v>0</v>
      </c>
      <c r="O89" s="11"/>
      <c r="P89" s="6">
        <v>1.45</v>
      </c>
      <c r="Q89" s="2"/>
      <c r="R89" s="7">
        <f t="shared" si="41"/>
        <v>4.632309891232022E-7</v>
      </c>
      <c r="S89" s="2"/>
      <c r="T89" s="6">
        <v>3.29</v>
      </c>
      <c r="U89" s="2"/>
      <c r="V89" s="7">
        <f t="shared" si="42"/>
        <v>8.9931311666877629E-7</v>
      </c>
      <c r="W89" s="2"/>
      <c r="X89" s="6">
        <f t="shared" si="43"/>
        <v>-1.84</v>
      </c>
      <c r="Y89" s="2"/>
      <c r="Z89" s="7">
        <f t="shared" si="44"/>
        <v>-0.55927051671732519</v>
      </c>
    </row>
    <row r="90" spans="1:26" s="26" customFormat="1" outlineLevel="1" collapsed="1" x14ac:dyDescent="0.25">
      <c r="A90" s="27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SUM(OSRRefD22_7x_0)</f>
        <v>100.16</v>
      </c>
      <c r="E90" s="1"/>
      <c r="F90" s="5">
        <f t="shared" ref="F90:F96" si="45">IF(D$12=0,0,D90/D$12)</f>
        <v>9.1645395818486651E-5</v>
      </c>
      <c r="G90" s="1"/>
      <c r="H90" s="1">
        <f>SUM(OSRRefH22_7x_0)</f>
        <v>0</v>
      </c>
      <c r="I90" s="1"/>
      <c r="J90" s="5">
        <f t="shared" ref="J90:J96" si="46">IF(H$12=0,0,H90/H$12)</f>
        <v>0</v>
      </c>
      <c r="K90" s="1"/>
      <c r="L90" s="1">
        <f t="shared" ref="L90:L96" si="47">+D90-H90</f>
        <v>100.16</v>
      </c>
      <c r="M90" s="1"/>
      <c r="N90" s="5">
        <f t="shared" ref="N90:N96" si="48">IF(H90=0,0,L90/H90)</f>
        <v>0</v>
      </c>
      <c r="O90" s="13"/>
      <c r="P90" s="1">
        <f>SUM(OSRRefP22_7x_0)</f>
        <v>8253.06</v>
      </c>
      <c r="Q90" s="1"/>
      <c r="R90" s="5">
        <f t="shared" ref="R90:R96" si="49">IF(P$12=0,0,P90/P$12)</f>
        <v>2.6366021704090589E-3</v>
      </c>
      <c r="S90" s="1"/>
      <c r="T90" s="1">
        <f>SUM(OSRRefT22_7x_0)</f>
        <v>10865.1</v>
      </c>
      <c r="U90" s="1"/>
      <c r="V90" s="5">
        <f t="shared" ref="V90:V96" si="50">IF(T$12=0,0,T90/T$12)</f>
        <v>2.9699473993671493E-3</v>
      </c>
      <c r="W90" s="1"/>
      <c r="X90" s="1">
        <f t="shared" ref="X90:X96" si="51">+P90-T90</f>
        <v>-2612.0400000000009</v>
      </c>
      <c r="Y90" s="1"/>
      <c r="Z90" s="5">
        <f t="shared" ref="Z90:Z96" si="52">IF(T90=0,0,X90/T90)</f>
        <v>-0.24040643896512695</v>
      </c>
    </row>
    <row r="91" spans="1:26" s="24" customFormat="1" hidden="1" outlineLevel="2" x14ac:dyDescent="0.25">
      <c r="A91" s="25"/>
      <c r="B91" s="11" t="str">
        <f>CONCATENATE("          ", "6279", " - ", "GENERAL EXPENSE")</f>
        <v xml:space="preserve">          6279 - GENERAL EXPENSE</v>
      </c>
      <c r="C91" s="11"/>
      <c r="D91" s="6">
        <v>100.16</v>
      </c>
      <c r="E91" s="2"/>
      <c r="F91" s="7">
        <f t="shared" si="45"/>
        <v>9.1645395818486651E-5</v>
      </c>
      <c r="G91" s="2"/>
      <c r="H91" s="6"/>
      <c r="I91" s="2"/>
      <c r="J91" s="7">
        <f t="shared" si="46"/>
        <v>0</v>
      </c>
      <c r="K91" s="2"/>
      <c r="L91" s="6">
        <f t="shared" si="47"/>
        <v>100.16</v>
      </c>
      <c r="M91" s="2"/>
      <c r="N91" s="7">
        <f t="shared" si="48"/>
        <v>0</v>
      </c>
      <c r="O91" s="11"/>
      <c r="P91" s="6">
        <v>8253.06</v>
      </c>
      <c r="Q91" s="2"/>
      <c r="R91" s="7">
        <f t="shared" si="49"/>
        <v>2.6366021704090589E-3</v>
      </c>
      <c r="S91" s="2"/>
      <c r="T91" s="6">
        <v>10865.1</v>
      </c>
      <c r="U91" s="2"/>
      <c r="V91" s="7">
        <f t="shared" si="50"/>
        <v>2.9699473993671493E-3</v>
      </c>
      <c r="W91" s="2"/>
      <c r="X91" s="6">
        <f t="shared" si="51"/>
        <v>-2612.0400000000009</v>
      </c>
      <c r="Y91" s="2"/>
      <c r="Z91" s="7">
        <f t="shared" si="52"/>
        <v>-0.24040643896512695</v>
      </c>
    </row>
    <row r="92" spans="1:26" s="26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SUM(OSRRefD22_8x_0)</f>
        <v>1000</v>
      </c>
      <c r="E92" s="1"/>
      <c r="F92" s="5">
        <f t="shared" si="45"/>
        <v>9.1498997422610479E-4</v>
      </c>
      <c r="G92" s="1"/>
      <c r="H92" s="1">
        <f>SUM(OSRRefH22_8x_0)</f>
        <v>6950</v>
      </c>
      <c r="I92" s="1"/>
      <c r="J92" s="5">
        <f t="shared" si="46"/>
        <v>5.5284482612214863E-3</v>
      </c>
      <c r="K92" s="1"/>
      <c r="L92" s="1">
        <f t="shared" si="47"/>
        <v>-5950</v>
      </c>
      <c r="M92" s="1"/>
      <c r="N92" s="5">
        <f t="shared" si="48"/>
        <v>-0.85611510791366907</v>
      </c>
      <c r="O92" s="13"/>
      <c r="P92" s="1">
        <f>SUM(OSRRefP22_8x_0)</f>
        <v>12800</v>
      </c>
      <c r="Q92" s="1"/>
      <c r="R92" s="5">
        <f t="shared" si="49"/>
        <v>4.0892114901910264E-3</v>
      </c>
      <c r="S92" s="1"/>
      <c r="T92" s="1">
        <f>SUM(OSRRefT22_8x_0)</f>
        <v>48650</v>
      </c>
      <c r="U92" s="1"/>
      <c r="V92" s="5">
        <f t="shared" si="50"/>
        <v>1.3298353533719139E-2</v>
      </c>
      <c r="W92" s="1"/>
      <c r="X92" s="1">
        <f t="shared" si="51"/>
        <v>-35850</v>
      </c>
      <c r="Y92" s="1"/>
      <c r="Z92" s="5">
        <f t="shared" si="52"/>
        <v>-0.73689619732785205</v>
      </c>
    </row>
    <row r="93" spans="1:26" s="24" customFormat="1" hidden="1" outlineLevel="2" x14ac:dyDescent="0.25">
      <c r="A93" s="25"/>
      <c r="B93" s="11" t="str">
        <f>CONCATENATE("          ", "6408", " - ", "INVENTORY ADJUSTMENT")</f>
        <v xml:space="preserve">          6408 - INVENTORY ADJUSTMENT</v>
      </c>
      <c r="C93" s="11"/>
      <c r="D93" s="6">
        <v>1000</v>
      </c>
      <c r="E93" s="2"/>
      <c r="F93" s="7">
        <f t="shared" si="45"/>
        <v>9.1498997422610479E-4</v>
      </c>
      <c r="G93" s="2"/>
      <c r="H93" s="6">
        <v>6950</v>
      </c>
      <c r="I93" s="2"/>
      <c r="J93" s="7">
        <f t="shared" si="46"/>
        <v>5.5284482612214863E-3</v>
      </c>
      <c r="K93" s="2"/>
      <c r="L93" s="6">
        <f t="shared" si="47"/>
        <v>-5950</v>
      </c>
      <c r="M93" s="2"/>
      <c r="N93" s="7">
        <f t="shared" si="48"/>
        <v>-0.85611510791366907</v>
      </c>
      <c r="O93" s="11"/>
      <c r="P93" s="6">
        <v>12800</v>
      </c>
      <c r="Q93" s="2"/>
      <c r="R93" s="7">
        <f t="shared" si="49"/>
        <v>4.0892114901910264E-3</v>
      </c>
      <c r="S93" s="2"/>
      <c r="T93" s="6">
        <v>48650</v>
      </c>
      <c r="U93" s="2"/>
      <c r="V93" s="7">
        <f t="shared" si="50"/>
        <v>1.3298353533719139E-2</v>
      </c>
      <c r="W93" s="2"/>
      <c r="X93" s="6">
        <f t="shared" si="51"/>
        <v>-35850</v>
      </c>
      <c r="Y93" s="2"/>
      <c r="Z93" s="7">
        <f t="shared" si="52"/>
        <v>-0.73689619732785205</v>
      </c>
    </row>
    <row r="94" spans="1:26" s="26" customFormat="1" outlineLevel="1" collapsed="1" x14ac:dyDescent="0.25">
      <c r="A94" s="27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0</v>
      </c>
      <c r="E94" s="1"/>
      <c r="F94" s="5">
        <f t="shared" si="45"/>
        <v>0</v>
      </c>
      <c r="G94" s="1"/>
      <c r="H94" s="1">
        <f>SUM(OSRRefH22_9x_0)</f>
        <v>140.67000000000002</v>
      </c>
      <c r="I94" s="1"/>
      <c r="J94" s="5">
        <f t="shared" si="46"/>
        <v>1.1189738372748584E-4</v>
      </c>
      <c r="K94" s="1"/>
      <c r="L94" s="1">
        <f t="shared" si="47"/>
        <v>-140.67000000000002</v>
      </c>
      <c r="M94" s="1"/>
      <c r="N94" s="5">
        <f t="shared" si="48"/>
        <v>-1</v>
      </c>
      <c r="O94" s="13"/>
      <c r="P94" s="1">
        <f>SUM(OSRRefP22_9x_0)</f>
        <v>143.16</v>
      </c>
      <c r="Q94" s="1"/>
      <c r="R94" s="5">
        <f t="shared" si="49"/>
        <v>4.5735274760605261E-5</v>
      </c>
      <c r="S94" s="1"/>
      <c r="T94" s="1">
        <f>SUM(OSRRefT22_9x_0)</f>
        <v>682.85</v>
      </c>
      <c r="U94" s="1"/>
      <c r="V94" s="5">
        <f t="shared" si="50"/>
        <v>1.866553075128492E-4</v>
      </c>
      <c r="W94" s="1"/>
      <c r="X94" s="1">
        <f t="shared" si="51"/>
        <v>-539.69000000000005</v>
      </c>
      <c r="Y94" s="1"/>
      <c r="Z94" s="5">
        <f t="shared" si="52"/>
        <v>-0.79034927143589373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6"/>
      <c r="E95" s="2"/>
      <c r="F95" s="7">
        <f t="shared" si="45"/>
        <v>0</v>
      </c>
      <c r="G95" s="2"/>
      <c r="H95" s="6">
        <v>62.67</v>
      </c>
      <c r="I95" s="2"/>
      <c r="J95" s="7">
        <f t="shared" si="46"/>
        <v>4.9851489572769864E-5</v>
      </c>
      <c r="K95" s="2"/>
      <c r="L95" s="6">
        <f t="shared" si="47"/>
        <v>-62.67</v>
      </c>
      <c r="M95" s="2"/>
      <c r="N95" s="7">
        <f t="shared" si="48"/>
        <v>-1</v>
      </c>
      <c r="O95" s="11"/>
      <c r="P95" s="6">
        <v>143.16</v>
      </c>
      <c r="Q95" s="2"/>
      <c r="R95" s="7">
        <f t="shared" si="49"/>
        <v>4.5735274760605261E-5</v>
      </c>
      <c r="S95" s="2"/>
      <c r="T95" s="6">
        <v>214.85</v>
      </c>
      <c r="U95" s="2"/>
      <c r="V95" s="7">
        <f t="shared" si="50"/>
        <v>5.8728700035345464E-5</v>
      </c>
      <c r="W95" s="2"/>
      <c r="X95" s="6">
        <f t="shared" si="51"/>
        <v>-71.69</v>
      </c>
      <c r="Y95" s="2"/>
      <c r="Z95" s="7">
        <f t="shared" si="52"/>
        <v>-0.33367465673725855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5"/>
        <v>0</v>
      </c>
      <c r="G96" s="2"/>
      <c r="H96" s="6">
        <v>78</v>
      </c>
      <c r="I96" s="2"/>
      <c r="J96" s="7">
        <f t="shared" si="46"/>
        <v>6.204589415471596E-5</v>
      </c>
      <c r="K96" s="2"/>
      <c r="L96" s="6">
        <f t="shared" si="47"/>
        <v>-78</v>
      </c>
      <c r="M96" s="2"/>
      <c r="N96" s="7">
        <f t="shared" si="48"/>
        <v>-1</v>
      </c>
      <c r="O96" s="11"/>
      <c r="P96" s="6"/>
      <c r="Q96" s="2"/>
      <c r="R96" s="7">
        <f t="shared" si="49"/>
        <v>0</v>
      </c>
      <c r="S96" s="2"/>
      <c r="T96" s="6">
        <v>468</v>
      </c>
      <c r="U96" s="2"/>
      <c r="V96" s="7">
        <f t="shared" si="50"/>
        <v>1.2792660747750373E-4</v>
      </c>
      <c r="W96" s="2"/>
      <c r="X96" s="6">
        <f t="shared" si="51"/>
        <v>-468</v>
      </c>
      <c r="Y96" s="2"/>
      <c r="Z96" s="7">
        <f t="shared" si="52"/>
        <v>-1</v>
      </c>
    </row>
    <row r="97" spans="1:26" s="26" customFormat="1" outlineLevel="1" collapsed="1" x14ac:dyDescent="0.25">
      <c r="A97" s="27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SUM(OSRRefD22_10x_0)</f>
        <v>258.10000000000002</v>
      </c>
      <c r="E97" s="1"/>
      <c r="F97" s="5">
        <f t="shared" ref="F97:F99" si="53">IF(D$12=0,0,D97/D$12)</f>
        <v>2.3615891234775766E-4</v>
      </c>
      <c r="G97" s="1"/>
      <c r="H97" s="1">
        <f>SUM(OSRRefH22_10x_0)</f>
        <v>2048.1400000000003</v>
      </c>
      <c r="I97" s="1"/>
      <c r="J97" s="5">
        <f t="shared" ref="J97:J99" si="54">IF(H$12=0,0,H97/H$12)</f>
        <v>1.6292138160774355E-3</v>
      </c>
      <c r="K97" s="1"/>
      <c r="L97" s="1">
        <f t="shared" ref="L97:L99" si="55">+D97-H97</f>
        <v>-1790.0400000000004</v>
      </c>
      <c r="M97" s="1"/>
      <c r="N97" s="5">
        <f t="shared" ref="N97:N99" si="56">IF(H97=0,0,L97/H97)</f>
        <v>-0.87398322380306037</v>
      </c>
      <c r="O97" s="13"/>
      <c r="P97" s="1">
        <f>SUM(OSRRefP22_10x_0)</f>
        <v>1815.5</v>
      </c>
      <c r="Q97" s="1"/>
      <c r="R97" s="5">
        <f t="shared" ref="R97:R99" si="57">IF(P$12=0,0,P97/P$12)</f>
        <v>5.7999714534701628E-4</v>
      </c>
      <c r="S97" s="1"/>
      <c r="T97" s="1">
        <f>SUM(OSRRefT22_10x_0)</f>
        <v>7061.5</v>
      </c>
      <c r="U97" s="1"/>
      <c r="V97" s="5">
        <f t="shared" ref="V97:V99" si="58">IF(T$12=0,0,T97/T$12)</f>
        <v>1.9302430314153689E-3</v>
      </c>
      <c r="W97" s="1"/>
      <c r="X97" s="1">
        <f t="shared" ref="X97:X99" si="59">+P97-T97</f>
        <v>-5246</v>
      </c>
      <c r="Y97" s="1"/>
      <c r="Z97" s="5">
        <f t="shared" ref="Z97:Z99" si="60">IF(T97=0,0,X97/T97)</f>
        <v>-0.74290164979112083</v>
      </c>
    </row>
    <row r="98" spans="1:26" s="24" customFormat="1" hidden="1" outlineLevel="2" x14ac:dyDescent="0.25">
      <c r="A98" s="25"/>
      <c r="B98" s="11" t="str">
        <f>CONCATENATE("          ", "6258", " - ", "MEMBERSHIP DUES")</f>
        <v xml:space="preserve">          6258 - MEMBERSHIP DUES</v>
      </c>
      <c r="C98" s="11"/>
      <c r="D98" s="6">
        <v>258.10000000000002</v>
      </c>
      <c r="E98" s="2"/>
      <c r="F98" s="7">
        <f t="shared" si="53"/>
        <v>2.3615891234775766E-4</v>
      </c>
      <c r="G98" s="2"/>
      <c r="H98" s="6">
        <v>250</v>
      </c>
      <c r="I98" s="2"/>
      <c r="J98" s="7">
        <f t="shared" si="54"/>
        <v>1.9886504536767937E-4</v>
      </c>
      <c r="K98" s="2"/>
      <c r="L98" s="6">
        <f t="shared" si="55"/>
        <v>8.1000000000000227</v>
      </c>
      <c r="M98" s="2"/>
      <c r="N98" s="7">
        <f t="shared" si="56"/>
        <v>3.2400000000000088E-2</v>
      </c>
      <c r="O98" s="11"/>
      <c r="P98" s="6">
        <v>1815.5</v>
      </c>
      <c r="Q98" s="2"/>
      <c r="R98" s="7">
        <f t="shared" si="57"/>
        <v>5.7999714534701628E-4</v>
      </c>
      <c r="S98" s="2"/>
      <c r="T98" s="6">
        <v>5263.36</v>
      </c>
      <c r="U98" s="2"/>
      <c r="V98" s="7">
        <f t="shared" si="58"/>
        <v>1.4387260443008418E-3</v>
      </c>
      <c r="W98" s="2"/>
      <c r="X98" s="6">
        <f t="shared" si="59"/>
        <v>-3447.8599999999997</v>
      </c>
      <c r="Y98" s="2"/>
      <c r="Z98" s="7">
        <f t="shared" si="60"/>
        <v>-0.65506824537937736</v>
      </c>
    </row>
    <row r="99" spans="1:26" s="24" customFormat="1" hidden="1" outlineLevel="2" x14ac:dyDescent="0.25">
      <c r="A99" s="25"/>
      <c r="B99" s="11" t="str">
        <f>CONCATENATE("          ", "6275", " - ", "SUBSCRIPTIONS")</f>
        <v xml:space="preserve">          6275 - SUBSCRIPTIONS</v>
      </c>
      <c r="C99" s="11"/>
      <c r="D99" s="6"/>
      <c r="E99" s="2"/>
      <c r="F99" s="7">
        <f t="shared" si="53"/>
        <v>0</v>
      </c>
      <c r="G99" s="2"/>
      <c r="H99" s="6">
        <v>1798.14</v>
      </c>
      <c r="I99" s="2"/>
      <c r="J99" s="7">
        <f t="shared" si="54"/>
        <v>1.4303487707097559E-3</v>
      </c>
      <c r="K99" s="2"/>
      <c r="L99" s="6">
        <f t="shared" si="55"/>
        <v>-1798.14</v>
      </c>
      <c r="M99" s="2"/>
      <c r="N99" s="7">
        <f t="shared" si="56"/>
        <v>-1</v>
      </c>
      <c r="O99" s="11"/>
      <c r="P99" s="6"/>
      <c r="Q99" s="2"/>
      <c r="R99" s="7">
        <f t="shared" si="57"/>
        <v>0</v>
      </c>
      <c r="S99" s="2"/>
      <c r="T99" s="6">
        <v>1798.14</v>
      </c>
      <c r="U99" s="2"/>
      <c r="V99" s="7">
        <f t="shared" si="58"/>
        <v>4.9151698711452684E-4</v>
      </c>
      <c r="W99" s="2"/>
      <c r="X99" s="6">
        <f t="shared" si="59"/>
        <v>-1798.14</v>
      </c>
      <c r="Y99" s="2"/>
      <c r="Z99" s="7">
        <f t="shared" si="60"/>
        <v>-1</v>
      </c>
    </row>
    <row r="100" spans="1:26" s="26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220.28</v>
      </c>
      <c r="E100" s="1"/>
      <c r="F100" s="5">
        <f t="shared" ref="F100:F104" si="61">IF(D$12=0,0,D100/D$12)</f>
        <v>2.0155399152252637E-4</v>
      </c>
      <c r="G100" s="1"/>
      <c r="H100" s="1">
        <f>SUM(OSRRefH22_11x_0)</f>
        <v>1635.6399999999999</v>
      </c>
      <c r="I100" s="1"/>
      <c r="J100" s="5">
        <f t="shared" ref="J100:J104" si="62">IF(H$12=0,0,H100/H$12)</f>
        <v>1.3010864912207643E-3</v>
      </c>
      <c r="K100" s="1"/>
      <c r="L100" s="1">
        <f t="shared" ref="L100:L104" si="63">+D100-H100</f>
        <v>-1415.36</v>
      </c>
      <c r="M100" s="1"/>
      <c r="N100" s="5">
        <f t="shared" ref="N100:N104" si="64">IF(H100=0,0,L100/H100)</f>
        <v>-0.86532488811718966</v>
      </c>
      <c r="O100" s="13"/>
      <c r="P100" s="1">
        <f>SUM(OSRRefP22_11x_0)</f>
        <v>9643.3300000000017</v>
      </c>
      <c r="Q100" s="1"/>
      <c r="R100" s="5">
        <f t="shared" ref="R100:R104" si="65">IF(P$12=0,0,P100/P$12)</f>
        <v>3.0807512374768625E-3</v>
      </c>
      <c r="S100" s="1"/>
      <c r="T100" s="1">
        <f>SUM(OSRRefT22_11x_0)</f>
        <v>13971.7</v>
      </c>
      <c r="U100" s="1"/>
      <c r="V100" s="5">
        <f t="shared" ref="V100:V104" si="66">IF(T$12=0,0,T100/T$12)</f>
        <v>3.8191285933620494E-3</v>
      </c>
      <c r="W100" s="1"/>
      <c r="X100" s="1">
        <f t="shared" ref="X100:X104" si="67">+P100-T100</f>
        <v>-4328.369999999999</v>
      </c>
      <c r="Y100" s="1"/>
      <c r="Z100" s="5">
        <f t="shared" ref="Z100:Z104" si="68">IF(T100=0,0,X100/T100)</f>
        <v>-0.30979551522005189</v>
      </c>
    </row>
    <row r="101" spans="1:26" s="24" customFormat="1" hidden="1" outlineLevel="2" x14ac:dyDescent="0.25">
      <c r="A101" s="25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/>
      <c r="E101" s="2"/>
      <c r="F101" s="7">
        <f t="shared" si="61"/>
        <v>0</v>
      </c>
      <c r="G101" s="2"/>
      <c r="H101" s="6"/>
      <c r="I101" s="2"/>
      <c r="J101" s="7">
        <f t="shared" si="62"/>
        <v>0</v>
      </c>
      <c r="K101" s="2"/>
      <c r="L101" s="6">
        <f t="shared" si="63"/>
        <v>0</v>
      </c>
      <c r="M101" s="2"/>
      <c r="N101" s="7">
        <f t="shared" si="64"/>
        <v>0</v>
      </c>
      <c r="O101" s="11"/>
      <c r="P101" s="6"/>
      <c r="Q101" s="2"/>
      <c r="R101" s="7">
        <f t="shared" si="65"/>
        <v>0</v>
      </c>
      <c r="S101" s="2"/>
      <c r="T101" s="6">
        <v>272.45999999999998</v>
      </c>
      <c r="U101" s="2"/>
      <c r="V101" s="7">
        <f t="shared" si="66"/>
        <v>7.4476246737864674E-5</v>
      </c>
      <c r="W101" s="2"/>
      <c r="X101" s="6">
        <f t="shared" si="67"/>
        <v>-272.45999999999998</v>
      </c>
      <c r="Y101" s="2"/>
      <c r="Z101" s="7">
        <f t="shared" si="68"/>
        <v>-1</v>
      </c>
    </row>
    <row r="102" spans="1:26" s="24" customFormat="1" hidden="1" outlineLevel="2" x14ac:dyDescent="0.25">
      <c r="A102" s="25"/>
      <c r="B102" s="11" t="str">
        <f>CONCATENATE("          ", "6241", " - ", "OFFICE EXPENSE")</f>
        <v xml:space="preserve">          6241 - OFFICE EXPENSE</v>
      </c>
      <c r="C102" s="11"/>
      <c r="D102" s="6">
        <v>220.28</v>
      </c>
      <c r="E102" s="2"/>
      <c r="F102" s="7">
        <f t="shared" si="61"/>
        <v>2.0155399152252637E-4</v>
      </c>
      <c r="G102" s="2"/>
      <c r="H102" s="6">
        <v>599.41999999999996</v>
      </c>
      <c r="I102" s="2"/>
      <c r="J102" s="7">
        <f t="shared" si="62"/>
        <v>4.7681474197717744E-4</v>
      </c>
      <c r="K102" s="2"/>
      <c r="L102" s="6">
        <f t="shared" si="63"/>
        <v>-379.14</v>
      </c>
      <c r="M102" s="2"/>
      <c r="N102" s="7">
        <f t="shared" si="64"/>
        <v>-0.63251142771345636</v>
      </c>
      <c r="O102" s="11"/>
      <c r="P102" s="6">
        <v>3804.21</v>
      </c>
      <c r="Q102" s="2"/>
      <c r="R102" s="7">
        <f t="shared" si="65"/>
        <v>1.2153296283671567E-3</v>
      </c>
      <c r="S102" s="2"/>
      <c r="T102" s="6">
        <v>5099.74</v>
      </c>
      <c r="U102" s="2"/>
      <c r="V102" s="7">
        <f t="shared" si="66"/>
        <v>1.3940009342250531E-3</v>
      </c>
      <c r="W102" s="2"/>
      <c r="X102" s="6">
        <f t="shared" si="67"/>
        <v>-1295.5299999999997</v>
      </c>
      <c r="Y102" s="2"/>
      <c r="Z102" s="7">
        <f t="shared" si="68"/>
        <v>-0.25403844117543245</v>
      </c>
    </row>
    <row r="103" spans="1:26" s="24" customFormat="1" hidden="1" outlineLevel="2" x14ac:dyDescent="0.25">
      <c r="A103" s="25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61"/>
        <v>0</v>
      </c>
      <c r="G103" s="2"/>
      <c r="H103" s="6">
        <v>116.42</v>
      </c>
      <c r="I103" s="2"/>
      <c r="J103" s="7">
        <f t="shared" si="62"/>
        <v>9.2607474326820933E-5</v>
      </c>
      <c r="K103" s="2"/>
      <c r="L103" s="6">
        <f t="shared" si="63"/>
        <v>-116.42</v>
      </c>
      <c r="M103" s="2"/>
      <c r="N103" s="7">
        <f t="shared" si="64"/>
        <v>-1</v>
      </c>
      <c r="O103" s="11"/>
      <c r="P103" s="6">
        <v>4978.08</v>
      </c>
      <c r="Q103" s="2"/>
      <c r="R103" s="7">
        <f t="shared" si="65"/>
        <v>1.5903454636789175E-3</v>
      </c>
      <c r="S103" s="2"/>
      <c r="T103" s="6">
        <v>2254.34</v>
      </c>
      <c r="U103" s="2"/>
      <c r="V103" s="7">
        <f t="shared" si="66"/>
        <v>6.1621809465990554E-4</v>
      </c>
      <c r="W103" s="2"/>
      <c r="X103" s="6">
        <f t="shared" si="67"/>
        <v>2723.74</v>
      </c>
      <c r="Y103" s="2"/>
      <c r="Z103" s="7">
        <f t="shared" si="68"/>
        <v>1.2082205878438921</v>
      </c>
    </row>
    <row r="104" spans="1:26" s="24" customFormat="1" hidden="1" outlineLevel="2" x14ac:dyDescent="0.25">
      <c r="A104" s="25"/>
      <c r="B104" s="11" t="str">
        <f>CONCATENATE("          ", "6247", " - ", "STORE SUPPLIES")</f>
        <v xml:space="preserve">          6247 - STORE SUPPLIES</v>
      </c>
      <c r="C104" s="11"/>
      <c r="D104" s="6"/>
      <c r="E104" s="2"/>
      <c r="F104" s="7">
        <f t="shared" si="61"/>
        <v>0</v>
      </c>
      <c r="G104" s="2"/>
      <c r="H104" s="6">
        <v>919.8</v>
      </c>
      <c r="I104" s="2"/>
      <c r="J104" s="7">
        <f t="shared" si="62"/>
        <v>7.3166427491676593E-4</v>
      </c>
      <c r="K104" s="2"/>
      <c r="L104" s="6">
        <f t="shared" si="63"/>
        <v>-919.8</v>
      </c>
      <c r="M104" s="2"/>
      <c r="N104" s="7">
        <f t="shared" si="64"/>
        <v>-1</v>
      </c>
      <c r="O104" s="11"/>
      <c r="P104" s="6">
        <v>861.04</v>
      </c>
      <c r="Q104" s="2"/>
      <c r="R104" s="7">
        <f t="shared" si="65"/>
        <v>2.750761454307876E-4</v>
      </c>
      <c r="S104" s="2"/>
      <c r="T104" s="6">
        <v>6345.16</v>
      </c>
      <c r="U104" s="2"/>
      <c r="V104" s="7">
        <f t="shared" si="66"/>
        <v>1.7344333177392256E-3</v>
      </c>
      <c r="W104" s="2"/>
      <c r="X104" s="6">
        <f t="shared" si="67"/>
        <v>-5484.12</v>
      </c>
      <c r="Y104" s="2"/>
      <c r="Z104" s="7">
        <f t="shared" si="68"/>
        <v>-0.86429971821041551</v>
      </c>
    </row>
    <row r="105" spans="1:26" s="26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SUM(OSRRefD22_12x_0)</f>
        <v>976.35</v>
      </c>
      <c r="E105" s="1"/>
      <c r="F105" s="5">
        <f t="shared" ref="F105:F107" si="69">IF(D$12=0,0,D105/D$12)</f>
        <v>8.933504613356574E-4</v>
      </c>
      <c r="G105" s="1"/>
      <c r="H105" s="1">
        <f>SUM(OSRRefH22_12x_0)</f>
        <v>680.5</v>
      </c>
      <c r="I105" s="1"/>
      <c r="J105" s="5">
        <f t="shared" ref="J105:J107" si="70">IF(H$12=0,0,H105/H$12)</f>
        <v>5.4131065349082323E-4</v>
      </c>
      <c r="K105" s="1"/>
      <c r="L105" s="1">
        <f t="shared" ref="L105:L107" si="71">+D105-H105</f>
        <v>295.85000000000002</v>
      </c>
      <c r="M105" s="1"/>
      <c r="N105" s="5">
        <f t="shared" ref="N105:N107" si="72">IF(H105=0,0,L105/H105)</f>
        <v>0.43475385745775169</v>
      </c>
      <c r="O105" s="13"/>
      <c r="P105" s="1">
        <f>SUM(OSRRefP22_12x_0)</f>
        <v>5910.3899999999994</v>
      </c>
      <c r="Q105" s="1"/>
      <c r="R105" s="5">
        <f t="shared" ref="R105:R107" si="73">IF(P$12=0,0,P105/P$12)</f>
        <v>1.8881902108992296E-3</v>
      </c>
      <c r="S105" s="1"/>
      <c r="T105" s="1">
        <f>SUM(OSRRefT22_12x_0)</f>
        <v>4535.45</v>
      </c>
      <c r="U105" s="1"/>
      <c r="V105" s="5">
        <f t="shared" ref="V105:V107" si="74">IF(T$12=0,0,T105/T$12)</f>
        <v>1.2397537006065048E-3</v>
      </c>
      <c r="W105" s="1"/>
      <c r="X105" s="1">
        <f t="shared" ref="X105:X107" si="75">+P105-T105</f>
        <v>1374.9399999999996</v>
      </c>
      <c r="Y105" s="1"/>
      <c r="Z105" s="5">
        <f t="shared" ref="Z105:Z107" si="76">IF(T105=0,0,X105/T105)</f>
        <v>0.30315404204654439</v>
      </c>
    </row>
    <row r="106" spans="1:26" s="24" customFormat="1" hidden="1" outlineLevel="2" x14ac:dyDescent="0.25">
      <c r="A106" s="25"/>
      <c r="B106" s="11" t="str">
        <f>CONCATENATE("          ", "6303", " - ", "DATA PHONE LINES")</f>
        <v xml:space="preserve">          6303 - DATA PHONE LINES</v>
      </c>
      <c r="C106" s="11"/>
      <c r="D106" s="6">
        <v>295</v>
      </c>
      <c r="E106" s="2"/>
      <c r="F106" s="7">
        <f t="shared" si="69"/>
        <v>2.6992204239670092E-4</v>
      </c>
      <c r="G106" s="2"/>
      <c r="H106" s="6">
        <v>885</v>
      </c>
      <c r="I106" s="2"/>
      <c r="J106" s="7">
        <f t="shared" si="70"/>
        <v>7.0398226060158493E-4</v>
      </c>
      <c r="K106" s="2"/>
      <c r="L106" s="6">
        <f t="shared" si="71"/>
        <v>-590</v>
      </c>
      <c r="M106" s="2"/>
      <c r="N106" s="7">
        <f t="shared" si="72"/>
        <v>-0.66666666666666663</v>
      </c>
      <c r="O106" s="11"/>
      <c r="P106" s="6">
        <v>2065</v>
      </c>
      <c r="Q106" s="2"/>
      <c r="R106" s="7">
        <f t="shared" si="73"/>
        <v>6.5970482244097415E-4</v>
      </c>
      <c r="S106" s="2"/>
      <c r="T106" s="6">
        <v>1770</v>
      </c>
      <c r="U106" s="2"/>
      <c r="V106" s="7">
        <f t="shared" si="74"/>
        <v>4.8382498981876411E-4</v>
      </c>
      <c r="W106" s="2"/>
      <c r="X106" s="6">
        <f t="shared" si="75"/>
        <v>295</v>
      </c>
      <c r="Y106" s="2"/>
      <c r="Z106" s="7">
        <f t="shared" si="76"/>
        <v>0.16666666666666666</v>
      </c>
    </row>
    <row r="107" spans="1:26" s="24" customFormat="1" hidden="1" outlineLevel="2" x14ac:dyDescent="0.25">
      <c r="A107" s="25"/>
      <c r="B107" s="11" t="str">
        <f>CONCATENATE("          ", "6309", " - ", "TELEPHONE")</f>
        <v xml:space="preserve">          6309 - TELEPHONE</v>
      </c>
      <c r="C107" s="11"/>
      <c r="D107" s="6">
        <v>681.35</v>
      </c>
      <c r="E107" s="2"/>
      <c r="F107" s="7">
        <f t="shared" si="69"/>
        <v>6.2342841893895653E-4</v>
      </c>
      <c r="G107" s="2"/>
      <c r="H107" s="6">
        <v>-204.5</v>
      </c>
      <c r="I107" s="2"/>
      <c r="J107" s="7">
        <f t="shared" si="70"/>
        <v>-1.6267160711076173E-4</v>
      </c>
      <c r="K107" s="2"/>
      <c r="L107" s="6">
        <f t="shared" si="71"/>
        <v>885.85</v>
      </c>
      <c r="M107" s="2"/>
      <c r="N107" s="7">
        <f t="shared" si="72"/>
        <v>-4.3317848410757946</v>
      </c>
      <c r="O107" s="11"/>
      <c r="P107" s="6">
        <v>3845.39</v>
      </c>
      <c r="Q107" s="2"/>
      <c r="R107" s="7">
        <f t="shared" si="73"/>
        <v>1.2284853884582554E-3</v>
      </c>
      <c r="S107" s="2"/>
      <c r="T107" s="6">
        <v>2765.45</v>
      </c>
      <c r="U107" s="2"/>
      <c r="V107" s="7">
        <f t="shared" si="74"/>
        <v>7.5592871078774073E-4</v>
      </c>
      <c r="W107" s="2"/>
      <c r="X107" s="6">
        <f t="shared" si="75"/>
        <v>1079.94</v>
      </c>
      <c r="Y107" s="2"/>
      <c r="Z107" s="7">
        <f t="shared" si="76"/>
        <v>0.39051148999258717</v>
      </c>
    </row>
    <row r="108" spans="1:26" s="26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SUM(OSRRefD22_13x_0)</f>
        <v>844</v>
      </c>
      <c r="E108" s="1"/>
      <c r="F108" s="5">
        <f t="shared" ref="F108:F111" si="77">IF(D$12=0,0,D108/D$12)</f>
        <v>7.7225153824683247E-4</v>
      </c>
      <c r="G108" s="1"/>
      <c r="H108" s="1">
        <f>SUM(OSRRefH22_13x_0)</f>
        <v>0</v>
      </c>
      <c r="I108" s="1"/>
      <c r="J108" s="5">
        <f t="shared" ref="J108:J111" si="78">IF(H$12=0,0,H108/H$12)</f>
        <v>0</v>
      </c>
      <c r="K108" s="1"/>
      <c r="L108" s="1">
        <f t="shared" ref="L108:L111" si="79">+D108-H108</f>
        <v>844</v>
      </c>
      <c r="M108" s="1"/>
      <c r="N108" s="5">
        <f t="shared" ref="N108:N111" si="80">IF(H108=0,0,L108/H108)</f>
        <v>0</v>
      </c>
      <c r="O108" s="13"/>
      <c r="P108" s="1">
        <f>SUM(OSRRefP22_13x_0)</f>
        <v>1391.47</v>
      </c>
      <c r="Q108" s="1"/>
      <c r="R108" s="5">
        <f t="shared" ref="R108:R111" si="81">IF(P$12=0,0,P108/P$12)</f>
        <v>4.445324306450084E-4</v>
      </c>
      <c r="S108" s="1"/>
      <c r="T108" s="1">
        <f>SUM(OSRRefT22_13x_0)</f>
        <v>-555.96</v>
      </c>
      <c r="U108" s="1"/>
      <c r="V108" s="5">
        <f t="shared" ref="V108:V111" si="82">IF(T$12=0,0,T108/T$12)</f>
        <v>-1.5197024934442943E-4</v>
      </c>
      <c r="W108" s="1"/>
      <c r="X108" s="1">
        <f t="shared" ref="X108:X111" si="83">+P108-T108</f>
        <v>1947.43</v>
      </c>
      <c r="Y108" s="1"/>
      <c r="Z108" s="5">
        <f t="shared" ref="Z108:Z111" si="84">IF(T108=0,0,X108/T108)</f>
        <v>-3.5028239441686453</v>
      </c>
    </row>
    <row r="109" spans="1:26" s="24" customFormat="1" hidden="1" outlineLevel="2" x14ac:dyDescent="0.25">
      <c r="A109" s="25"/>
      <c r="B109" s="11" t="str">
        <f>CONCATENATE("          ", "6376", " - ", "TRAINING")</f>
        <v xml:space="preserve">          6376 - TRAINING</v>
      </c>
      <c r="C109" s="11"/>
      <c r="D109" s="6">
        <v>844</v>
      </c>
      <c r="E109" s="2"/>
      <c r="F109" s="7">
        <f t="shared" si="77"/>
        <v>7.7225153824683247E-4</v>
      </c>
      <c r="G109" s="2"/>
      <c r="H109" s="6"/>
      <c r="I109" s="2"/>
      <c r="J109" s="7">
        <f t="shared" si="78"/>
        <v>0</v>
      </c>
      <c r="K109" s="2"/>
      <c r="L109" s="6">
        <f t="shared" si="79"/>
        <v>844</v>
      </c>
      <c r="M109" s="2"/>
      <c r="N109" s="7">
        <f t="shared" si="80"/>
        <v>0</v>
      </c>
      <c r="O109" s="11"/>
      <c r="P109" s="6">
        <v>1391.47</v>
      </c>
      <c r="Q109" s="2"/>
      <c r="R109" s="7">
        <f t="shared" si="81"/>
        <v>4.445324306450084E-4</v>
      </c>
      <c r="S109" s="2"/>
      <c r="T109" s="6">
        <v>-555.96</v>
      </c>
      <c r="U109" s="2"/>
      <c r="V109" s="7">
        <f t="shared" si="82"/>
        <v>-1.5197024934442943E-4</v>
      </c>
      <c r="W109" s="2"/>
      <c r="X109" s="6">
        <f t="shared" si="83"/>
        <v>1947.43</v>
      </c>
      <c r="Y109" s="2"/>
      <c r="Z109" s="7">
        <f t="shared" si="84"/>
        <v>-3.5028239441686453</v>
      </c>
    </row>
    <row r="110" spans="1:26" s="26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SUM(OSRRefD22_14x_0)</f>
        <v>0</v>
      </c>
      <c r="E110" s="1"/>
      <c r="F110" s="5">
        <f t="shared" si="77"/>
        <v>0</v>
      </c>
      <c r="G110" s="1"/>
      <c r="H110" s="1">
        <f>SUM(OSRRefH22_14x_0)</f>
        <v>0</v>
      </c>
      <c r="I110" s="1"/>
      <c r="J110" s="5">
        <f t="shared" si="78"/>
        <v>0</v>
      </c>
      <c r="K110" s="1"/>
      <c r="L110" s="1">
        <f t="shared" si="79"/>
        <v>0</v>
      </c>
      <c r="M110" s="1"/>
      <c r="N110" s="5">
        <f t="shared" si="80"/>
        <v>0</v>
      </c>
      <c r="O110" s="13"/>
      <c r="P110" s="1">
        <f>SUM(OSRRefP22_14x_0)</f>
        <v>83.93</v>
      </c>
      <c r="Q110" s="1"/>
      <c r="R110" s="5">
        <f t="shared" si="81"/>
        <v>2.6813087529041631E-5</v>
      </c>
      <c r="S110" s="1"/>
      <c r="T110" s="1">
        <f>SUM(OSRRefT22_14x_0)</f>
        <v>68.27</v>
      </c>
      <c r="U110" s="1"/>
      <c r="V110" s="5">
        <f t="shared" si="82"/>
        <v>1.8661430539506793E-5</v>
      </c>
      <c r="W110" s="1"/>
      <c r="X110" s="1">
        <f t="shared" si="83"/>
        <v>15.660000000000011</v>
      </c>
      <c r="Y110" s="1"/>
      <c r="Z110" s="5">
        <f t="shared" si="84"/>
        <v>0.22938333089204646</v>
      </c>
    </row>
    <row r="111" spans="1:26" s="24" customFormat="1" hidden="1" outlineLevel="2" x14ac:dyDescent="0.25">
      <c r="A111" s="25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77"/>
        <v>0</v>
      </c>
      <c r="G111" s="2"/>
      <c r="H111" s="6"/>
      <c r="I111" s="2"/>
      <c r="J111" s="7">
        <f t="shared" si="78"/>
        <v>0</v>
      </c>
      <c r="K111" s="2"/>
      <c r="L111" s="6">
        <f t="shared" si="79"/>
        <v>0</v>
      </c>
      <c r="M111" s="2"/>
      <c r="N111" s="7">
        <f t="shared" si="80"/>
        <v>0</v>
      </c>
      <c r="O111" s="11"/>
      <c r="P111" s="6">
        <v>83.93</v>
      </c>
      <c r="Q111" s="2"/>
      <c r="R111" s="7">
        <f t="shared" si="81"/>
        <v>2.6813087529041631E-5</v>
      </c>
      <c r="S111" s="2"/>
      <c r="T111" s="6">
        <v>68.27</v>
      </c>
      <c r="U111" s="2"/>
      <c r="V111" s="7">
        <f t="shared" si="82"/>
        <v>1.8661430539506793E-5</v>
      </c>
      <c r="W111" s="2"/>
      <c r="X111" s="6">
        <f t="shared" si="83"/>
        <v>15.660000000000011</v>
      </c>
      <c r="Y111" s="2"/>
      <c r="Z111" s="7">
        <f t="shared" si="84"/>
        <v>0.22938333089204646</v>
      </c>
    </row>
    <row r="112" spans="1:26" s="59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9" t="s">
        <v>0</v>
      </c>
      <c r="C113" s="10"/>
      <c r="D113" s="4">
        <f>SUM(OSRRefD25x_0)</f>
        <v>-37238.14</v>
      </c>
      <c r="E113" s="4"/>
      <c r="F113" s="12">
        <f t="shared" ref="F113:F116" si="85">IF(D$12=0,0,D113/D$12)</f>
        <v>-3.4072524758828084E-2</v>
      </c>
      <c r="G113" s="4"/>
      <c r="H113" s="4">
        <f>SUM(OSRRefH25x_0)</f>
        <v>10444.029999999999</v>
      </c>
      <c r="I113" s="4"/>
      <c r="J113" s="12">
        <f t="shared" ref="J113:J116" si="86">IF(H$12=0,0,H113/H$12)</f>
        <v>8.3078099990856157E-3</v>
      </c>
      <c r="K113" s="4"/>
      <c r="L113" s="4">
        <f t="shared" ref="L113:L116" si="87">+D113-H113</f>
        <v>-47682.17</v>
      </c>
      <c r="M113" s="4"/>
      <c r="N113" s="12">
        <f t="shared" ref="N113:N116" si="88">IF(H113=0,0,L113/H113)</f>
        <v>-4.565495311675666</v>
      </c>
      <c r="O113" s="10"/>
      <c r="P113" s="4">
        <f>SUM(OSRRefP25x_0)</f>
        <v>108810.67</v>
      </c>
      <c r="Q113" s="4"/>
      <c r="R113" s="12">
        <f t="shared" ref="R113:R116" si="89">IF(P$12=0,0,P113/P$12)</f>
        <v>3.4761706407764374E-2</v>
      </c>
      <c r="S113" s="4"/>
      <c r="T113" s="4">
        <f>SUM(OSRRefT25x_0)</f>
        <v>62571.96</v>
      </c>
      <c r="U113" s="4"/>
      <c r="V113" s="12">
        <f t="shared" ref="V113:V116" si="90">IF(T$12=0,0,T113/T$12)</f>
        <v>1.7103885824824923E-2</v>
      </c>
      <c r="W113" s="4"/>
      <c r="X113" s="4">
        <f t="shared" ref="X113:X116" si="91">+P113-T113</f>
        <v>46238.71</v>
      </c>
      <c r="Y113" s="4"/>
      <c r="Z113" s="12">
        <f t="shared" ref="Z113:Z116" si="92">IF(T113=0,0,X113/T113)</f>
        <v>0.73896854118042654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-37707.24</f>
        <v>-37707.24</v>
      </c>
      <c r="E114" s="2"/>
      <c r="F114" s="19">
        <f t="shared" si="85"/>
        <v>-3.4501746555737546E-2</v>
      </c>
      <c r="G114" s="2"/>
      <c r="H114" s="2">
        <f>--4436.53</f>
        <v>4436.53</v>
      </c>
      <c r="I114" s="2"/>
      <c r="J114" s="19">
        <f t="shared" si="86"/>
        <v>3.5290829589002819E-3</v>
      </c>
      <c r="K114" s="2"/>
      <c r="L114" s="2">
        <f t="shared" si="87"/>
        <v>-42143.77</v>
      </c>
      <c r="M114" s="2"/>
      <c r="N114" s="19">
        <f t="shared" si="88"/>
        <v>-9.4992640644828281</v>
      </c>
      <c r="O114" s="11"/>
      <c r="P114" s="2">
        <f>--16434.61</f>
        <v>16434.61</v>
      </c>
      <c r="Q114" s="2"/>
      <c r="R114" s="19">
        <f t="shared" si="89"/>
        <v>5.2503590663131525E-3</v>
      </c>
      <c r="S114" s="2"/>
      <c r="T114" s="2">
        <f>--52719.38</f>
        <v>52719.38</v>
      </c>
      <c r="U114" s="2"/>
      <c r="V114" s="19">
        <f t="shared" si="90"/>
        <v>1.4410708187430257E-2</v>
      </c>
      <c r="W114" s="2"/>
      <c r="X114" s="2">
        <f t="shared" si="91"/>
        <v>-36284.769999999997</v>
      </c>
      <c r="Y114" s="2"/>
      <c r="Z114" s="19">
        <f t="shared" si="92"/>
        <v>-0.68826245680430986</v>
      </c>
    </row>
    <row r="115" spans="1:26" s="24" customFormat="1" hidden="1" outlineLevel="1" x14ac:dyDescent="0.25">
      <c r="A115" s="44"/>
      <c r="B115" s="11" t="str">
        <f>CONCATENATE("          ", "9151", " - ", "MISC. INCOME")</f>
        <v xml:space="preserve">          9151 - MISC. INCOME</v>
      </c>
      <c r="C115" s="11"/>
      <c r="D115" s="2">
        <f>0</f>
        <v>0</v>
      </c>
      <c r="E115" s="2"/>
      <c r="F115" s="19">
        <f t="shared" si="85"/>
        <v>0</v>
      </c>
      <c r="G115" s="2"/>
      <c r="H115" s="2">
        <f>0</f>
        <v>0</v>
      </c>
      <c r="I115" s="2"/>
      <c r="J115" s="19">
        <f t="shared" si="86"/>
        <v>0</v>
      </c>
      <c r="K115" s="2"/>
      <c r="L115" s="2">
        <f t="shared" si="87"/>
        <v>0</v>
      </c>
      <c r="M115" s="2"/>
      <c r="N115" s="19">
        <f t="shared" si="88"/>
        <v>0</v>
      </c>
      <c r="O115" s="11"/>
      <c r="P115" s="2">
        <f>--87676.2</f>
        <v>87676.2</v>
      </c>
      <c r="Q115" s="2"/>
      <c r="R115" s="19">
        <f t="shared" si="89"/>
        <v>2.8009884723147381E-2</v>
      </c>
      <c r="S115" s="2"/>
      <c r="T115" s="2">
        <f>0</f>
        <v>0</v>
      </c>
      <c r="U115" s="2"/>
      <c r="V115" s="19">
        <f t="shared" si="90"/>
        <v>0</v>
      </c>
      <c r="W115" s="2"/>
      <c r="X115" s="2">
        <f t="shared" si="91"/>
        <v>87676.2</v>
      </c>
      <c r="Y115" s="2"/>
      <c r="Z115" s="19">
        <f t="shared" si="92"/>
        <v>0</v>
      </c>
    </row>
    <row r="116" spans="1:26" s="24" customFormat="1" hidden="1" outlineLevel="1" x14ac:dyDescent="0.25">
      <c r="A116" s="44"/>
      <c r="B116" s="11" t="str">
        <f>CONCATENATE("          ", "9152", " - ", "MISC. INCOME")</f>
        <v xml:space="preserve">          9152 - MISC. INCOME</v>
      </c>
      <c r="C116" s="11"/>
      <c r="D116" s="2">
        <f>--469.1</f>
        <v>469.1</v>
      </c>
      <c r="E116" s="2"/>
      <c r="F116" s="19">
        <f t="shared" si="85"/>
        <v>4.292217969094658E-4</v>
      </c>
      <c r="G116" s="2"/>
      <c r="H116" s="2">
        <f>--6007.5</f>
        <v>6007.5</v>
      </c>
      <c r="I116" s="2"/>
      <c r="J116" s="19">
        <f t="shared" si="86"/>
        <v>4.7787270401853351E-3</v>
      </c>
      <c r="K116" s="2"/>
      <c r="L116" s="2">
        <f t="shared" si="87"/>
        <v>-5538.4</v>
      </c>
      <c r="M116" s="2"/>
      <c r="N116" s="19">
        <f t="shared" si="88"/>
        <v>-0.92191427382438618</v>
      </c>
      <c r="O116" s="11"/>
      <c r="P116" s="2">
        <f>--4699.86</f>
        <v>4699.8599999999997</v>
      </c>
      <c r="Q116" s="2"/>
      <c r="R116" s="19">
        <f t="shared" si="89"/>
        <v>1.5014626183038435E-3</v>
      </c>
      <c r="S116" s="2"/>
      <c r="T116" s="2">
        <f>--9852.58</f>
        <v>9852.58</v>
      </c>
      <c r="U116" s="2"/>
      <c r="V116" s="19">
        <f t="shared" si="90"/>
        <v>2.6931776373946663E-3</v>
      </c>
      <c r="W116" s="2"/>
      <c r="X116" s="2">
        <f t="shared" si="91"/>
        <v>-5152.72</v>
      </c>
      <c r="Y116" s="2"/>
      <c r="Z116" s="19">
        <f t="shared" si="92"/>
        <v>-0.5229817976611203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1">
        <f>+D59-D61+D113</f>
        <v>433135.55999999994</v>
      </c>
      <c r="E118" s="14"/>
      <c r="F118" s="22">
        <f>IF(D$12=0,0,D118/D$12)</f>
        <v>0.39631469488080939</v>
      </c>
      <c r="G118" s="14"/>
      <c r="H118" s="21">
        <f>+H59-H61+H113</f>
        <v>339704.2000000003</v>
      </c>
      <c r="I118" s="14"/>
      <c r="J118" s="22">
        <f>IF(H$12=0,0,H118/H$12)</f>
        <v>0.27022116457836515</v>
      </c>
      <c r="K118" s="16"/>
      <c r="L118" s="21">
        <f>+D118-H118</f>
        <v>93431.359999999637</v>
      </c>
      <c r="M118" s="16"/>
      <c r="N118" s="22">
        <f>IF(H118=0,0,L118/H118)</f>
        <v>0.27503740018521866</v>
      </c>
      <c r="O118" s="29"/>
      <c r="P118" s="21">
        <f>+P59-P61+P113</f>
        <v>875472.86</v>
      </c>
      <c r="Q118" s="14"/>
      <c r="R118" s="22">
        <f>IF(P$12=0,0,P118/P$12)</f>
        <v>0.27968700612987502</v>
      </c>
      <c r="S118" s="14"/>
      <c r="T118" s="21">
        <f>+T59-T61+T113</f>
        <v>669086.97999999975</v>
      </c>
      <c r="U118" s="14"/>
      <c r="V118" s="22">
        <f>IF(T$12=0,0,T118/T$12)</f>
        <v>0.18289322106574435</v>
      </c>
      <c r="W118" s="16"/>
      <c r="X118" s="21">
        <f>+P118-T118</f>
        <v>206385.88000000024</v>
      </c>
      <c r="Y118" s="16"/>
      <c r="Z118" s="22">
        <f>IF(T118=0,0,X118/T118)</f>
        <v>0.30845896896693509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106392.36</v>
      </c>
      <c r="E120" s="4"/>
      <c r="F120" s="12">
        <f>IF(D$12=0,0,D120/D$12)</f>
        <v>9.734794273425447E-2</v>
      </c>
      <c r="G120" s="4"/>
      <c r="H120" s="4">
        <v>113111.33</v>
      </c>
      <c r="I120" s="4"/>
      <c r="J120" s="12">
        <f>IF(H$12=0,0,H120/H$12)</f>
        <v>8.9975559088194212E-2</v>
      </c>
      <c r="K120" s="4"/>
      <c r="L120" s="4">
        <f>+D120-H120</f>
        <v>-6718.9700000000012</v>
      </c>
      <c r="M120" s="4"/>
      <c r="N120" s="12">
        <f>IF(H120=0,0,L120/H120)</f>
        <v>-5.9401387995349372E-2</v>
      </c>
      <c r="O120" s="10"/>
      <c r="P120" s="4">
        <v>326434.25</v>
      </c>
      <c r="Q120" s="4"/>
      <c r="R120" s="12">
        <f>IF(P$12=0,0,P120/P$12)</f>
        <v>0.10428583483530392</v>
      </c>
      <c r="S120" s="4"/>
      <c r="T120" s="4">
        <v>372238.64</v>
      </c>
      <c r="U120" s="4"/>
      <c r="V120" s="12">
        <f>IF(T$12=0,0,T120/T$12)</f>
        <v>0.10175048373341843</v>
      </c>
      <c r="W120" s="4"/>
      <c r="X120" s="4">
        <f>+P120-T120</f>
        <v>-45804.390000000014</v>
      </c>
      <c r="Y120" s="4"/>
      <c r="Z120" s="12">
        <f>IF(T120=0,0,X120/T120)</f>
        <v>-0.12305114267556966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4">
        <f>+D118-D120</f>
        <v>326743.19999999995</v>
      </c>
      <c r="E122" s="14"/>
      <c r="F122" s="31">
        <f>IF(D$12=0,0,D122/D$12)</f>
        <v>0.29896675214655494</v>
      </c>
      <c r="G122" s="14"/>
      <c r="H122" s="34">
        <f>+H118-H120</f>
        <v>226592.87000000029</v>
      </c>
      <c r="I122" s="14"/>
      <c r="J122" s="31">
        <f>IF(H$12=0,0,H122/H$12)</f>
        <v>0.18024560549017091</v>
      </c>
      <c r="K122" s="16"/>
      <c r="L122" s="34">
        <f>D122-H122</f>
        <v>100150.32999999967</v>
      </c>
      <c r="M122" s="16"/>
      <c r="N122" s="31">
        <f>IF(H122=0,0,L122/H122)</f>
        <v>0.44198358933359</v>
      </c>
      <c r="O122" s="29"/>
      <c r="P122" s="34">
        <f>+P118-P120</f>
        <v>549038.61</v>
      </c>
      <c r="Q122" s="14"/>
      <c r="R122" s="31">
        <f>IF(P$12=0,0,P122/P$12)</f>
        <v>0.17540117129457108</v>
      </c>
      <c r="S122" s="14"/>
      <c r="T122" s="34">
        <f>+T118-T120</f>
        <v>296848.33999999973</v>
      </c>
      <c r="U122" s="14"/>
      <c r="V122" s="31">
        <f>IF(T$12=0,0,T122/T$12)</f>
        <v>8.1142737332325937E-2</v>
      </c>
      <c r="W122" s="16"/>
      <c r="X122" s="34">
        <f>P122-T122</f>
        <v>252190.27000000025</v>
      </c>
      <c r="Y122" s="16"/>
      <c r="Z122" s="31">
        <f>IF(T122=0,0,X122/T122)</f>
        <v>0.84955930695115378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0">
        <f>SUM(D122:D124)</f>
        <v>326743.19999999995</v>
      </c>
      <c r="E125" s="14"/>
      <c r="F125" s="33">
        <f>IF(D$12=0,0,D125/D$12)</f>
        <v>0.29896675214655494</v>
      </c>
      <c r="G125" s="14"/>
      <c r="H125" s="30">
        <f>SUM(H122:H124)</f>
        <v>226592.87000000029</v>
      </c>
      <c r="I125" s="14"/>
      <c r="J125" s="33">
        <f>IF(H$12=0,0,H125/H$12)</f>
        <v>0.18024560549017091</v>
      </c>
      <c r="K125" s="16"/>
      <c r="L125" s="30">
        <f>+D125-H125</f>
        <v>100150.32999999967</v>
      </c>
      <c r="M125" s="16"/>
      <c r="N125" s="33">
        <f>IF(H125=0,0,L125/H125)</f>
        <v>0.44198358933359</v>
      </c>
      <c r="O125" s="29"/>
      <c r="P125" s="30">
        <f>SUM(P122:P124)</f>
        <v>549038.61</v>
      </c>
      <c r="Q125" s="14"/>
      <c r="R125" s="33">
        <f>IF(P$12=0,0,P125/P$12)</f>
        <v>0.17540117129457108</v>
      </c>
      <c r="S125" s="14"/>
      <c r="T125" s="30">
        <f>SUM(T122:T124)</f>
        <v>296848.33999999973</v>
      </c>
      <c r="U125" s="14"/>
      <c r="V125" s="33">
        <f>IF(T$12=0,0,T125/T$12)</f>
        <v>8.1142737332325937E-2</v>
      </c>
      <c r="W125" s="16"/>
      <c r="X125" s="30">
        <f>+P125-T125</f>
        <v>252190.27000000025</v>
      </c>
      <c r="Y125" s="16"/>
      <c r="Z125" s="33">
        <f>IF(T125=0,0,X125/T125)</f>
        <v>0.84955930695115378</v>
      </c>
    </row>
    <row r="126" spans="1:26" ht="15.75" thickTop="1" x14ac:dyDescent="0.25">
      <c r="A126" s="9"/>
      <c r="C126" s="9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A127" s="9"/>
      <c r="B127" s="61">
        <v>43879.553817789354</v>
      </c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55" t="s">
        <v>313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58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","324", " - ", "Textbook Rental")</f>
        <v>Department 324 - Textbook Rental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580159.63</v>
      </c>
      <c r="E12" s="4"/>
      <c r="F12" s="12"/>
      <c r="G12" s="4"/>
      <c r="H12" s="4">
        <f>SUM(OSRRefH13x_0)</f>
        <v>895507.06</v>
      </c>
      <c r="I12" s="4"/>
      <c r="J12" s="12"/>
      <c r="K12" s="4"/>
      <c r="L12" s="4">
        <f t="shared" ref="L12:L15" si="0">+D12-H12</f>
        <v>-315347.43000000005</v>
      </c>
      <c r="M12" s="4"/>
      <c r="N12" s="12">
        <f t="shared" ref="N12:N15" si="1">IF(H12=0,0,L12/H12)</f>
        <v>-0.35214399091392984</v>
      </c>
      <c r="O12" s="10"/>
      <c r="P12" s="4">
        <f>SUM(OSRRefP13x_0)</f>
        <v>1483133.88</v>
      </c>
      <c r="Q12" s="4"/>
      <c r="R12" s="12"/>
      <c r="S12" s="4"/>
      <c r="T12" s="4">
        <f>SUM(OSRRefT13x_0)</f>
        <v>1972876.26</v>
      </c>
      <c r="U12" s="4"/>
      <c r="V12" s="12"/>
      <c r="W12" s="4"/>
      <c r="X12" s="4">
        <f t="shared" ref="X12:X15" si="2">+P12-T12</f>
        <v>-489742.38000000012</v>
      </c>
      <c r="Y12" s="4"/>
      <c r="Z12" s="12">
        <f t="shared" ref="Z12:Z15" si="3">IF(T12=0,0,X12/T12)</f>
        <v>-0.24823775820587962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--131223.23</f>
        <v>131223.23000000001</v>
      </c>
      <c r="E13" s="2"/>
      <c r="F13" s="19"/>
      <c r="G13" s="2"/>
      <c r="H13" s="2">
        <f>--218836.48</f>
        <v>218836.48000000001</v>
      </c>
      <c r="I13" s="2"/>
      <c r="J13" s="19"/>
      <c r="K13" s="2"/>
      <c r="L13" s="2">
        <f t="shared" si="0"/>
        <v>-87613.25</v>
      </c>
      <c r="M13" s="2"/>
      <c r="N13" s="19">
        <f t="shared" si="1"/>
        <v>-0.40035943732964446</v>
      </c>
      <c r="O13" s="11"/>
      <c r="P13" s="2">
        <f>--387706.84</f>
        <v>387706.84</v>
      </c>
      <c r="Q13" s="2"/>
      <c r="R13" s="19"/>
      <c r="S13" s="2"/>
      <c r="T13" s="2">
        <f>--523980.16</f>
        <v>523980.16</v>
      </c>
      <c r="U13" s="2"/>
      <c r="V13" s="19"/>
      <c r="W13" s="2"/>
      <c r="X13" s="2">
        <f t="shared" si="2"/>
        <v>-136273.31999999995</v>
      </c>
      <c r="Y13" s="2"/>
      <c r="Z13" s="19">
        <f t="shared" si="3"/>
        <v>-0.2600734348415023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--234644.79</f>
        <v>234644.79</v>
      </c>
      <c r="E14" s="2"/>
      <c r="F14" s="19"/>
      <c r="G14" s="2"/>
      <c r="H14" s="2">
        <f>--323940.46</f>
        <v>323940.46000000002</v>
      </c>
      <c r="I14" s="2"/>
      <c r="J14" s="19"/>
      <c r="K14" s="2"/>
      <c r="L14" s="2">
        <f t="shared" si="0"/>
        <v>-89295.670000000013</v>
      </c>
      <c r="M14" s="2"/>
      <c r="N14" s="19">
        <f t="shared" si="1"/>
        <v>-0.27565457553526967</v>
      </c>
      <c r="O14" s="11"/>
      <c r="P14" s="2">
        <f>--545206.88</f>
        <v>545206.88</v>
      </c>
      <c r="Q14" s="2"/>
      <c r="R14" s="19"/>
      <c r="S14" s="2"/>
      <c r="T14" s="2">
        <f>--705580.06</f>
        <v>705580.06</v>
      </c>
      <c r="U14" s="2"/>
      <c r="V14" s="19"/>
      <c r="W14" s="2"/>
      <c r="X14" s="2">
        <f t="shared" si="2"/>
        <v>-160373.18000000005</v>
      </c>
      <c r="Y14" s="2"/>
      <c r="Z14" s="19">
        <f t="shared" si="3"/>
        <v>-0.22729267604302769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--214291.61</f>
        <v>214291.61</v>
      </c>
      <c r="E15" s="2"/>
      <c r="F15" s="19"/>
      <c r="G15" s="2"/>
      <c r="H15" s="2">
        <f>--352730.12</f>
        <v>352730.12</v>
      </c>
      <c r="I15" s="2"/>
      <c r="J15" s="19"/>
      <c r="K15" s="2"/>
      <c r="L15" s="2">
        <f t="shared" si="0"/>
        <v>-138438.51</v>
      </c>
      <c r="M15" s="2"/>
      <c r="N15" s="19">
        <f t="shared" si="1"/>
        <v>-0.39247714371542758</v>
      </c>
      <c r="O15" s="11"/>
      <c r="P15" s="2">
        <f>--550220.16</f>
        <v>550220.16</v>
      </c>
      <c r="Q15" s="2"/>
      <c r="R15" s="19"/>
      <c r="S15" s="2"/>
      <c r="T15" s="2">
        <f>--743316.04</f>
        <v>743316.04</v>
      </c>
      <c r="U15" s="2"/>
      <c r="V15" s="19"/>
      <c r="W15" s="2"/>
      <c r="X15" s="2">
        <f t="shared" si="2"/>
        <v>-193095.88</v>
      </c>
      <c r="Y15" s="2"/>
      <c r="Z15" s="19">
        <f t="shared" si="3"/>
        <v>-0.259776285737087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432607.21</v>
      </c>
      <c r="E17" s="4"/>
      <c r="F17" s="12">
        <f t="shared" ref="F17:F19" si="4">IF(D$12=0,0,D17/D$12)</f>
        <v>0.74566927381693215</v>
      </c>
      <c r="G17" s="4"/>
      <c r="H17" s="4">
        <f>SUM(OSRRefH16x_0)</f>
        <v>663783.55000000005</v>
      </c>
      <c r="I17" s="4"/>
      <c r="J17" s="12">
        <f t="shared" ref="J17:J19" si="5">IF(H$12=0,0,H17/H$12)</f>
        <v>0.74123765143738785</v>
      </c>
      <c r="K17" s="4"/>
      <c r="L17" s="4">
        <f t="shared" ref="L17:L19" si="6">+D17-H17</f>
        <v>-231176.34000000003</v>
      </c>
      <c r="M17" s="4"/>
      <c r="N17" s="12">
        <f t="shared" ref="N17:N19" si="7">IF(H17=0,0,L17/H17)</f>
        <v>-0.34827066744874891</v>
      </c>
      <c r="O17" s="10"/>
      <c r="P17" s="4">
        <f>SUM(OSRRefP16x_0)</f>
        <v>1101718.8700000001</v>
      </c>
      <c r="Q17" s="4"/>
      <c r="R17" s="12">
        <f t="shared" ref="R17:R19" si="8">IF(P$12=0,0,P17/P$12)</f>
        <v>0.74283170579314139</v>
      </c>
      <c r="S17" s="4"/>
      <c r="T17" s="4">
        <f>SUM(OSRRefT16x_0)</f>
        <v>1453643.65</v>
      </c>
      <c r="U17" s="4"/>
      <c r="V17" s="12">
        <f t="shared" ref="V17:V19" si="9">IF(T$12=0,0,T17/T$12)</f>
        <v>0.736814406190888</v>
      </c>
      <c r="W17" s="4"/>
      <c r="X17" s="4">
        <f t="shared" ref="X17:X19" si="10">+P17-T17</f>
        <v>-351924.7799999998</v>
      </c>
      <c r="Y17" s="4"/>
      <c r="Z17" s="12">
        <f t="shared" ref="Z17:Z19" si="11">IF(T17=0,0,X17/T17)</f>
        <v>-0.24209838497901451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150879.89000000001</v>
      </c>
      <c r="E18" s="2"/>
      <c r="F18" s="19">
        <f t="shared" si="4"/>
        <v>0.26006616489327261</v>
      </c>
      <c r="G18" s="2"/>
      <c r="H18" s="2">
        <v>264558.74000000005</v>
      </c>
      <c r="I18" s="2"/>
      <c r="J18" s="19">
        <f t="shared" si="5"/>
        <v>0.29542898299428261</v>
      </c>
      <c r="K18" s="2"/>
      <c r="L18" s="2">
        <f t="shared" si="6"/>
        <v>-113678.85000000003</v>
      </c>
      <c r="M18" s="2"/>
      <c r="N18" s="19">
        <f t="shared" si="7"/>
        <v>-0.4296922868622674</v>
      </c>
      <c r="O18" s="11"/>
      <c r="P18" s="2">
        <v>452960.35000000003</v>
      </c>
      <c r="Q18" s="2"/>
      <c r="R18" s="19">
        <f t="shared" si="8"/>
        <v>0.30540759408719059</v>
      </c>
      <c r="S18" s="2"/>
      <c r="T18" s="2">
        <v>619836.38</v>
      </c>
      <c r="U18" s="2"/>
      <c r="V18" s="19">
        <f t="shared" si="9"/>
        <v>0.31417904537003249</v>
      </c>
      <c r="W18" s="2"/>
      <c r="X18" s="2">
        <f t="shared" si="10"/>
        <v>-166876.02999999997</v>
      </c>
      <c r="Y18" s="2"/>
      <c r="Z18" s="19">
        <f t="shared" si="11"/>
        <v>-0.26922593668993738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281727.32</v>
      </c>
      <c r="E19" s="2"/>
      <c r="F19" s="19">
        <f t="shared" si="4"/>
        <v>0.48560310892365954</v>
      </c>
      <c r="G19" s="2"/>
      <c r="H19" s="2">
        <v>399224.81</v>
      </c>
      <c r="I19" s="2"/>
      <c r="J19" s="19">
        <f t="shared" si="5"/>
        <v>0.44580866844310524</v>
      </c>
      <c r="K19" s="2"/>
      <c r="L19" s="2">
        <f t="shared" si="6"/>
        <v>-117497.48999999999</v>
      </c>
      <c r="M19" s="2"/>
      <c r="N19" s="19">
        <f t="shared" si="7"/>
        <v>-0.29431409836477845</v>
      </c>
      <c r="O19" s="11"/>
      <c r="P19" s="2">
        <v>648758.52</v>
      </c>
      <c r="Q19" s="2"/>
      <c r="R19" s="19">
        <f t="shared" si="8"/>
        <v>0.43742411170595069</v>
      </c>
      <c r="S19" s="2"/>
      <c r="T19" s="2">
        <v>833807.27</v>
      </c>
      <c r="U19" s="2"/>
      <c r="V19" s="19">
        <f t="shared" si="9"/>
        <v>0.42263536082085557</v>
      </c>
      <c r="W19" s="2"/>
      <c r="X19" s="2">
        <f t="shared" si="10"/>
        <v>-185048.75</v>
      </c>
      <c r="Y19" s="2"/>
      <c r="Z19" s="19">
        <f t="shared" si="11"/>
        <v>-0.22193228178497412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147552.41999999998</v>
      </c>
      <c r="E21" s="14"/>
      <c r="F21" s="22">
        <f>IF(D$12=0,0,D21/D$12)</f>
        <v>0.2543307261830679</v>
      </c>
      <c r="G21" s="14"/>
      <c r="H21" s="21">
        <f>H12-H17</f>
        <v>231723.51</v>
      </c>
      <c r="I21" s="14"/>
      <c r="J21" s="22">
        <f>IF(H$12=0,0,H21/H$12)</f>
        <v>0.2587623485626121</v>
      </c>
      <c r="K21" s="16"/>
      <c r="L21" s="21">
        <f>+D21-H21</f>
        <v>-84171.090000000026</v>
      </c>
      <c r="M21" s="16"/>
      <c r="N21" s="22">
        <f>IF(H21=0,0,L21/H21)</f>
        <v>-0.36323931913511937</v>
      </c>
      <c r="O21" s="29"/>
      <c r="P21" s="21">
        <f>P12-P17</f>
        <v>381415.00999999978</v>
      </c>
      <c r="Q21" s="14"/>
      <c r="R21" s="22">
        <f>IF(P$12=0,0,P21/P$12)</f>
        <v>0.25716829420685866</v>
      </c>
      <c r="S21" s="14"/>
      <c r="T21" s="21">
        <f>T12-T17</f>
        <v>519232.6100000001</v>
      </c>
      <c r="U21" s="14"/>
      <c r="V21" s="22">
        <f>IF(T$12=0,0,T21/T$12)</f>
        <v>0.26318559380911205</v>
      </c>
      <c r="W21" s="16"/>
      <c r="X21" s="21">
        <f>+P21-T21</f>
        <v>-137817.60000000033</v>
      </c>
      <c r="Y21" s="16"/>
      <c r="Z21" s="22">
        <f>IF(T21=0,0,X21/T21)</f>
        <v>-0.26542554790616923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0</v>
      </c>
      <c r="E23" s="20"/>
      <c r="F23" s="32">
        <f t="shared" ref="F23:F25" si="12">IF(D$12=0,0,D23/D$12)</f>
        <v>0</v>
      </c>
      <c r="G23" s="20"/>
      <c r="H23" s="20">
        <f>SUM(OSRRefH22x_0)</f>
        <v>0</v>
      </c>
      <c r="I23" s="20"/>
      <c r="J23" s="32">
        <f t="shared" ref="J23:J25" si="13">IF(H$12=0,0,H23/H$12)</f>
        <v>0</v>
      </c>
      <c r="K23" s="4"/>
      <c r="L23" s="20">
        <f t="shared" ref="L23:L25" si="14">+D23-H23</f>
        <v>0</v>
      </c>
      <c r="M23" s="4"/>
      <c r="N23" s="32">
        <f t="shared" ref="N23:N25" si="15">IF(H23=0,0,L23/H23)</f>
        <v>0</v>
      </c>
      <c r="O23" s="10"/>
      <c r="P23" s="20">
        <f>SUM(OSRRefP22x_0)</f>
        <v>0</v>
      </c>
      <c r="Q23" s="20"/>
      <c r="R23" s="32">
        <f t="shared" ref="R23:R25" si="16">IF(P$12=0,0,P23/P$12)</f>
        <v>0</v>
      </c>
      <c r="S23" s="20"/>
      <c r="T23" s="20">
        <f>SUM(OSRRefT22x_0)</f>
        <v>45</v>
      </c>
      <c r="U23" s="20"/>
      <c r="V23" s="32">
        <f t="shared" ref="V23:V25" si="17">IF(T$12=0,0,T23/T$12)</f>
        <v>2.2809337266798475E-5</v>
      </c>
      <c r="W23" s="4"/>
      <c r="X23" s="20">
        <f t="shared" ref="X23:X25" si="18">+P23-T23</f>
        <v>-45</v>
      </c>
      <c r="Y23" s="4"/>
      <c r="Z23" s="32">
        <f t="shared" ref="Z23:Z25" si="19">IF(T23=0,0,X23/T23)</f>
        <v>-1</v>
      </c>
    </row>
    <row r="24" spans="1:26" s="26" customFormat="1" outlineLevel="1" collapsed="1" x14ac:dyDescent="0.25">
      <c r="A24" s="27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2.2809337266798475E-5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5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45</v>
      </c>
      <c r="U25" s="2"/>
      <c r="V25" s="7">
        <f t="shared" si="17"/>
        <v>2.2809337266798475E-5</v>
      </c>
      <c r="W25" s="2"/>
      <c r="X25" s="6">
        <f t="shared" si="18"/>
        <v>-45</v>
      </c>
      <c r="Y25" s="2"/>
      <c r="Z25" s="7">
        <f t="shared" si="19"/>
        <v>-1</v>
      </c>
    </row>
    <row r="26" spans="1:26" s="59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3</v>
      </c>
      <c r="C29" s="28"/>
      <c r="D29" s="21">
        <f>+D21-D23+D27</f>
        <v>147552.41999999998</v>
      </c>
      <c r="E29" s="14"/>
      <c r="F29" s="22">
        <f>IF(D$12=0,0,D29/D$12)</f>
        <v>0.2543307261830679</v>
      </c>
      <c r="G29" s="14"/>
      <c r="H29" s="21">
        <f>+H21-H23+H27</f>
        <v>231723.51</v>
      </c>
      <c r="I29" s="14"/>
      <c r="J29" s="22">
        <f>IF(H$12=0,0,H29/H$12)</f>
        <v>0.2587623485626121</v>
      </c>
      <c r="K29" s="16"/>
      <c r="L29" s="21">
        <f>+D29-H29</f>
        <v>-84171.090000000026</v>
      </c>
      <c r="M29" s="16"/>
      <c r="N29" s="22">
        <f>IF(H29=0,0,L29/H29)</f>
        <v>-0.36323931913511937</v>
      </c>
      <c r="O29" s="29"/>
      <c r="P29" s="21">
        <f>+P21-P23+P27</f>
        <v>381415.00999999978</v>
      </c>
      <c r="Q29" s="14"/>
      <c r="R29" s="22">
        <f>IF(P$12=0,0,P29/P$12)</f>
        <v>0.25716829420685866</v>
      </c>
      <c r="S29" s="14"/>
      <c r="T29" s="21">
        <f>+T21-T23+T27</f>
        <v>519187.6100000001</v>
      </c>
      <c r="U29" s="14"/>
      <c r="V29" s="22">
        <f>IF(T$12=0,0,T29/T$12)</f>
        <v>0.26316278447184521</v>
      </c>
      <c r="W29" s="16"/>
      <c r="X29" s="21">
        <f>+P29-T29</f>
        <v>-137772.60000000033</v>
      </c>
      <c r="Y29" s="16"/>
      <c r="Z29" s="22">
        <f>IF(T29=0,0,X29/T29)</f>
        <v>-0.26536187949477513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57141.689999999995</v>
      </c>
      <c r="E31" s="4"/>
      <c r="F31" s="12">
        <f>IF(D$12=0,0,D31/D$12)</f>
        <v>9.8493047508321108E-2</v>
      </c>
      <c r="G31" s="4"/>
      <c r="H31" s="4">
        <v>84476.66</v>
      </c>
      <c r="I31" s="4"/>
      <c r="J31" s="12">
        <f>IF(H$12=0,0,H31/H$12)</f>
        <v>9.4333884983553343E-2</v>
      </c>
      <c r="K31" s="4"/>
      <c r="L31" s="4">
        <f>+D31-H31</f>
        <v>-27334.970000000008</v>
      </c>
      <c r="M31" s="4"/>
      <c r="N31" s="12">
        <f>IF(H31=0,0,L31/H31)</f>
        <v>-0.32358014627945764</v>
      </c>
      <c r="O31" s="10"/>
      <c r="P31" s="4">
        <v>154669.86000000002</v>
      </c>
      <c r="Q31" s="4"/>
      <c r="R31" s="12">
        <f>IF(P$12=0,0,P31/P$12)</f>
        <v>0.10428583830881136</v>
      </c>
      <c r="S31" s="4"/>
      <c r="T31" s="4">
        <v>200741.11</v>
      </c>
      <c r="U31" s="4"/>
      <c r="V31" s="12">
        <f>IF(T$12=0,0,T31/T$12)</f>
        <v>0.10175048180669982</v>
      </c>
      <c r="W31" s="4"/>
      <c r="X31" s="4">
        <f>+P31-T31</f>
        <v>-46071.249999999971</v>
      </c>
      <c r="Y31" s="4"/>
      <c r="Z31" s="12">
        <f>IF(T31=0,0,X31/T31)</f>
        <v>-0.22950580476515237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8" t="s">
        <v>4</v>
      </c>
      <c r="C33" s="28"/>
      <c r="D33" s="34">
        <f>+D29-D31</f>
        <v>90410.729999999981</v>
      </c>
      <c r="E33" s="14"/>
      <c r="F33" s="31">
        <f>IF(D$12=0,0,D33/D$12)</f>
        <v>0.15583767867474677</v>
      </c>
      <c r="G33" s="14"/>
      <c r="H33" s="34">
        <f>+H29-H31</f>
        <v>147246.85</v>
      </c>
      <c r="I33" s="14"/>
      <c r="J33" s="31">
        <f>IF(H$12=0,0,H33/H$12)</f>
        <v>0.16442846357905877</v>
      </c>
      <c r="K33" s="16"/>
      <c r="L33" s="34">
        <f>D33-H33</f>
        <v>-56836.120000000024</v>
      </c>
      <c r="M33" s="16"/>
      <c r="N33" s="31">
        <f>IF(H33=0,0,L33/H33)</f>
        <v>-0.38599209422816189</v>
      </c>
      <c r="O33" s="29"/>
      <c r="P33" s="34">
        <f>+P29-P31</f>
        <v>226745.14999999976</v>
      </c>
      <c r="Q33" s="14"/>
      <c r="R33" s="31">
        <f>IF(P$12=0,0,P33/P$12)</f>
        <v>0.1528824558980473</v>
      </c>
      <c r="S33" s="14"/>
      <c r="T33" s="34">
        <f>+T29-T31</f>
        <v>318446.50000000012</v>
      </c>
      <c r="U33" s="14"/>
      <c r="V33" s="31">
        <f>IF(T$12=0,0,T33/T$12)</f>
        <v>0.16141230266514542</v>
      </c>
      <c r="W33" s="16"/>
      <c r="X33" s="34">
        <f>P33-T33</f>
        <v>-91701.350000000355</v>
      </c>
      <c r="Y33" s="16"/>
      <c r="Z33" s="31">
        <f>IF(T33=0,0,X33/T33)</f>
        <v>-0.28796469736674862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>
        <f>SUM(D33:D35)</f>
        <v>90410.729999999981</v>
      </c>
      <c r="E36" s="14"/>
      <c r="F36" s="33">
        <f>IF(D$12=0,0,D36/D$12)</f>
        <v>0.15583767867474677</v>
      </c>
      <c r="G36" s="14"/>
      <c r="H36" s="30">
        <f>SUM(H33:H35)</f>
        <v>147246.85</v>
      </c>
      <c r="I36" s="14"/>
      <c r="J36" s="33">
        <f>IF(H$12=0,0,H36/H$12)</f>
        <v>0.16442846357905877</v>
      </c>
      <c r="K36" s="16"/>
      <c r="L36" s="30">
        <f>+D36-H36</f>
        <v>-56836.120000000024</v>
      </c>
      <c r="M36" s="16"/>
      <c r="N36" s="33">
        <f>IF(H36=0,0,L36/H36)</f>
        <v>-0.38599209422816189</v>
      </c>
      <c r="O36" s="29"/>
      <c r="P36" s="30">
        <f>SUM(P33:P35)</f>
        <v>226745.14999999976</v>
      </c>
      <c r="Q36" s="14"/>
      <c r="R36" s="33">
        <f>IF(P$12=0,0,P36/P$12)</f>
        <v>0.1528824558980473</v>
      </c>
      <c r="S36" s="14"/>
      <c r="T36" s="30">
        <f>SUM(T33:T35)</f>
        <v>318446.50000000012</v>
      </c>
      <c r="U36" s="14"/>
      <c r="V36" s="33">
        <f>IF(T$12=0,0,T36/T$12)</f>
        <v>0.16141230266514542</v>
      </c>
      <c r="W36" s="16"/>
      <c r="X36" s="30">
        <f>+P36-T36</f>
        <v>-91701.350000000355</v>
      </c>
      <c r="Y36" s="16"/>
      <c r="Z36" s="33">
        <f>IF(T36=0,0,X36/T36)</f>
        <v>-0.28796469736674862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>
        <v>43879.55401709491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s">
        <v>313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269949.76</v>
      </c>
      <c r="E12" s="4"/>
      <c r="F12" s="12"/>
      <c r="G12" s="4"/>
      <c r="H12" s="4">
        <f>SUM(OSRRefH13x_0)</f>
        <v>230607.84999999998</v>
      </c>
      <c r="I12" s="4"/>
      <c r="J12" s="12"/>
      <c r="K12" s="4"/>
      <c r="L12" s="4">
        <f t="shared" ref="L12:L43" si="0">+D12-H12</f>
        <v>39341.910000000033</v>
      </c>
      <c r="M12" s="4"/>
      <c r="N12" s="12">
        <f t="shared" ref="N12:N43" si="1">IF(H12=0,0,L12/H12)</f>
        <v>0.17060091406255268</v>
      </c>
      <c r="O12" s="10"/>
      <c r="P12" s="4">
        <f>SUM(OSRRefP13x_0)</f>
        <v>2021258.2399999998</v>
      </c>
      <c r="Q12" s="4"/>
      <c r="R12" s="12"/>
      <c r="S12" s="4"/>
      <c r="T12" s="4">
        <f>SUM(OSRRefT13x_0)</f>
        <v>1837279.4299999997</v>
      </c>
      <c r="U12" s="4"/>
      <c r="V12" s="12"/>
      <c r="W12" s="4"/>
      <c r="X12" s="4">
        <f t="shared" ref="X12:X43" si="2">+P12-T12</f>
        <v>183978.81000000006</v>
      </c>
      <c r="Y12" s="4"/>
      <c r="Z12" s="12">
        <f t="shared" ref="Z12:Z43" si="3">IF(T12=0,0,X12/T12)</f>
        <v>0.10013654264882293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--13.62</f>
        <v>13.62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13.62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--14.49</f>
        <v>14.49</v>
      </c>
      <c r="U14" s="2"/>
      <c r="V14" s="19"/>
      <c r="W14" s="2"/>
      <c r="X14" s="2">
        <f t="shared" si="2"/>
        <v>-0.87000000000000099</v>
      </c>
      <c r="Y14" s="2"/>
      <c r="Z14" s="19">
        <f t="shared" si="3"/>
        <v>-6.0041407867494893E-2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--24.98</f>
        <v>24.98</v>
      </c>
      <c r="E15" s="2"/>
      <c r="F15" s="19"/>
      <c r="G15" s="2"/>
      <c r="H15" s="2">
        <f>--8.45</f>
        <v>8.4499999999999993</v>
      </c>
      <c r="I15" s="2"/>
      <c r="J15" s="19"/>
      <c r="K15" s="2"/>
      <c r="L15" s="2">
        <f t="shared" si="0"/>
        <v>16.53</v>
      </c>
      <c r="M15" s="2"/>
      <c r="N15" s="19">
        <f t="shared" si="1"/>
        <v>1.9562130177514796</v>
      </c>
      <c r="O15" s="11"/>
      <c r="P15" s="2">
        <f>--174.63</f>
        <v>174.63</v>
      </c>
      <c r="Q15" s="2"/>
      <c r="R15" s="19"/>
      <c r="S15" s="2"/>
      <c r="T15" s="2">
        <f>--404.26</f>
        <v>404.26</v>
      </c>
      <c r="U15" s="2"/>
      <c r="V15" s="19"/>
      <c r="W15" s="2"/>
      <c r="X15" s="2">
        <f t="shared" si="2"/>
        <v>-229.63</v>
      </c>
      <c r="Y15" s="2"/>
      <c r="Z15" s="19">
        <f t="shared" si="3"/>
        <v>-0.56802552812546381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--91.73</f>
        <v>91.73</v>
      </c>
      <c r="E16" s="2"/>
      <c r="F16" s="19"/>
      <c r="G16" s="2"/>
      <c r="H16" s="2">
        <f>--16.46</f>
        <v>16.46</v>
      </c>
      <c r="I16" s="2"/>
      <c r="J16" s="19"/>
      <c r="K16" s="2"/>
      <c r="L16" s="2">
        <f t="shared" si="0"/>
        <v>75.27000000000001</v>
      </c>
      <c r="M16" s="2"/>
      <c r="N16" s="19">
        <f t="shared" si="1"/>
        <v>4.5729040097205349</v>
      </c>
      <c r="O16" s="11"/>
      <c r="P16" s="2">
        <f>--139.64</f>
        <v>139.63999999999999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-171.29000000000002</v>
      </c>
      <c r="Y16" s="2"/>
      <c r="Z16" s="19">
        <f t="shared" si="3"/>
        <v>-0.55089569999678389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>0</f>
        <v>0</v>
      </c>
      <c r="E17" s="2"/>
      <c r="F17" s="19"/>
      <c r="G17" s="2"/>
      <c r="H17" s="2">
        <f>--1.89</f>
        <v>1.89</v>
      </c>
      <c r="I17" s="2"/>
      <c r="J17" s="19"/>
      <c r="K17" s="2"/>
      <c r="L17" s="2">
        <f t="shared" si="0"/>
        <v>-1.89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--192827.81</f>
        <v>192827.81</v>
      </c>
      <c r="E18" s="2"/>
      <c r="F18" s="19"/>
      <c r="G18" s="2"/>
      <c r="H18" s="2">
        <f>--170910.81</f>
        <v>170910.81</v>
      </c>
      <c r="I18" s="2"/>
      <c r="J18" s="19"/>
      <c r="K18" s="2"/>
      <c r="L18" s="2">
        <f t="shared" si="0"/>
        <v>21917</v>
      </c>
      <c r="M18" s="2"/>
      <c r="N18" s="19">
        <f t="shared" si="1"/>
        <v>0.12823647608948785</v>
      </c>
      <c r="O18" s="11"/>
      <c r="P18" s="2">
        <f>--1484618.99</f>
        <v>1484618.99</v>
      </c>
      <c r="Q18" s="2"/>
      <c r="R18" s="19"/>
      <c r="S18" s="2"/>
      <c r="T18" s="2">
        <f>--1368023.97</f>
        <v>1368023.97</v>
      </c>
      <c r="U18" s="2"/>
      <c r="V18" s="19"/>
      <c r="W18" s="2"/>
      <c r="X18" s="2">
        <f t="shared" si="2"/>
        <v>116595.02000000002</v>
      </c>
      <c r="Y18" s="2"/>
      <c r="Z18" s="19">
        <f t="shared" si="3"/>
        <v>8.5228784404998412E-2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--36784.02</f>
        <v>36784.019999999997</v>
      </c>
      <c r="E19" s="2"/>
      <c r="F19" s="19"/>
      <c r="G19" s="2"/>
      <c r="H19" s="2">
        <f>--29753.85</f>
        <v>29753.85</v>
      </c>
      <c r="I19" s="2"/>
      <c r="J19" s="19"/>
      <c r="K19" s="2"/>
      <c r="L19" s="2">
        <f t="shared" si="0"/>
        <v>7030.1699999999983</v>
      </c>
      <c r="M19" s="2"/>
      <c r="N19" s="19">
        <f t="shared" si="1"/>
        <v>0.23627765818541124</v>
      </c>
      <c r="O19" s="11"/>
      <c r="P19" s="2">
        <f>--235845.95</f>
        <v>235845.95</v>
      </c>
      <c r="Q19" s="2"/>
      <c r="R19" s="19"/>
      <c r="S19" s="2"/>
      <c r="T19" s="2">
        <f>--234550.36</f>
        <v>234550.36</v>
      </c>
      <c r="U19" s="2"/>
      <c r="V19" s="19"/>
      <c r="W19" s="2"/>
      <c r="X19" s="2">
        <f t="shared" si="2"/>
        <v>1295.5900000000256</v>
      </c>
      <c r="Y19" s="2"/>
      <c r="Z19" s="19">
        <f t="shared" si="3"/>
        <v>5.523717806274208E-3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--27223.6</f>
        <v>27223.599999999999</v>
      </c>
      <c r="E20" s="2"/>
      <c r="F20" s="19"/>
      <c r="G20" s="2"/>
      <c r="H20" s="2">
        <f>--15772.48</f>
        <v>15772.48</v>
      </c>
      <c r="I20" s="2"/>
      <c r="J20" s="19"/>
      <c r="K20" s="2"/>
      <c r="L20" s="2">
        <f t="shared" si="0"/>
        <v>11451.119999999999</v>
      </c>
      <c r="M20" s="2"/>
      <c r="N20" s="19">
        <f t="shared" si="1"/>
        <v>0.72601899003834525</v>
      </c>
      <c r="O20" s="11"/>
      <c r="P20" s="2">
        <f>--179068.76</f>
        <v>179068.76</v>
      </c>
      <c r="Q20" s="2"/>
      <c r="R20" s="19"/>
      <c r="S20" s="2"/>
      <c r="T20" s="2">
        <f>--132341.19</f>
        <v>132341.19</v>
      </c>
      <c r="U20" s="2"/>
      <c r="V20" s="19"/>
      <c r="W20" s="2"/>
      <c r="X20" s="2">
        <f t="shared" si="2"/>
        <v>46727.570000000007</v>
      </c>
      <c r="Y20" s="2"/>
      <c r="Z20" s="19">
        <f t="shared" si="3"/>
        <v>0.35308410027142728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--8225.25</f>
        <v>8225.25</v>
      </c>
      <c r="E21" s="2"/>
      <c r="F21" s="19"/>
      <c r="G21" s="2"/>
      <c r="H21" s="2">
        <f>--250.03</f>
        <v>250.03</v>
      </c>
      <c r="I21" s="2"/>
      <c r="J21" s="19"/>
      <c r="K21" s="2"/>
      <c r="L21" s="2">
        <f t="shared" si="0"/>
        <v>7975.22</v>
      </c>
      <c r="M21" s="2"/>
      <c r="N21" s="19">
        <f t="shared" si="1"/>
        <v>31.897052353717555</v>
      </c>
      <c r="O21" s="11"/>
      <c r="P21" s="2">
        <f>--22441.65</f>
        <v>22441.65</v>
      </c>
      <c r="Q21" s="2"/>
      <c r="R21" s="19"/>
      <c r="S21" s="2"/>
      <c r="T21" s="2">
        <f>--1915.2</f>
        <v>1915.2</v>
      </c>
      <c r="U21" s="2"/>
      <c r="V21" s="19"/>
      <c r="W21" s="2"/>
      <c r="X21" s="2">
        <f t="shared" si="2"/>
        <v>20526.45</v>
      </c>
      <c r="Y21" s="2"/>
      <c r="Z21" s="19">
        <f t="shared" si="3"/>
        <v>10.71765350877193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--6349.96</f>
        <v>6349.96</v>
      </c>
      <c r="E22" s="2"/>
      <c r="F22" s="19"/>
      <c r="G22" s="2"/>
      <c r="H22" s="2">
        <f>--14130.01</f>
        <v>14130.01</v>
      </c>
      <c r="I22" s="2"/>
      <c r="J22" s="19"/>
      <c r="K22" s="2"/>
      <c r="L22" s="2">
        <f t="shared" si="0"/>
        <v>-7780.05</v>
      </c>
      <c r="M22" s="2"/>
      <c r="N22" s="19">
        <f t="shared" si="1"/>
        <v>-0.55060470587069643</v>
      </c>
      <c r="O22" s="11"/>
      <c r="P22" s="2">
        <f>--53086.16</f>
        <v>53086.16</v>
      </c>
      <c r="Q22" s="2"/>
      <c r="R22" s="19"/>
      <c r="S22" s="2"/>
      <c r="T22" s="2">
        <f>--59857.07</f>
        <v>59857.07</v>
      </c>
      <c r="U22" s="2"/>
      <c r="V22" s="19"/>
      <c r="W22" s="2"/>
      <c r="X22" s="2">
        <f t="shared" si="2"/>
        <v>-6770.9099999999962</v>
      </c>
      <c r="Y22" s="2"/>
      <c r="Z22" s="19">
        <f t="shared" si="3"/>
        <v>-0.11311796584764333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--8732.21</f>
        <v>8732.2099999999991</v>
      </c>
      <c r="E23" s="2"/>
      <c r="F23" s="19"/>
      <c r="G23" s="2"/>
      <c r="H23" s="2">
        <f>--7692.77</f>
        <v>7692.77</v>
      </c>
      <c r="I23" s="2"/>
      <c r="J23" s="19"/>
      <c r="K23" s="2"/>
      <c r="L23" s="2">
        <f t="shared" si="0"/>
        <v>1039.4399999999987</v>
      </c>
      <c r="M23" s="2"/>
      <c r="N23" s="19">
        <f t="shared" si="1"/>
        <v>0.13511907934333128</v>
      </c>
      <c r="O23" s="11"/>
      <c r="P23" s="2">
        <f>--69738.03</f>
        <v>69738.03</v>
      </c>
      <c r="Q23" s="2"/>
      <c r="R23" s="19"/>
      <c r="S23" s="2"/>
      <c r="T23" s="2">
        <f>--75947.26</f>
        <v>75947.259999999995</v>
      </c>
      <c r="U23" s="2"/>
      <c r="V23" s="19"/>
      <c r="W23" s="2"/>
      <c r="X23" s="2">
        <f t="shared" si="2"/>
        <v>-6209.2299999999959</v>
      </c>
      <c r="Y23" s="2"/>
      <c r="Z23" s="19">
        <f t="shared" si="3"/>
        <v>-8.1757129881973312E-2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>--0.99</f>
        <v>0.99</v>
      </c>
      <c r="E25" s="2"/>
      <c r="F25" s="19"/>
      <c r="G25" s="2"/>
      <c r="H25" s="2">
        <f>--4.95</f>
        <v>4.95</v>
      </c>
      <c r="I25" s="2"/>
      <c r="J25" s="19"/>
      <c r="K25" s="2"/>
      <c r="L25" s="2">
        <f t="shared" si="0"/>
        <v>-3.96</v>
      </c>
      <c r="M25" s="2"/>
      <c r="N25" s="19">
        <f t="shared" si="1"/>
        <v>-0.79999999999999993</v>
      </c>
      <c r="O25" s="11"/>
      <c r="P25" s="2">
        <f>--29.7</f>
        <v>29.7</v>
      </c>
      <c r="Q25" s="2"/>
      <c r="R25" s="19"/>
      <c r="S25" s="2"/>
      <c r="T25" s="2">
        <f>--20.79</f>
        <v>20.79</v>
      </c>
      <c r="U25" s="2"/>
      <c r="V25" s="19"/>
      <c r="W25" s="2"/>
      <c r="X25" s="2">
        <f t="shared" si="2"/>
        <v>8.91</v>
      </c>
      <c r="Y25" s="2"/>
      <c r="Z25" s="19">
        <f t="shared" si="3"/>
        <v>0.4285714285714286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--10.5</f>
        <v>10.5</v>
      </c>
      <c r="E26" s="2"/>
      <c r="F26" s="19"/>
      <c r="G26" s="2"/>
      <c r="H26" s="2">
        <f>--9</f>
        <v>9</v>
      </c>
      <c r="I26" s="2"/>
      <c r="J26" s="19"/>
      <c r="K26" s="2"/>
      <c r="L26" s="2">
        <f t="shared" si="0"/>
        <v>1.5</v>
      </c>
      <c r="M26" s="2"/>
      <c r="N26" s="19">
        <f t="shared" si="1"/>
        <v>0.16666666666666666</v>
      </c>
      <c r="O26" s="11"/>
      <c r="P26" s="2">
        <f>--103.5</f>
        <v>103.5</v>
      </c>
      <c r="Q26" s="2"/>
      <c r="R26" s="19"/>
      <c r="S26" s="2"/>
      <c r="T26" s="2">
        <f>--72</f>
        <v>72</v>
      </c>
      <c r="U26" s="2"/>
      <c r="V26" s="19"/>
      <c r="W26" s="2"/>
      <c r="X26" s="2">
        <f t="shared" si="2"/>
        <v>31.5</v>
      </c>
      <c r="Y26" s="2"/>
      <c r="Z26" s="19">
        <f t="shared" si="3"/>
        <v>0.4375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--3758.83</f>
        <v>3758.83</v>
      </c>
      <c r="E27" s="2"/>
      <c r="F27" s="19"/>
      <c r="G27" s="2"/>
      <c r="H27" s="2">
        <f>--3145.88</f>
        <v>3145.88</v>
      </c>
      <c r="I27" s="2"/>
      <c r="J27" s="19"/>
      <c r="K27" s="2"/>
      <c r="L27" s="2">
        <f t="shared" si="0"/>
        <v>612.94999999999982</v>
      </c>
      <c r="M27" s="2"/>
      <c r="N27" s="19">
        <f t="shared" si="1"/>
        <v>0.19484214273907455</v>
      </c>
      <c r="O27" s="11"/>
      <c r="P27" s="2">
        <f>--42582.67</f>
        <v>42582.67</v>
      </c>
      <c r="Q27" s="2"/>
      <c r="R27" s="19"/>
      <c r="S27" s="2"/>
      <c r="T27" s="2">
        <f>--23533.95</f>
        <v>23533.95</v>
      </c>
      <c r="U27" s="2"/>
      <c r="V27" s="19"/>
      <c r="W27" s="2"/>
      <c r="X27" s="2">
        <f t="shared" si="2"/>
        <v>19048.719999999998</v>
      </c>
      <c r="Y27" s="2"/>
      <c r="Z27" s="19">
        <f t="shared" si="3"/>
        <v>0.80941448418136341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--1020.72</f>
        <v>1020.72</v>
      </c>
      <c r="E28" s="2"/>
      <c r="F28" s="19"/>
      <c r="G28" s="2"/>
      <c r="H28" s="2">
        <f>--275.4</f>
        <v>275.39999999999998</v>
      </c>
      <c r="I28" s="2"/>
      <c r="J28" s="19"/>
      <c r="K28" s="2"/>
      <c r="L28" s="2">
        <f t="shared" si="0"/>
        <v>745.32</v>
      </c>
      <c r="M28" s="2"/>
      <c r="N28" s="19">
        <f t="shared" si="1"/>
        <v>2.7063180827886715</v>
      </c>
      <c r="O28" s="11"/>
      <c r="P28" s="2">
        <f>--3397.85</f>
        <v>3397.85</v>
      </c>
      <c r="Q28" s="2"/>
      <c r="R28" s="19"/>
      <c r="S28" s="2"/>
      <c r="T28" s="2">
        <f>--2460.28</f>
        <v>2460.2800000000002</v>
      </c>
      <c r="U28" s="2"/>
      <c r="V28" s="19"/>
      <c r="W28" s="2"/>
      <c r="X28" s="2">
        <f t="shared" si="2"/>
        <v>937.56999999999971</v>
      </c>
      <c r="Y28" s="2"/>
      <c r="Z28" s="19">
        <f t="shared" si="3"/>
        <v>0.38108264100021122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--545.58</f>
        <v>545.58000000000004</v>
      </c>
      <c r="E29" s="2"/>
      <c r="F29" s="19"/>
      <c r="G29" s="2"/>
      <c r="H29" s="2">
        <f>--404.85</f>
        <v>404.85</v>
      </c>
      <c r="I29" s="2"/>
      <c r="J29" s="19"/>
      <c r="K29" s="2"/>
      <c r="L29" s="2">
        <f t="shared" si="0"/>
        <v>140.73000000000002</v>
      </c>
      <c r="M29" s="2"/>
      <c r="N29" s="19">
        <f t="shared" si="1"/>
        <v>0.34761022600963321</v>
      </c>
      <c r="O29" s="11"/>
      <c r="P29" s="2">
        <f>--4276.07</f>
        <v>4276.07</v>
      </c>
      <c r="Q29" s="2"/>
      <c r="R29" s="19"/>
      <c r="S29" s="2"/>
      <c r="T29" s="2">
        <f>--4797.96</f>
        <v>4797.96</v>
      </c>
      <c r="U29" s="2"/>
      <c r="V29" s="19"/>
      <c r="W29" s="2"/>
      <c r="X29" s="2">
        <f t="shared" si="2"/>
        <v>-521.89000000000033</v>
      </c>
      <c r="Y29" s="2"/>
      <c r="Z29" s="19">
        <f t="shared" si="3"/>
        <v>-0.10877331199092954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--374.48</f>
        <v>374.48</v>
      </c>
      <c r="E30" s="2"/>
      <c r="F30" s="19"/>
      <c r="G30" s="2"/>
      <c r="H30" s="2">
        <f>--39.85</f>
        <v>39.85</v>
      </c>
      <c r="I30" s="2"/>
      <c r="J30" s="19"/>
      <c r="K30" s="2"/>
      <c r="L30" s="2">
        <f t="shared" si="0"/>
        <v>334.63</v>
      </c>
      <c r="M30" s="2"/>
      <c r="N30" s="19">
        <f t="shared" si="1"/>
        <v>8.3972396486825591</v>
      </c>
      <c r="O30" s="11"/>
      <c r="P30" s="2">
        <f>--967.33</f>
        <v>967.33</v>
      </c>
      <c r="Q30" s="2"/>
      <c r="R30" s="19"/>
      <c r="S30" s="2"/>
      <c r="T30" s="2">
        <f>--400.39</f>
        <v>400.39</v>
      </c>
      <c r="U30" s="2"/>
      <c r="V30" s="19"/>
      <c r="W30" s="2"/>
      <c r="X30" s="2">
        <f t="shared" si="2"/>
        <v>566.94000000000005</v>
      </c>
      <c r="Y30" s="2"/>
      <c r="Z30" s="19">
        <f t="shared" si="3"/>
        <v>1.4159694298059393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 t="shared" ref="D31:D33" si="4">0</f>
        <v>0</v>
      </c>
      <c r="E31" s="2"/>
      <c r="F31" s="19"/>
      <c r="G31" s="2"/>
      <c r="H31" s="2">
        <f>--79.8</f>
        <v>79.8</v>
      </c>
      <c r="I31" s="2"/>
      <c r="J31" s="19"/>
      <c r="K31" s="2"/>
      <c r="L31" s="2">
        <f t="shared" si="0"/>
        <v>-79.8</v>
      </c>
      <c r="M31" s="2"/>
      <c r="N31" s="19">
        <f t="shared" si="1"/>
        <v>-1</v>
      </c>
      <c r="O31" s="11"/>
      <c r="P31" s="2">
        <f>--140</f>
        <v>140</v>
      </c>
      <c r="Q31" s="2"/>
      <c r="R31" s="19"/>
      <c r="S31" s="2"/>
      <c r="T31" s="2">
        <f>--1827.2</f>
        <v>1827.2</v>
      </c>
      <c r="U31" s="2"/>
      <c r="V31" s="19"/>
      <c r="W31" s="2"/>
      <c r="X31" s="2">
        <f t="shared" si="2"/>
        <v>-1687.2</v>
      </c>
      <c r="Y31" s="2"/>
      <c r="Z31" s="19">
        <f t="shared" si="3"/>
        <v>-0.92338003502626975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 t="shared" si="4"/>
        <v>0</v>
      </c>
      <c r="E32" s="2"/>
      <c r="F32" s="19"/>
      <c r="G32" s="2"/>
      <c r="H32" s="2">
        <f t="shared" ref="H32:H33" si="5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>
        <f>-5.07</f>
        <v>-5.07</v>
      </c>
      <c r="U32" s="2"/>
      <c r="V32" s="19"/>
      <c r="W32" s="2"/>
      <c r="X32" s="2">
        <f t="shared" si="2"/>
        <v>-129.73000000000002</v>
      </c>
      <c r="Y32" s="2"/>
      <c r="Z32" s="19">
        <f t="shared" si="3"/>
        <v>25.587771203155821</v>
      </c>
    </row>
    <row r="33" spans="1:26" s="24" customFormat="1" hidden="1" outlineLevel="1" x14ac:dyDescent="0.25">
      <c r="A33" s="44"/>
      <c r="B33" s="11" t="str">
        <f>CONCATENATE("          ", "4227", " - ", "SALES RETURN TAXABLE-SCHOOL SU")</f>
        <v xml:space="preserve">          4227 - SALES RETURN TAXABLE-SCHOOL SU</v>
      </c>
      <c r="C33" s="11"/>
      <c r="D33" s="2">
        <f t="shared" si="4"/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0</f>
        <v>0</v>
      </c>
      <c r="Q33" s="2"/>
      <c r="R33" s="19"/>
      <c r="S33" s="2"/>
      <c r="T33" s="2">
        <f>-4.99</f>
        <v>-4.99</v>
      </c>
      <c r="U33" s="2"/>
      <c r="V33" s="19"/>
      <c r="W33" s="2"/>
      <c r="X33" s="2">
        <f t="shared" si="2"/>
        <v>4.99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"4240", " - ", "SALES RETURN TAXABLE-LOGO CLOT")</f>
        <v xml:space="preserve">          4240 - SALES RETURN TAXABLE-LOGO CLOT</v>
      </c>
      <c r="C34" s="11"/>
      <c r="D34" s="2">
        <f>-12286.81</f>
        <v>-12286.81</v>
      </c>
      <c r="E34" s="2"/>
      <c r="F34" s="19"/>
      <c r="G34" s="2"/>
      <c r="H34" s="2">
        <f>-9903.76</f>
        <v>-9903.76</v>
      </c>
      <c r="I34" s="2"/>
      <c r="J34" s="19"/>
      <c r="K34" s="2"/>
      <c r="L34" s="2">
        <f t="shared" si="0"/>
        <v>-2383.0499999999993</v>
      </c>
      <c r="M34" s="2"/>
      <c r="N34" s="19">
        <f t="shared" si="1"/>
        <v>0.24062073394347189</v>
      </c>
      <c r="O34" s="11"/>
      <c r="P34" s="2">
        <f>-61608.75</f>
        <v>-61608.75</v>
      </c>
      <c r="Q34" s="2"/>
      <c r="R34" s="19"/>
      <c r="S34" s="2"/>
      <c r="T34" s="2">
        <f>-58611.84</f>
        <v>-58611.839999999997</v>
      </c>
      <c r="U34" s="2"/>
      <c r="V34" s="19"/>
      <c r="W34" s="2"/>
      <c r="X34" s="2">
        <f t="shared" si="2"/>
        <v>-2996.9100000000035</v>
      </c>
      <c r="Y34" s="2"/>
      <c r="Z34" s="19">
        <f t="shared" si="3"/>
        <v>5.1131477872047755E-2</v>
      </c>
    </row>
    <row r="35" spans="1:26" s="24" customFormat="1" hidden="1" outlineLevel="1" x14ac:dyDescent="0.25">
      <c r="A35" s="44"/>
      <c r="B35" s="11" t="str">
        <f>CONCATENATE("          ", "4241", " - ", "SALES RETURN TAXABLE-LOGO GIFT")</f>
        <v xml:space="preserve">          4241 - SALES RETURN TAXABLE-LOGO GIFT</v>
      </c>
      <c r="C35" s="11"/>
      <c r="D35" s="2">
        <f>-481.99</f>
        <v>-481.99</v>
      </c>
      <c r="E35" s="2"/>
      <c r="F35" s="19"/>
      <c r="G35" s="2"/>
      <c r="H35" s="2">
        <f>-819.42</f>
        <v>-819.42</v>
      </c>
      <c r="I35" s="2"/>
      <c r="J35" s="19"/>
      <c r="K35" s="2"/>
      <c r="L35" s="2">
        <f t="shared" si="0"/>
        <v>337.42999999999995</v>
      </c>
      <c r="M35" s="2"/>
      <c r="N35" s="19">
        <f t="shared" si="1"/>
        <v>-0.41179126699372726</v>
      </c>
      <c r="O35" s="11"/>
      <c r="P35" s="2">
        <f>-3996.11</f>
        <v>-3996.11</v>
      </c>
      <c r="Q35" s="2"/>
      <c r="R35" s="19"/>
      <c r="S35" s="2"/>
      <c r="T35" s="2">
        <f>-4712.96</f>
        <v>-4712.96</v>
      </c>
      <c r="U35" s="2"/>
      <c r="V35" s="19"/>
      <c r="W35" s="2"/>
      <c r="X35" s="2">
        <f t="shared" si="2"/>
        <v>716.84999999999991</v>
      </c>
      <c r="Y35" s="2"/>
      <c r="Z35" s="19">
        <f t="shared" si="3"/>
        <v>-0.15210186379684951</v>
      </c>
    </row>
    <row r="36" spans="1:26" s="24" customFormat="1" hidden="1" outlineLevel="1" x14ac:dyDescent="0.25">
      <c r="A36" s="44"/>
      <c r="B36" s="11" t="str">
        <f>CONCATENATE("          ", "4242", " - ", "SALES RETURN TAXABLE-EVERYDAY")</f>
        <v xml:space="preserve">          4242 - SALES RETURN TAXABLE-EVERYDAY</v>
      </c>
      <c r="C36" s="11"/>
      <c r="D36" s="2">
        <f>-700.91</f>
        <v>-700.91</v>
      </c>
      <c r="E36" s="2"/>
      <c r="F36" s="19"/>
      <c r="G36" s="2"/>
      <c r="H36" s="2">
        <f>-237.92</f>
        <v>-237.92</v>
      </c>
      <c r="I36" s="2"/>
      <c r="J36" s="19"/>
      <c r="K36" s="2"/>
      <c r="L36" s="2">
        <f t="shared" si="0"/>
        <v>-462.99</v>
      </c>
      <c r="M36" s="2"/>
      <c r="N36" s="19">
        <f t="shared" si="1"/>
        <v>1.945990248823134</v>
      </c>
      <c r="O36" s="11"/>
      <c r="P36" s="2">
        <f>-3474.13</f>
        <v>-3474.13</v>
      </c>
      <c r="Q36" s="2"/>
      <c r="R36" s="19"/>
      <c r="S36" s="2"/>
      <c r="T36" s="2">
        <f>-1955.01</f>
        <v>-1955.01</v>
      </c>
      <c r="U36" s="2"/>
      <c r="V36" s="19"/>
      <c r="W36" s="2"/>
      <c r="X36" s="2">
        <f t="shared" si="2"/>
        <v>-1519.1200000000001</v>
      </c>
      <c r="Y36" s="2"/>
      <c r="Z36" s="19">
        <f t="shared" si="3"/>
        <v>0.77703950363425256</v>
      </c>
    </row>
    <row r="37" spans="1:26" s="24" customFormat="1" hidden="1" outlineLevel="1" x14ac:dyDescent="0.25">
      <c r="A37" s="44"/>
      <c r="B37" s="11" t="str">
        <f>CONCATENATE("          ", "4243", " - ", "SALES RETURN TAXABLE-CARDS")</f>
        <v xml:space="preserve">          4243 - SALES RETURN TAXABLE-CARDS</v>
      </c>
      <c r="C37" s="11"/>
      <c r="D37" s="2">
        <f>-344.74</f>
        <v>-344.74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-344.74</v>
      </c>
      <c r="M37" s="2"/>
      <c r="N37" s="19">
        <f t="shared" si="1"/>
        <v>0</v>
      </c>
      <c r="O37" s="11"/>
      <c r="P37" s="2">
        <f>-1224.21</f>
        <v>-1224.21</v>
      </c>
      <c r="Q37" s="2"/>
      <c r="R37" s="19"/>
      <c r="S37" s="2"/>
      <c r="T37" s="2">
        <f>-25.94</f>
        <v>-25.94</v>
      </c>
      <c r="U37" s="2"/>
      <c r="V37" s="19"/>
      <c r="W37" s="2"/>
      <c r="X37" s="2">
        <f t="shared" si="2"/>
        <v>-1198.27</v>
      </c>
      <c r="Y37" s="2"/>
      <c r="Z37" s="19">
        <f t="shared" si="3"/>
        <v>46.193909020817266</v>
      </c>
    </row>
    <row r="38" spans="1:26" s="24" customFormat="1" hidden="1" outlineLevel="1" x14ac:dyDescent="0.25">
      <c r="A38" s="44"/>
      <c r="B38" s="11" t="str">
        <f>CONCATENATE("          ", "4244", " - ", "SALES RETURN TAXABLE-ACCESSORI")</f>
        <v xml:space="preserve">          4244 - SALES RETURN TAXABLE-ACCESSORI</v>
      </c>
      <c r="C38" s="11"/>
      <c r="D38" s="2">
        <f>-370.28</f>
        <v>-370.28</v>
      </c>
      <c r="E38" s="2"/>
      <c r="F38" s="19"/>
      <c r="G38" s="2"/>
      <c r="H38" s="2">
        <f>-268.5</f>
        <v>-268.5</v>
      </c>
      <c r="I38" s="2"/>
      <c r="J38" s="19"/>
      <c r="K38" s="2"/>
      <c r="L38" s="2">
        <f t="shared" si="0"/>
        <v>-101.77999999999997</v>
      </c>
      <c r="M38" s="2"/>
      <c r="N38" s="19">
        <f t="shared" si="1"/>
        <v>0.3790689013035381</v>
      </c>
      <c r="O38" s="11"/>
      <c r="P38" s="2">
        <f>-2102.05</f>
        <v>-2102.0500000000002</v>
      </c>
      <c r="Q38" s="2"/>
      <c r="R38" s="19"/>
      <c r="S38" s="2"/>
      <c r="T38" s="2">
        <f>-3012.87</f>
        <v>-3012.87</v>
      </c>
      <c r="U38" s="2"/>
      <c r="V38" s="19"/>
      <c r="W38" s="2"/>
      <c r="X38" s="2">
        <f t="shared" si="2"/>
        <v>910.81999999999971</v>
      </c>
      <c r="Y38" s="2"/>
      <c r="Z38" s="19">
        <f t="shared" si="3"/>
        <v>-0.3023097578056802</v>
      </c>
    </row>
    <row r="39" spans="1:26" s="24" customFormat="1" hidden="1" outlineLevel="1" x14ac:dyDescent="0.25">
      <c r="A39" s="44"/>
      <c r="B39" s="11" t="str">
        <f>CONCATENATE("          ", "4245", " - ", "SALES RETURN TAXABLE-SPECIAL O")</f>
        <v xml:space="preserve">          4245 - SALES RETURN TAXABLE-SPECIAL O</v>
      </c>
      <c r="C39" s="11"/>
      <c r="D39" s="2">
        <f>-1623.09</f>
        <v>-1623.09</v>
      </c>
      <c r="E39" s="2"/>
      <c r="F39" s="19"/>
      <c r="G39" s="2"/>
      <c r="H39" s="2">
        <f t="shared" ref="H39:H40" si="6">0</f>
        <v>0</v>
      </c>
      <c r="I39" s="2"/>
      <c r="J39" s="19"/>
      <c r="K39" s="2"/>
      <c r="L39" s="2">
        <f t="shared" si="0"/>
        <v>-1623.09</v>
      </c>
      <c r="M39" s="2"/>
      <c r="N39" s="19">
        <f t="shared" si="1"/>
        <v>0</v>
      </c>
      <c r="O39" s="11"/>
      <c r="P39" s="2">
        <f>-1715.05</f>
        <v>-1715.05</v>
      </c>
      <c r="Q39" s="2"/>
      <c r="R39" s="19"/>
      <c r="S39" s="2"/>
      <c r="T39" s="2">
        <f>-225.7</f>
        <v>-225.7</v>
      </c>
      <c r="U39" s="2"/>
      <c r="V39" s="19"/>
      <c r="W39" s="2"/>
      <c r="X39" s="2">
        <f t="shared" si="2"/>
        <v>-1489.35</v>
      </c>
      <c r="Y39" s="2"/>
      <c r="Z39" s="19">
        <f t="shared" si="3"/>
        <v>6.5988037217545417</v>
      </c>
    </row>
    <row r="40" spans="1:26" s="24" customFormat="1" hidden="1" outlineLevel="1" x14ac:dyDescent="0.25">
      <c r="A40" s="44"/>
      <c r="B40" s="11" t="str">
        <f>CONCATENATE("          ", "4295", " - ", "SALES RETURN TAXABLE-CUSTOMER")</f>
        <v xml:space="preserve">          4295 - SALES RETURN TAXABLE-CUSTOMER</v>
      </c>
      <c r="C40" s="11"/>
      <c r="D40" s="2">
        <f>0</f>
        <v>0</v>
      </c>
      <c r="E40" s="2"/>
      <c r="F40" s="19"/>
      <c r="G40" s="2"/>
      <c r="H40" s="2">
        <f t="shared" si="6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--0.99</f>
        <v>0.99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0.99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"4340", " - ", "SALES RETURN NON TAXABLE-LOGO")</f>
        <v xml:space="preserve">          4340 - SALES RETURN NON TAXABLE-LOGO</v>
      </c>
      <c r="C41" s="11"/>
      <c r="D41" s="2">
        <f>-216.75</f>
        <v>-216.75</v>
      </c>
      <c r="E41" s="2"/>
      <c r="F41" s="19"/>
      <c r="G41" s="2"/>
      <c r="H41" s="2">
        <f>-194.09</f>
        <v>-194.09</v>
      </c>
      <c r="I41" s="2"/>
      <c r="J41" s="19"/>
      <c r="K41" s="2"/>
      <c r="L41" s="2">
        <f t="shared" si="0"/>
        <v>-22.659999999999997</v>
      </c>
      <c r="M41" s="2"/>
      <c r="N41" s="19">
        <f t="shared" si="1"/>
        <v>0.1167499613581328</v>
      </c>
      <c r="O41" s="11"/>
      <c r="P41" s="2">
        <f>-931.65</f>
        <v>-931.65</v>
      </c>
      <c r="Q41" s="2"/>
      <c r="R41" s="19"/>
      <c r="S41" s="2"/>
      <c r="T41" s="2">
        <f>-495.68</f>
        <v>-495.68</v>
      </c>
      <c r="U41" s="2"/>
      <c r="V41" s="19"/>
      <c r="W41" s="2"/>
      <c r="X41" s="2">
        <f t="shared" si="2"/>
        <v>-435.96999999999997</v>
      </c>
      <c r="Y41" s="2"/>
      <c r="Z41" s="19">
        <f t="shared" si="3"/>
        <v>0.8795392188508715</v>
      </c>
    </row>
    <row r="42" spans="1:26" s="24" customFormat="1" hidden="1" outlineLevel="1" x14ac:dyDescent="0.25">
      <c r="A42" s="44"/>
      <c r="B42" s="11" t="str">
        <f>CONCATENATE("          ", "4341", " - ", "SALES RETURN NON TAXABLE-LOGO")</f>
        <v xml:space="preserve">          4341 - SALES RETURN NON TAXABLE-LOGO</v>
      </c>
      <c r="C42" s="11"/>
      <c r="D42" s="2">
        <f>-9.95</f>
        <v>-9.9499999999999993</v>
      </c>
      <c r="E42" s="2"/>
      <c r="F42" s="19"/>
      <c r="G42" s="2"/>
      <c r="H42" s="2">
        <f>-23.9</f>
        <v>-23.9</v>
      </c>
      <c r="I42" s="2"/>
      <c r="J42" s="19"/>
      <c r="K42" s="2"/>
      <c r="L42" s="2">
        <f t="shared" si="0"/>
        <v>13.95</v>
      </c>
      <c r="M42" s="2"/>
      <c r="N42" s="19">
        <f t="shared" si="1"/>
        <v>-0.58368200836820083</v>
      </c>
      <c r="O42" s="11"/>
      <c r="P42" s="2">
        <f>-30.8</f>
        <v>-30.8</v>
      </c>
      <c r="Q42" s="2"/>
      <c r="R42" s="19"/>
      <c r="S42" s="2"/>
      <c r="T42" s="2">
        <f>-134.6</f>
        <v>-134.6</v>
      </c>
      <c r="U42" s="2"/>
      <c r="V42" s="19"/>
      <c r="W42" s="2"/>
      <c r="X42" s="2">
        <f t="shared" si="2"/>
        <v>103.8</v>
      </c>
      <c r="Y42" s="2"/>
      <c r="Z42" s="19">
        <f t="shared" si="3"/>
        <v>-0.77117384843982173</v>
      </c>
    </row>
    <row r="43" spans="1:26" s="24" customFormat="1" hidden="1" outlineLevel="1" x14ac:dyDescent="0.25">
      <c r="A43" s="44"/>
      <c r="B43" s="11" t="str">
        <f>CONCATENATE("          ", "4342", " - ", "SALES RETURN NON TAXABLE-EVERY")</f>
        <v xml:space="preserve">          4342 - SALES RETURN NON TAXABLE-EVERY</v>
      </c>
      <c r="C43" s="11"/>
      <c r="D43" s="2">
        <f>0</f>
        <v>0</v>
      </c>
      <c r="E43" s="2"/>
      <c r="F43" s="19"/>
      <c r="G43" s="2"/>
      <c r="H43" s="2">
        <f>-14.95</f>
        <v>-14.95</v>
      </c>
      <c r="I43" s="2"/>
      <c r="J43" s="19"/>
      <c r="K43" s="2"/>
      <c r="L43" s="2">
        <f t="shared" si="0"/>
        <v>14.95</v>
      </c>
      <c r="M43" s="2"/>
      <c r="N43" s="19">
        <f t="shared" si="1"/>
        <v>-1</v>
      </c>
      <c r="O43" s="11"/>
      <c r="P43" s="2">
        <f>-109.8</f>
        <v>-109.8</v>
      </c>
      <c r="Q43" s="2"/>
      <c r="R43" s="19"/>
      <c r="S43" s="2"/>
      <c r="T43" s="2">
        <f>-83.7</f>
        <v>-83.7</v>
      </c>
      <c r="U43" s="2"/>
      <c r="V43" s="19"/>
      <c r="W43" s="2"/>
      <c r="X43" s="2">
        <f t="shared" si="2"/>
        <v>-26.099999999999994</v>
      </c>
      <c r="Y43" s="2"/>
      <c r="Z43" s="19">
        <f t="shared" si="3"/>
        <v>0.31182795698924726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9" t="s">
        <v>8</v>
      </c>
      <c r="C45" s="10"/>
      <c r="D45" s="4">
        <f>SUM(OSRRefD16x_0)</f>
        <v>115210.65999999999</v>
      </c>
      <c r="E45" s="4"/>
      <c r="F45" s="12">
        <f t="shared" ref="F45:F68" si="7">IF(D$12=0,0,D45/D$12)</f>
        <v>0.42678556187640243</v>
      </c>
      <c r="G45" s="4"/>
      <c r="H45" s="4">
        <f>SUM(OSRRefH16x_0)</f>
        <v>98371.159999999974</v>
      </c>
      <c r="I45" s="4"/>
      <c r="J45" s="12">
        <f t="shared" ref="J45:J68" si="8">IF(H$12=0,0,H45/H$12)</f>
        <v>0.42657333651044393</v>
      </c>
      <c r="K45" s="4"/>
      <c r="L45" s="4">
        <f t="shared" ref="L45:L68" si="9">+D45-H45</f>
        <v>16839.500000000015</v>
      </c>
      <c r="M45" s="4"/>
      <c r="N45" s="12">
        <f t="shared" ref="N45:N68" si="10">IF(H45=0,0,L45/H45)</f>
        <v>0.17118330209789148</v>
      </c>
      <c r="O45" s="10"/>
      <c r="P45" s="4">
        <f>SUM(OSRRefP16x_0)</f>
        <v>920725.93999999983</v>
      </c>
      <c r="Q45" s="4"/>
      <c r="R45" s="12">
        <f t="shared" ref="R45:R68" si="11">IF(P$12=0,0,P45/P$12)</f>
        <v>0.45552118070771597</v>
      </c>
      <c r="S45" s="4"/>
      <c r="T45" s="4">
        <f>SUM(OSRRefT16x_0)</f>
        <v>833239.01</v>
      </c>
      <c r="U45" s="4"/>
      <c r="V45" s="12">
        <f t="shared" ref="V45:V68" si="12">IF(T$12=0,0,T45/T$12)</f>
        <v>0.45351784622113805</v>
      </c>
      <c r="W45" s="4"/>
      <c r="X45" s="4">
        <f t="shared" ref="X45:X68" si="13">+P45-T45</f>
        <v>87486.929999999818</v>
      </c>
      <c r="Y45" s="4"/>
      <c r="Z45" s="12">
        <f t="shared" ref="Z45:Z68" si="14">IF(T45=0,0,X45/T45)</f>
        <v>0.10499620030992046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>
        <v>6.06</v>
      </c>
      <c r="E46" s="2"/>
      <c r="F46" s="19">
        <f t="shared" si="7"/>
        <v>2.2448621550913767E-5</v>
      </c>
      <c r="G46" s="2"/>
      <c r="H46" s="2">
        <v>10.199999999999999</v>
      </c>
      <c r="I46" s="2"/>
      <c r="J46" s="19">
        <f t="shared" si="8"/>
        <v>4.423093142752946E-5</v>
      </c>
      <c r="K46" s="2"/>
      <c r="L46" s="2">
        <f t="shared" si="9"/>
        <v>-4.1399999999999997</v>
      </c>
      <c r="M46" s="2"/>
      <c r="N46" s="19">
        <f t="shared" si="10"/>
        <v>-0.40588235294117647</v>
      </c>
      <c r="O46" s="11"/>
      <c r="P46" s="2">
        <v>6.06</v>
      </c>
      <c r="Q46" s="2"/>
      <c r="R46" s="19">
        <f t="shared" si="11"/>
        <v>2.9981324899880188E-6</v>
      </c>
      <c r="S46" s="2"/>
      <c r="T46" s="2">
        <v>23.4</v>
      </c>
      <c r="U46" s="2"/>
      <c r="V46" s="19">
        <f t="shared" si="12"/>
        <v>1.2736222709465595E-5</v>
      </c>
      <c r="W46" s="2"/>
      <c r="X46" s="2">
        <f t="shared" si="13"/>
        <v>-17.34</v>
      </c>
      <c r="Y46" s="2"/>
      <c r="Z46" s="19">
        <f t="shared" si="14"/>
        <v>-0.74102564102564106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1296.3800000000001</v>
      </c>
      <c r="E47" s="2"/>
      <c r="F47" s="19">
        <f t="shared" si="7"/>
        <v>4.8023009911177545E-3</v>
      </c>
      <c r="G47" s="2"/>
      <c r="H47" s="2">
        <v>128.54</v>
      </c>
      <c r="I47" s="2"/>
      <c r="J47" s="19">
        <f t="shared" si="8"/>
        <v>5.573964633033958E-4</v>
      </c>
      <c r="K47" s="2"/>
      <c r="L47" s="2">
        <f t="shared" si="9"/>
        <v>1167.8400000000001</v>
      </c>
      <c r="M47" s="2"/>
      <c r="N47" s="19">
        <f t="shared" si="10"/>
        <v>9.0854208806597185</v>
      </c>
      <c r="O47" s="11"/>
      <c r="P47" s="2">
        <v>1275.1400000000001</v>
      </c>
      <c r="Q47" s="2"/>
      <c r="R47" s="19">
        <f t="shared" si="11"/>
        <v>6.308644658883371E-4</v>
      </c>
      <c r="S47" s="2"/>
      <c r="T47" s="2">
        <v>570.82000000000005</v>
      </c>
      <c r="U47" s="2"/>
      <c r="V47" s="19">
        <f t="shared" si="12"/>
        <v>3.1068763448791243E-4</v>
      </c>
      <c r="W47" s="2"/>
      <c r="X47" s="2">
        <f t="shared" si="13"/>
        <v>704.32</v>
      </c>
      <c r="Y47" s="2"/>
      <c r="Z47" s="19">
        <f t="shared" si="14"/>
        <v>1.2338740758908238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>
        <v>255.26</v>
      </c>
      <c r="E48" s="2"/>
      <c r="F48" s="19">
        <f t="shared" si="7"/>
        <v>9.4558335595482654E-4</v>
      </c>
      <c r="G48" s="2"/>
      <c r="H48" s="2">
        <v>71.7</v>
      </c>
      <c r="I48" s="2"/>
      <c r="J48" s="19">
        <f t="shared" si="8"/>
        <v>3.109174297405748E-4</v>
      </c>
      <c r="K48" s="2"/>
      <c r="L48" s="2">
        <f t="shared" si="9"/>
        <v>183.56</v>
      </c>
      <c r="M48" s="2"/>
      <c r="N48" s="19">
        <f t="shared" si="10"/>
        <v>2.5601115760111575</v>
      </c>
      <c r="O48" s="11"/>
      <c r="P48" s="2">
        <v>306.55</v>
      </c>
      <c r="Q48" s="2"/>
      <c r="R48" s="19">
        <f t="shared" si="11"/>
        <v>1.5166295623858536E-4</v>
      </c>
      <c r="S48" s="2"/>
      <c r="T48" s="2">
        <v>588.23</v>
      </c>
      <c r="U48" s="2"/>
      <c r="V48" s="19">
        <f t="shared" si="12"/>
        <v>3.2016360189696358E-4</v>
      </c>
      <c r="W48" s="2"/>
      <c r="X48" s="2">
        <f t="shared" si="13"/>
        <v>-281.68</v>
      </c>
      <c r="Y48" s="2"/>
      <c r="Z48" s="19">
        <f t="shared" si="14"/>
        <v>-0.4788603097427877</v>
      </c>
    </row>
    <row r="49" spans="1:26" s="24" customFormat="1" hidden="1" outlineLevel="1" x14ac:dyDescent="0.25">
      <c r="A49" s="44"/>
      <c r="B49" s="11" t="str">
        <f>CONCATENATE("          ", "5034", " - ", "PURCHASES @ COST-SODA")</f>
        <v xml:space="preserve">          5034 - PURCHASES @ COST-SODA</v>
      </c>
      <c r="C49" s="11"/>
      <c r="D49" s="2"/>
      <c r="E49" s="2"/>
      <c r="F49" s="19">
        <f t="shared" si="7"/>
        <v>0</v>
      </c>
      <c r="G49" s="2"/>
      <c r="H49" s="2">
        <v>-13.76</v>
      </c>
      <c r="I49" s="2"/>
      <c r="J49" s="19">
        <f t="shared" si="8"/>
        <v>-5.9668393768902493E-5</v>
      </c>
      <c r="K49" s="2"/>
      <c r="L49" s="2">
        <f t="shared" si="9"/>
        <v>13.76</v>
      </c>
      <c r="M49" s="2"/>
      <c r="N49" s="19">
        <f t="shared" si="10"/>
        <v>-1</v>
      </c>
      <c r="O49" s="11"/>
      <c r="P49" s="2"/>
      <c r="Q49" s="2"/>
      <c r="R49" s="19">
        <f t="shared" si="11"/>
        <v>0</v>
      </c>
      <c r="S49" s="2"/>
      <c r="T49" s="2">
        <v>18.54</v>
      </c>
      <c r="U49" s="2"/>
      <c r="V49" s="19">
        <f t="shared" si="12"/>
        <v>1.009100722365351E-5</v>
      </c>
      <c r="W49" s="2"/>
      <c r="X49" s="2">
        <f t="shared" si="13"/>
        <v>-18.54</v>
      </c>
      <c r="Y49" s="2"/>
      <c r="Z49" s="19">
        <f t="shared" si="14"/>
        <v>-1</v>
      </c>
    </row>
    <row r="50" spans="1:26" s="24" customFormat="1" hidden="1" outlineLevel="1" x14ac:dyDescent="0.25">
      <c r="A50" s="44"/>
      <c r="B50" s="11" t="str">
        <f>CONCATENATE("          ", "5037", " - ", "PURCHASES @ COST-WATER")</f>
        <v xml:space="preserve">          5037 - PURCHASES @ COST-WATER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29.76</v>
      </c>
      <c r="Q50" s="2"/>
      <c r="R50" s="19">
        <f t="shared" si="11"/>
        <v>1.4723502129050073E-5</v>
      </c>
      <c r="S50" s="2"/>
      <c r="T50" s="2">
        <v>50.75</v>
      </c>
      <c r="U50" s="2"/>
      <c r="V50" s="19">
        <f t="shared" si="12"/>
        <v>2.7622363354930726E-5</v>
      </c>
      <c r="W50" s="2"/>
      <c r="X50" s="2">
        <f t="shared" si="13"/>
        <v>-20.99</v>
      </c>
      <c r="Y50" s="2"/>
      <c r="Z50" s="19">
        <f t="shared" si="14"/>
        <v>-0.41359605911330044</v>
      </c>
    </row>
    <row r="51" spans="1:26" s="24" customFormat="1" hidden="1" outlineLevel="1" x14ac:dyDescent="0.25">
      <c r="A51" s="44"/>
      <c r="B51" s="11" t="str">
        <f>CONCATENATE("          ", "5040", " - ", "PURCHASES @ COST-LOGO CLOTHING")</f>
        <v xml:space="preserve">          5040 - PURCHASES @ COST-LOGO CLOTHING</v>
      </c>
      <c r="C51" s="11"/>
      <c r="D51" s="2">
        <v>94500.17</v>
      </c>
      <c r="E51" s="2"/>
      <c r="F51" s="19">
        <f t="shared" si="7"/>
        <v>0.35006576779323678</v>
      </c>
      <c r="G51" s="2"/>
      <c r="H51" s="2">
        <v>107805.70999999999</v>
      </c>
      <c r="I51" s="2"/>
      <c r="J51" s="19">
        <f t="shared" si="8"/>
        <v>0.46748499671628702</v>
      </c>
      <c r="K51" s="2"/>
      <c r="L51" s="2">
        <f t="shared" si="9"/>
        <v>-13305.539999999994</v>
      </c>
      <c r="M51" s="2"/>
      <c r="N51" s="19">
        <f t="shared" si="10"/>
        <v>-0.12342147739669813</v>
      </c>
      <c r="O51" s="11"/>
      <c r="P51" s="2">
        <v>810739.01</v>
      </c>
      <c r="Q51" s="2"/>
      <c r="R51" s="19">
        <f t="shared" si="11"/>
        <v>0.40110610012899695</v>
      </c>
      <c r="S51" s="2"/>
      <c r="T51" s="2">
        <v>718263.82</v>
      </c>
      <c r="U51" s="2"/>
      <c r="V51" s="19">
        <f t="shared" si="12"/>
        <v>0.39093880237912426</v>
      </c>
      <c r="W51" s="2"/>
      <c r="X51" s="2">
        <f t="shared" si="13"/>
        <v>92475.190000000061</v>
      </c>
      <c r="Y51" s="2"/>
      <c r="Z51" s="19">
        <f t="shared" si="14"/>
        <v>0.12874822234537731</v>
      </c>
    </row>
    <row r="52" spans="1:26" s="24" customFormat="1" hidden="1" outlineLevel="1" x14ac:dyDescent="0.25">
      <c r="A52" s="44"/>
      <c r="B52" s="11" t="str">
        <f>CONCATENATE("          ", "5041", " - ", "PURCHASES @ COST-LOGO GIFTS")</f>
        <v xml:space="preserve">          5041 - PURCHASES @ COST-LOGO GIFTS</v>
      </c>
      <c r="C52" s="11"/>
      <c r="D52" s="2">
        <v>14612.2</v>
      </c>
      <c r="E52" s="2"/>
      <c r="F52" s="19">
        <f t="shared" si="7"/>
        <v>5.4129331324465707E-2</v>
      </c>
      <c r="G52" s="2"/>
      <c r="H52" s="2">
        <v>9492.9599999999991</v>
      </c>
      <c r="I52" s="2"/>
      <c r="J52" s="19">
        <f t="shared" si="8"/>
        <v>4.1164947333752949E-2</v>
      </c>
      <c r="K52" s="2"/>
      <c r="L52" s="2">
        <f t="shared" si="9"/>
        <v>5119.2400000000016</v>
      </c>
      <c r="M52" s="2"/>
      <c r="N52" s="19">
        <f t="shared" si="10"/>
        <v>0.53926699364581776</v>
      </c>
      <c r="O52" s="11"/>
      <c r="P52" s="2">
        <v>124015.87000000001</v>
      </c>
      <c r="Q52" s="2"/>
      <c r="R52" s="19">
        <f t="shared" si="11"/>
        <v>6.1355777082694803E-2</v>
      </c>
      <c r="S52" s="2"/>
      <c r="T52" s="2">
        <v>114936.31</v>
      </c>
      <c r="U52" s="2"/>
      <c r="V52" s="19">
        <f t="shared" si="12"/>
        <v>6.2557882118127239E-2</v>
      </c>
      <c r="W52" s="2"/>
      <c r="X52" s="2">
        <f t="shared" si="13"/>
        <v>9079.5600000000122</v>
      </c>
      <c r="Y52" s="2"/>
      <c r="Z52" s="19">
        <f t="shared" si="14"/>
        <v>7.8996445944715055E-2</v>
      </c>
    </row>
    <row r="53" spans="1:26" s="24" customFormat="1" hidden="1" outlineLevel="1" x14ac:dyDescent="0.25">
      <c r="A53" s="44"/>
      <c r="B53" s="11" t="str">
        <f>CONCATENATE("          ", "5042", " - ", "PURCHASES @ COST-EVERYDAY GIFT")</f>
        <v xml:space="preserve">          5042 - PURCHASES @ COST-EVERYDAY GIFT</v>
      </c>
      <c r="C53" s="11"/>
      <c r="D53" s="2">
        <v>2972.86</v>
      </c>
      <c r="E53" s="2"/>
      <c r="F53" s="19">
        <f t="shared" si="7"/>
        <v>1.101264175971114E-2</v>
      </c>
      <c r="G53" s="2"/>
      <c r="H53" s="2">
        <v>18027.329999999998</v>
      </c>
      <c r="I53" s="2"/>
      <c r="J53" s="19">
        <f t="shared" si="8"/>
        <v>7.817309775014164E-2</v>
      </c>
      <c r="K53" s="2"/>
      <c r="L53" s="2">
        <f t="shared" si="9"/>
        <v>-15054.469999999998</v>
      </c>
      <c r="M53" s="2"/>
      <c r="N53" s="19">
        <f t="shared" si="10"/>
        <v>-0.83509149718788078</v>
      </c>
      <c r="O53" s="11"/>
      <c r="P53" s="2">
        <v>91360.97</v>
      </c>
      <c r="Q53" s="2"/>
      <c r="R53" s="19">
        <f t="shared" si="11"/>
        <v>4.5200048263006713E-2</v>
      </c>
      <c r="S53" s="2"/>
      <c r="T53" s="2">
        <v>98601.319999999992</v>
      </c>
      <c r="U53" s="2"/>
      <c r="V53" s="19">
        <f t="shared" si="12"/>
        <v>5.3667024400311285E-2</v>
      </c>
      <c r="W53" s="2"/>
      <c r="X53" s="2">
        <f t="shared" si="13"/>
        <v>-7240.3499999999913</v>
      </c>
      <c r="Y53" s="2"/>
      <c r="Z53" s="19">
        <f t="shared" si="14"/>
        <v>-7.3430558536133103E-2</v>
      </c>
    </row>
    <row r="54" spans="1:26" s="24" customFormat="1" hidden="1" outlineLevel="1" x14ac:dyDescent="0.25">
      <c r="A54" s="44"/>
      <c r="B54" s="11" t="str">
        <f>CONCATENATE("          ", "5043", " - ", "PURCHASES @ COST-CARDS")</f>
        <v xml:space="preserve">          5043 - PURCHASES @ COST-CARDS</v>
      </c>
      <c r="C54" s="11"/>
      <c r="D54" s="2">
        <v>3909.52</v>
      </c>
      <c r="E54" s="2"/>
      <c r="F54" s="19">
        <f t="shared" si="7"/>
        <v>1.4482398502595445E-2</v>
      </c>
      <c r="G54" s="2"/>
      <c r="H54" s="2">
        <v>150.46</v>
      </c>
      <c r="I54" s="2"/>
      <c r="J54" s="19">
        <f t="shared" si="8"/>
        <v>6.5244960221432196E-4</v>
      </c>
      <c r="K54" s="2"/>
      <c r="L54" s="2">
        <f t="shared" si="9"/>
        <v>3759.06</v>
      </c>
      <c r="M54" s="2"/>
      <c r="N54" s="19">
        <f t="shared" si="10"/>
        <v>24.983783065266515</v>
      </c>
      <c r="O54" s="11"/>
      <c r="P54" s="2">
        <v>10694.41</v>
      </c>
      <c r="Q54" s="2"/>
      <c r="R54" s="19">
        <f t="shared" si="11"/>
        <v>5.2909666802397311E-3</v>
      </c>
      <c r="S54" s="2"/>
      <c r="T54" s="2">
        <v>2694.52</v>
      </c>
      <c r="U54" s="2"/>
      <c r="V54" s="19">
        <f t="shared" si="12"/>
        <v>1.4665814878251809E-3</v>
      </c>
      <c r="W54" s="2"/>
      <c r="X54" s="2">
        <f t="shared" si="13"/>
        <v>7999.8899999999994</v>
      </c>
      <c r="Y54" s="2"/>
      <c r="Z54" s="19">
        <f t="shared" si="14"/>
        <v>2.968948087228894</v>
      </c>
    </row>
    <row r="55" spans="1:26" s="24" customFormat="1" hidden="1" outlineLevel="1" x14ac:dyDescent="0.25">
      <c r="A55" s="44"/>
      <c r="B55" s="11" t="str">
        <f>CONCATENATE("          ", "5044", " - ", "PURCHASES @ COST-ACCESSORIES")</f>
        <v xml:space="preserve">          5044 - PURCHASES @ COST-ACCESSORIES</v>
      </c>
      <c r="C55" s="11"/>
      <c r="D55" s="2">
        <v>3179.63</v>
      </c>
      <c r="E55" s="2"/>
      <c r="F55" s="19">
        <f t="shared" si="7"/>
        <v>1.1778599099328704E-2</v>
      </c>
      <c r="G55" s="2"/>
      <c r="H55" s="2">
        <v>4714.93</v>
      </c>
      <c r="I55" s="2"/>
      <c r="J55" s="19">
        <f t="shared" si="8"/>
        <v>2.0445661325058973E-2</v>
      </c>
      <c r="K55" s="2"/>
      <c r="L55" s="2">
        <f t="shared" si="9"/>
        <v>-1535.3000000000002</v>
      </c>
      <c r="M55" s="2"/>
      <c r="N55" s="19">
        <f t="shared" si="10"/>
        <v>-0.32562519485973285</v>
      </c>
      <c r="O55" s="11"/>
      <c r="P55" s="2">
        <v>20867.21</v>
      </c>
      <c r="Q55" s="2"/>
      <c r="R55" s="19">
        <f t="shared" si="11"/>
        <v>1.0323871332739751E-2</v>
      </c>
      <c r="S55" s="2"/>
      <c r="T55" s="2">
        <v>25689.96</v>
      </c>
      <c r="U55" s="2"/>
      <c r="V55" s="19">
        <f t="shared" si="12"/>
        <v>1.3982609058002681E-2</v>
      </c>
      <c r="W55" s="2"/>
      <c r="X55" s="2">
        <f t="shared" si="13"/>
        <v>-4822.75</v>
      </c>
      <c r="Y55" s="2"/>
      <c r="Z55" s="19">
        <f t="shared" si="14"/>
        <v>-0.18772898050444611</v>
      </c>
    </row>
    <row r="56" spans="1:26" s="24" customFormat="1" hidden="1" outlineLevel="1" x14ac:dyDescent="0.25">
      <c r="A56" s="44"/>
      <c r="B56" s="11" t="str">
        <f>CONCATENATE("          ", "5045", " - ", "PURCHASES @ COST-SPECIAL ORDER")</f>
        <v xml:space="preserve">          5045 - PURCHASES @ COST-SPECIAL ORDER</v>
      </c>
      <c r="C56" s="11"/>
      <c r="D56" s="2">
        <v>6835.65</v>
      </c>
      <c r="E56" s="2"/>
      <c r="F56" s="19">
        <f t="shared" si="7"/>
        <v>2.5321933977640876E-2</v>
      </c>
      <c r="G56" s="2"/>
      <c r="H56" s="2">
        <v>3857.1</v>
      </c>
      <c r="I56" s="2"/>
      <c r="J56" s="19">
        <f t="shared" si="8"/>
        <v>1.6725796628345481E-2</v>
      </c>
      <c r="K56" s="2"/>
      <c r="L56" s="2">
        <f t="shared" si="9"/>
        <v>2978.5499999999997</v>
      </c>
      <c r="M56" s="2"/>
      <c r="N56" s="19">
        <f t="shared" si="10"/>
        <v>0.7722252469471883</v>
      </c>
      <c r="O56" s="11"/>
      <c r="P56" s="2">
        <v>48016.23</v>
      </c>
      <c r="Q56" s="2"/>
      <c r="R56" s="19">
        <f t="shared" si="11"/>
        <v>2.3755613730979772E-2</v>
      </c>
      <c r="S56" s="2"/>
      <c r="T56" s="2">
        <v>55529.409999999996</v>
      </c>
      <c r="U56" s="2"/>
      <c r="V56" s="19">
        <f t="shared" si="12"/>
        <v>3.0223715072018199E-2</v>
      </c>
      <c r="W56" s="2"/>
      <c r="X56" s="2">
        <f t="shared" si="13"/>
        <v>-7513.179999999993</v>
      </c>
      <c r="Y56" s="2"/>
      <c r="Z56" s="19">
        <f t="shared" si="14"/>
        <v>-0.13530091531676627</v>
      </c>
    </row>
    <row r="57" spans="1:26" s="24" customFormat="1" hidden="1" outlineLevel="1" x14ac:dyDescent="0.25">
      <c r="A57" s="44"/>
      <c r="B57" s="11" t="str">
        <f>CONCATENATE("          ", "5083", " - ", "PURCHASES @ COST-COMPUTER EQUI")</f>
        <v xml:space="preserve">          5083 - PURCHASES @ COST-COMPUTER EQUI</v>
      </c>
      <c r="C57" s="11"/>
      <c r="D57" s="2">
        <v>50.4</v>
      </c>
      <c r="E57" s="2"/>
      <c r="F57" s="19">
        <f t="shared" si="7"/>
        <v>1.8670140695809472E-4</v>
      </c>
      <c r="G57" s="2"/>
      <c r="H57" s="2"/>
      <c r="I57" s="2"/>
      <c r="J57" s="19">
        <f t="shared" si="8"/>
        <v>0</v>
      </c>
      <c r="K57" s="2"/>
      <c r="L57" s="2">
        <f t="shared" si="9"/>
        <v>50.4</v>
      </c>
      <c r="M57" s="2"/>
      <c r="N57" s="19">
        <f t="shared" si="10"/>
        <v>0</v>
      </c>
      <c r="O57" s="11"/>
      <c r="P57" s="2">
        <v>90.35</v>
      </c>
      <c r="Q57" s="2"/>
      <c r="R57" s="19">
        <f t="shared" si="11"/>
        <v>4.4699879615580447E-5</v>
      </c>
      <c r="S57" s="2"/>
      <c r="T57" s="2">
        <v>15.8</v>
      </c>
      <c r="U57" s="2"/>
      <c r="V57" s="19">
        <f t="shared" si="12"/>
        <v>8.5996717439981374E-6</v>
      </c>
      <c r="W57" s="2"/>
      <c r="X57" s="2">
        <f t="shared" si="13"/>
        <v>74.55</v>
      </c>
      <c r="Y57" s="2"/>
      <c r="Z57" s="19">
        <f t="shared" si="14"/>
        <v>4.7183544303797467</v>
      </c>
    </row>
    <row r="58" spans="1:26" s="24" customFormat="1" hidden="1" outlineLevel="1" x14ac:dyDescent="0.25">
      <c r="A58" s="44"/>
      <c r="B58" s="11" t="str">
        <f>CONCATENATE("          ", "5092", " - ", "PURCHASES @ COST-GRAD MERCH")</f>
        <v xml:space="preserve">          5092 - PURCHASES @ COST-GRAD MERCH</v>
      </c>
      <c r="C58" s="11"/>
      <c r="D58" s="2"/>
      <c r="E58" s="2"/>
      <c r="F58" s="19">
        <f t="shared" si="7"/>
        <v>0</v>
      </c>
      <c r="G58" s="2"/>
      <c r="H58" s="2"/>
      <c r="I58" s="2"/>
      <c r="J58" s="19">
        <f t="shared" si="8"/>
        <v>0</v>
      </c>
      <c r="K58" s="2"/>
      <c r="L58" s="2">
        <f t="shared" si="9"/>
        <v>0</v>
      </c>
      <c r="M58" s="2"/>
      <c r="N58" s="19">
        <f t="shared" si="10"/>
        <v>0</v>
      </c>
      <c r="O58" s="11"/>
      <c r="P58" s="2">
        <v>-60.35</v>
      </c>
      <c r="Q58" s="2"/>
      <c r="R58" s="19">
        <f t="shared" si="11"/>
        <v>-2.9857639566134809E-5</v>
      </c>
      <c r="S58" s="2"/>
      <c r="T58" s="2"/>
      <c r="U58" s="2"/>
      <c r="V58" s="19">
        <f t="shared" si="12"/>
        <v>0</v>
      </c>
      <c r="W58" s="2"/>
      <c r="X58" s="2">
        <f t="shared" si="13"/>
        <v>-60.35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"5095", " - ", "PURCHASES @ COST-CUSTOMER SERV")</f>
        <v xml:space="preserve">          5095 - PURCHASES @ COST-CUSTOMER SERV</v>
      </c>
      <c r="C59" s="11"/>
      <c r="D59" s="2"/>
      <c r="E59" s="2"/>
      <c r="F59" s="19">
        <f t="shared" si="7"/>
        <v>0</v>
      </c>
      <c r="G59" s="2"/>
      <c r="H59" s="2">
        <v>4.32</v>
      </c>
      <c r="I59" s="2"/>
      <c r="J59" s="19">
        <f t="shared" si="8"/>
        <v>1.8733100369306597E-5</v>
      </c>
      <c r="K59" s="2"/>
      <c r="L59" s="2">
        <f t="shared" si="9"/>
        <v>-4.32</v>
      </c>
      <c r="M59" s="2"/>
      <c r="N59" s="19">
        <f t="shared" si="10"/>
        <v>-1</v>
      </c>
      <c r="O59" s="11"/>
      <c r="P59" s="2">
        <v>-11.85</v>
      </c>
      <c r="Q59" s="2"/>
      <c r="R59" s="19">
        <f t="shared" si="11"/>
        <v>-5.8626848195310269E-6</v>
      </c>
      <c r="S59" s="2"/>
      <c r="T59" s="2">
        <v>61.92</v>
      </c>
      <c r="U59" s="2"/>
      <c r="V59" s="19">
        <f t="shared" si="12"/>
        <v>3.3702004708124343E-5</v>
      </c>
      <c r="W59" s="2"/>
      <c r="X59" s="2">
        <f t="shared" si="13"/>
        <v>-73.77</v>
      </c>
      <c r="Y59" s="2"/>
      <c r="Z59" s="19">
        <f t="shared" si="14"/>
        <v>-1.1913759689922481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>
        <v>-104949</v>
      </c>
      <c r="E60" s="2"/>
      <c r="F60" s="19">
        <f t="shared" si="7"/>
        <v>-0.38877234045327547</v>
      </c>
      <c r="G60" s="2"/>
      <c r="H60" s="2">
        <v>-146446</v>
      </c>
      <c r="I60" s="2"/>
      <c r="J60" s="19">
        <f t="shared" si="8"/>
        <v>-0.63504342978784123</v>
      </c>
      <c r="K60" s="2"/>
      <c r="L60" s="2">
        <f t="shared" si="9"/>
        <v>41497</v>
      </c>
      <c r="M60" s="2"/>
      <c r="N60" s="19">
        <f t="shared" si="10"/>
        <v>-0.28336041954030838</v>
      </c>
      <c r="O60" s="11"/>
      <c r="P60" s="2">
        <v>-1077483</v>
      </c>
      <c r="Q60" s="2"/>
      <c r="R60" s="19">
        <f t="shared" si="11"/>
        <v>-0.53307537783989445</v>
      </c>
      <c r="S60" s="2"/>
      <c r="T60" s="2">
        <v>-1043397</v>
      </c>
      <c r="U60" s="2"/>
      <c r="V60" s="19">
        <f t="shared" si="12"/>
        <v>-0.56790327206787494</v>
      </c>
      <c r="W60" s="2"/>
      <c r="X60" s="2">
        <f t="shared" si="13"/>
        <v>-34086</v>
      </c>
      <c r="Y60" s="2"/>
      <c r="Z60" s="19">
        <f t="shared" si="14"/>
        <v>3.2668294043398632E-2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>
        <v>91102</v>
      </c>
      <c r="E61" s="2"/>
      <c r="F61" s="19">
        <f t="shared" si="7"/>
        <v>0.33747761064873699</v>
      </c>
      <c r="G61" s="2"/>
      <c r="H61" s="2">
        <v>98371</v>
      </c>
      <c r="I61" s="2"/>
      <c r="J61" s="19">
        <f t="shared" si="8"/>
        <v>0.42657264269191186</v>
      </c>
      <c r="K61" s="2"/>
      <c r="L61" s="2">
        <f t="shared" si="9"/>
        <v>-7269</v>
      </c>
      <c r="M61" s="2"/>
      <c r="N61" s="19">
        <f t="shared" si="10"/>
        <v>-7.3893728842850032E-2</v>
      </c>
      <c r="O61" s="11"/>
      <c r="P61" s="2">
        <v>858471</v>
      </c>
      <c r="Q61" s="2"/>
      <c r="R61" s="19">
        <f t="shared" si="11"/>
        <v>0.42472108858292157</v>
      </c>
      <c r="S61" s="2"/>
      <c r="T61" s="2">
        <v>833239</v>
      </c>
      <c r="U61" s="2"/>
      <c r="V61" s="19">
        <f t="shared" si="12"/>
        <v>0.45351784077830781</v>
      </c>
      <c r="W61" s="2"/>
      <c r="X61" s="2">
        <f t="shared" si="13"/>
        <v>25232</v>
      </c>
      <c r="Y61" s="2"/>
      <c r="Z61" s="19">
        <f t="shared" si="14"/>
        <v>3.0281827902918609E-2</v>
      </c>
    </row>
    <row r="62" spans="1:26" s="24" customFormat="1" hidden="1" outlineLevel="1" x14ac:dyDescent="0.25">
      <c r="A62" s="44"/>
      <c r="B62" s="11" t="str">
        <f>CONCATENATE("          ", "5500", " - ", "FREIGHT-IN")</f>
        <v xml:space="preserve">          5500 - FREIGHT-IN</v>
      </c>
      <c r="C62" s="11"/>
      <c r="D62" s="2"/>
      <c r="E62" s="2"/>
      <c r="F62" s="19">
        <f t="shared" si="7"/>
        <v>0</v>
      </c>
      <c r="G62" s="2"/>
      <c r="H62" s="2"/>
      <c r="I62" s="2"/>
      <c r="J62" s="19">
        <f t="shared" si="8"/>
        <v>0</v>
      </c>
      <c r="K62" s="2"/>
      <c r="L62" s="2">
        <f t="shared" si="9"/>
        <v>0</v>
      </c>
      <c r="M62" s="2"/>
      <c r="N62" s="19">
        <f t="shared" si="10"/>
        <v>0</v>
      </c>
      <c r="O62" s="11"/>
      <c r="P62" s="2">
        <v>29.23</v>
      </c>
      <c r="Q62" s="2"/>
      <c r="R62" s="19">
        <f t="shared" si="11"/>
        <v>1.4461289221509868E-5</v>
      </c>
      <c r="S62" s="2"/>
      <c r="T62" s="2"/>
      <c r="U62" s="2"/>
      <c r="V62" s="19">
        <f t="shared" si="12"/>
        <v>0</v>
      </c>
      <c r="W62" s="2"/>
      <c r="X62" s="2">
        <f t="shared" si="13"/>
        <v>29.23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"5540", " - ", "FREIGHT-IN-LOGO CLOTHING")</f>
        <v xml:space="preserve">          5540 - FREIGHT-IN-LOGO CLOTHING</v>
      </c>
      <c r="C63" s="11"/>
      <c r="D63" s="2">
        <v>1400.5</v>
      </c>
      <c r="E63" s="2"/>
      <c r="F63" s="19">
        <f t="shared" si="7"/>
        <v>5.1880023897780091E-3</v>
      </c>
      <c r="G63" s="2"/>
      <c r="H63" s="2">
        <v>1692.94</v>
      </c>
      <c r="I63" s="2"/>
      <c r="J63" s="19">
        <f t="shared" si="8"/>
        <v>7.3412071618550725E-3</v>
      </c>
      <c r="K63" s="2"/>
      <c r="L63" s="2">
        <f t="shared" si="9"/>
        <v>-292.44000000000005</v>
      </c>
      <c r="M63" s="2"/>
      <c r="N63" s="19">
        <f t="shared" si="10"/>
        <v>-0.17274091225914684</v>
      </c>
      <c r="O63" s="11"/>
      <c r="P63" s="2">
        <v>25677.89</v>
      </c>
      <c r="Q63" s="2"/>
      <c r="R63" s="19">
        <f t="shared" si="11"/>
        <v>1.2703913578108655E-2</v>
      </c>
      <c r="S63" s="2"/>
      <c r="T63" s="2">
        <v>17945.27</v>
      </c>
      <c r="U63" s="2"/>
      <c r="V63" s="19">
        <f t="shared" si="12"/>
        <v>9.7673057821150277E-3</v>
      </c>
      <c r="W63" s="2"/>
      <c r="X63" s="2">
        <f t="shared" si="13"/>
        <v>7732.619999999999</v>
      </c>
      <c r="Y63" s="2"/>
      <c r="Z63" s="19">
        <f t="shared" si="14"/>
        <v>0.43090017592379487</v>
      </c>
    </row>
    <row r="64" spans="1:26" s="24" customFormat="1" hidden="1" outlineLevel="1" x14ac:dyDescent="0.25">
      <c r="A64" s="44"/>
      <c r="B64" s="11" t="str">
        <f>CONCATENATE("          ", "5541", " - ", "FREIGHT-IN-LOGO GIFTS")</f>
        <v xml:space="preserve">          5541 - FREIGHT-IN-LOGO GIFTS</v>
      </c>
      <c r="C64" s="11"/>
      <c r="D64" s="2">
        <v>24.8</v>
      </c>
      <c r="E64" s="2"/>
      <c r="F64" s="19">
        <f t="shared" si="7"/>
        <v>9.1868946280967249E-5</v>
      </c>
      <c r="G64" s="2"/>
      <c r="H64" s="2">
        <v>72.37</v>
      </c>
      <c r="I64" s="2"/>
      <c r="J64" s="19">
        <f t="shared" si="8"/>
        <v>3.1382279484414781E-4</v>
      </c>
      <c r="K64" s="2"/>
      <c r="L64" s="2">
        <f t="shared" si="9"/>
        <v>-47.570000000000007</v>
      </c>
      <c r="M64" s="2"/>
      <c r="N64" s="19">
        <f t="shared" si="10"/>
        <v>-0.65731656763852431</v>
      </c>
      <c r="O64" s="11"/>
      <c r="P64" s="2">
        <v>3587.57</v>
      </c>
      <c r="Q64" s="2"/>
      <c r="R64" s="19">
        <f t="shared" si="11"/>
        <v>1.7749191711396563E-3</v>
      </c>
      <c r="S64" s="2"/>
      <c r="T64" s="2">
        <v>4828.58</v>
      </c>
      <c r="U64" s="2"/>
      <c r="V64" s="19">
        <f t="shared" si="12"/>
        <v>2.6281141132680078E-3</v>
      </c>
      <c r="W64" s="2"/>
      <c r="X64" s="2">
        <f t="shared" si="13"/>
        <v>-1241.0099999999998</v>
      </c>
      <c r="Y64" s="2"/>
      <c r="Z64" s="19">
        <f t="shared" si="14"/>
        <v>-0.25701344908855189</v>
      </c>
    </row>
    <row r="65" spans="1:26" s="24" customFormat="1" hidden="1" outlineLevel="1" x14ac:dyDescent="0.25">
      <c r="A65" s="44"/>
      <c r="B65" s="11" t="str">
        <f>CONCATENATE("          ", "5542", " - ", "FREIGHT-IN-EVERYDAY GIFTS")</f>
        <v xml:space="preserve">          5542 - FREIGHT-IN-EVERYDAY GIFTS</v>
      </c>
      <c r="C65" s="11"/>
      <c r="D65" s="2"/>
      <c r="E65" s="2"/>
      <c r="F65" s="19">
        <f t="shared" si="7"/>
        <v>0</v>
      </c>
      <c r="G65" s="2"/>
      <c r="H65" s="2">
        <v>120.49</v>
      </c>
      <c r="I65" s="2"/>
      <c r="J65" s="19">
        <f t="shared" si="8"/>
        <v>5.2248871840225738E-4</v>
      </c>
      <c r="K65" s="2"/>
      <c r="L65" s="2">
        <f t="shared" si="9"/>
        <v>-120.49</v>
      </c>
      <c r="M65" s="2"/>
      <c r="N65" s="19">
        <f t="shared" si="10"/>
        <v>-1</v>
      </c>
      <c r="O65" s="11"/>
      <c r="P65" s="2">
        <v>1708.33</v>
      </c>
      <c r="Q65" s="2"/>
      <c r="R65" s="19">
        <f t="shared" si="11"/>
        <v>8.4518146478898223E-4</v>
      </c>
      <c r="S65" s="2"/>
      <c r="T65" s="2">
        <v>1342.04</v>
      </c>
      <c r="U65" s="2"/>
      <c r="V65" s="19">
        <f t="shared" si="12"/>
        <v>7.3044958653894045E-4</v>
      </c>
      <c r="W65" s="2"/>
      <c r="X65" s="2">
        <f t="shared" si="13"/>
        <v>366.28999999999996</v>
      </c>
      <c r="Y65" s="2"/>
      <c r="Z65" s="19">
        <f t="shared" si="14"/>
        <v>0.27293523292897376</v>
      </c>
    </row>
    <row r="66" spans="1:26" s="24" customFormat="1" hidden="1" outlineLevel="1" x14ac:dyDescent="0.25">
      <c r="A66" s="44"/>
      <c r="B66" s="11" t="str">
        <f>CONCATENATE("          ", "5543", " - ", "FREIGHT-IN-CARDS")</f>
        <v xml:space="preserve">          5543 - FREIGHT-IN-CARDS</v>
      </c>
      <c r="C66" s="11"/>
      <c r="D66" s="2"/>
      <c r="E66" s="2"/>
      <c r="F66" s="19">
        <f t="shared" si="7"/>
        <v>0</v>
      </c>
      <c r="G66" s="2"/>
      <c r="H66" s="2">
        <v>44.71</v>
      </c>
      <c r="I66" s="2"/>
      <c r="J66" s="19">
        <f t="shared" si="8"/>
        <v>1.9387891609067083E-4</v>
      </c>
      <c r="K66" s="2"/>
      <c r="L66" s="2">
        <f t="shared" si="9"/>
        <v>-44.71</v>
      </c>
      <c r="M66" s="2"/>
      <c r="N66" s="19">
        <f t="shared" si="10"/>
        <v>-1</v>
      </c>
      <c r="O66" s="11"/>
      <c r="P66" s="2">
        <v>121.35</v>
      </c>
      <c r="Q66" s="2"/>
      <c r="R66" s="19">
        <f t="shared" si="11"/>
        <v>6.0036861000007604E-5</v>
      </c>
      <c r="S66" s="2"/>
      <c r="T66" s="2">
        <v>57.18</v>
      </c>
      <c r="U66" s="2"/>
      <c r="V66" s="19">
        <f t="shared" si="12"/>
        <v>3.1122103184924903E-5</v>
      </c>
      <c r="W66" s="2"/>
      <c r="X66" s="2">
        <f t="shared" si="13"/>
        <v>64.169999999999987</v>
      </c>
      <c r="Y66" s="2"/>
      <c r="Z66" s="19">
        <f t="shared" si="14"/>
        <v>1.1222455403987406</v>
      </c>
    </row>
    <row r="67" spans="1:26" s="24" customFormat="1" hidden="1" outlineLevel="1" x14ac:dyDescent="0.25">
      <c r="A67" s="44"/>
      <c r="B67" s="11" t="str">
        <f>CONCATENATE("          ", "5544", " - ", "FREIGHT-IN-ACCESSORIES")</f>
        <v xml:space="preserve">          5544 - FREIGHT-IN-ACCESSORIES</v>
      </c>
      <c r="C67" s="11"/>
      <c r="D67" s="2"/>
      <c r="E67" s="2"/>
      <c r="F67" s="19">
        <f t="shared" si="7"/>
        <v>0</v>
      </c>
      <c r="G67" s="2"/>
      <c r="H67" s="2">
        <v>145.19999999999999</v>
      </c>
      <c r="I67" s="2"/>
      <c r="J67" s="19">
        <f t="shared" si="8"/>
        <v>6.2964031796836062E-4</v>
      </c>
      <c r="K67" s="2"/>
      <c r="L67" s="2">
        <f t="shared" si="9"/>
        <v>-145.19999999999999</v>
      </c>
      <c r="M67" s="2"/>
      <c r="N67" s="19">
        <f t="shared" si="10"/>
        <v>-1</v>
      </c>
      <c r="O67" s="11"/>
      <c r="P67" s="2">
        <v>442.31</v>
      </c>
      <c r="Q67" s="2"/>
      <c r="R67" s="19">
        <f t="shared" si="11"/>
        <v>2.1882903987567668E-4</v>
      </c>
      <c r="S67" s="2"/>
      <c r="T67" s="2">
        <v>735.65</v>
      </c>
      <c r="U67" s="2"/>
      <c r="V67" s="19">
        <f t="shared" si="12"/>
        <v>4.0040180496659679E-4</v>
      </c>
      <c r="W67" s="2"/>
      <c r="X67" s="2">
        <f t="shared" si="13"/>
        <v>-293.33999999999997</v>
      </c>
      <c r="Y67" s="2"/>
      <c r="Z67" s="19">
        <f t="shared" si="14"/>
        <v>-0.39874940528784064</v>
      </c>
    </row>
    <row r="68" spans="1:26" s="24" customFormat="1" hidden="1" outlineLevel="1" x14ac:dyDescent="0.25">
      <c r="A68" s="44"/>
      <c r="B68" s="11" t="str">
        <f>CONCATENATE("          ", "5545", " - ", "FREIGHT-IN-SPECIAL ORDERS")</f>
        <v xml:space="preserve">          5545 - FREIGHT-IN-SPECIAL ORDERS</v>
      </c>
      <c r="C68" s="11"/>
      <c r="D68" s="2">
        <v>14.23</v>
      </c>
      <c r="E68" s="2"/>
      <c r="F68" s="19">
        <f t="shared" si="7"/>
        <v>5.2713512321700154E-5</v>
      </c>
      <c r="G68" s="2"/>
      <c r="H68" s="2">
        <v>120.96</v>
      </c>
      <c r="I68" s="2"/>
      <c r="J68" s="19">
        <f t="shared" si="8"/>
        <v>5.2452681034058466E-4</v>
      </c>
      <c r="K68" s="2"/>
      <c r="L68" s="2">
        <f t="shared" si="9"/>
        <v>-106.72999999999999</v>
      </c>
      <c r="M68" s="2"/>
      <c r="N68" s="19">
        <f t="shared" si="10"/>
        <v>-0.88235780423280419</v>
      </c>
      <c r="O68" s="11"/>
      <c r="P68" s="2">
        <v>841.9</v>
      </c>
      <c r="Q68" s="2"/>
      <c r="R68" s="19">
        <f t="shared" si="11"/>
        <v>4.1652272992094276E-4</v>
      </c>
      <c r="S68" s="2"/>
      <c r="T68" s="2">
        <v>1443.49</v>
      </c>
      <c r="U68" s="2"/>
      <c r="V68" s="19">
        <f t="shared" si="12"/>
        <v>7.8566709909771331E-4</v>
      </c>
      <c r="W68" s="2"/>
      <c r="X68" s="2">
        <f t="shared" si="13"/>
        <v>-601.59</v>
      </c>
      <c r="Y68" s="2"/>
      <c r="Z68" s="19">
        <f t="shared" si="14"/>
        <v>-0.41676076730701289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6</v>
      </c>
      <c r="C70" s="28"/>
      <c r="D70" s="21">
        <f>D12-D45</f>
        <v>154739.10000000003</v>
      </c>
      <c r="E70" s="14"/>
      <c r="F70" s="22">
        <f>IF(D$12=0,0,D70/D$12)</f>
        <v>0.57321443812359762</v>
      </c>
      <c r="G70" s="14"/>
      <c r="H70" s="21">
        <f>H12-H45</f>
        <v>132236.69</v>
      </c>
      <c r="I70" s="14"/>
      <c r="J70" s="22">
        <f>IF(H$12=0,0,H70/H$12)</f>
        <v>0.57342666348955607</v>
      </c>
      <c r="K70" s="16"/>
      <c r="L70" s="21">
        <f>+D70-H70</f>
        <v>22502.410000000033</v>
      </c>
      <c r="M70" s="16"/>
      <c r="N70" s="22">
        <f>IF(H70=0,0,L70/H70)</f>
        <v>0.17016767434212118</v>
      </c>
      <c r="O70" s="29"/>
      <c r="P70" s="21">
        <f>P12-P45</f>
        <v>1100532.2999999998</v>
      </c>
      <c r="Q70" s="14"/>
      <c r="R70" s="22">
        <f>IF(P$12=0,0,P70/P$12)</f>
        <v>0.54447881929228392</v>
      </c>
      <c r="S70" s="14"/>
      <c r="T70" s="21">
        <f>T12-T45</f>
        <v>1004040.4199999997</v>
      </c>
      <c r="U70" s="14"/>
      <c r="V70" s="22">
        <f>IF(T$12=0,0,T70/T$12)</f>
        <v>0.546482153778862</v>
      </c>
      <c r="W70" s="16"/>
      <c r="X70" s="21">
        <f>+P70-T70</f>
        <v>96491.880000000121</v>
      </c>
      <c r="Y70" s="16"/>
      <c r="Z70" s="22">
        <f>IF(T70=0,0,X70/T70)</f>
        <v>9.6103581168575022E-2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9</v>
      </c>
      <c r="C72" s="10"/>
      <c r="D72" s="20">
        <f>SUM(OSRRefD22x_0)</f>
        <v>95820.800000000003</v>
      </c>
      <c r="E72" s="20"/>
      <c r="F72" s="32">
        <f t="shared" ref="F72:F81" si="15">IF(D$12=0,0,D72/D$12)</f>
        <v>0.35495790031448815</v>
      </c>
      <c r="G72" s="20"/>
      <c r="H72" s="20">
        <f>SUM(OSRRefH22x_0)</f>
        <v>95707.349999999991</v>
      </c>
      <c r="I72" s="20"/>
      <c r="J72" s="32">
        <f t="shared" ref="J72:J81" si="16">IF(H$12=0,0,H72/H$12)</f>
        <v>0.41502208185887862</v>
      </c>
      <c r="K72" s="4"/>
      <c r="L72" s="20">
        <f t="shared" ref="L72:L81" si="17">+D72-H72</f>
        <v>113.45000000001164</v>
      </c>
      <c r="M72" s="4"/>
      <c r="N72" s="32">
        <f t="shared" ref="N72:N81" si="18">IF(H72=0,0,L72/H72)</f>
        <v>1.185384403601308E-3</v>
      </c>
      <c r="O72" s="10"/>
      <c r="P72" s="20">
        <f>SUM(OSRRefP22x_0)</f>
        <v>644454.70000000007</v>
      </c>
      <c r="Q72" s="20"/>
      <c r="R72" s="32">
        <f t="shared" ref="R72:R81" si="19">IF(P$12=0,0,P72/P$12)</f>
        <v>0.31883837861311581</v>
      </c>
      <c r="S72" s="20"/>
      <c r="T72" s="20">
        <f>SUM(OSRRefT22x_0)</f>
        <v>571004.36</v>
      </c>
      <c r="U72" s="20"/>
      <c r="V72" s="32">
        <f t="shared" ref="V72:V81" si="20">IF(T$12=0,0,T72/T$12)</f>
        <v>0.31078797850580631</v>
      </c>
      <c r="W72" s="4"/>
      <c r="X72" s="20">
        <f t="shared" ref="X72:X81" si="21">+P72-T72</f>
        <v>73450.340000000084</v>
      </c>
      <c r="Y72" s="4"/>
      <c r="Z72" s="32">
        <f t="shared" ref="Z72:Z81" si="22">IF(T72=0,0,X72/T72)</f>
        <v>0.12863358871725619</v>
      </c>
    </row>
    <row r="73" spans="1:26" s="26" customFormat="1" outlineLevel="1" collapsed="1" x14ac:dyDescent="0.25">
      <c r="A73" s="27"/>
      <c r="B73" s="13" t="str">
        <f>CONCATENATE("     ","*Benefits                                         ")</f>
        <v xml:space="preserve">     *Benefits                                         </v>
      </c>
      <c r="C73" s="13"/>
      <c r="D73" s="1">
        <f>SUM(OSRRefD22_0x_0)</f>
        <v>6824.58</v>
      </c>
      <c r="E73" s="1"/>
      <c r="F73" s="5">
        <f t="shared" si="15"/>
        <v>2.5280926347184009E-2</v>
      </c>
      <c r="G73" s="1"/>
      <c r="H73" s="1">
        <f>SUM(OSRRefH22_0x_0)</f>
        <v>6974.2600000000011</v>
      </c>
      <c r="I73" s="1"/>
      <c r="J73" s="5">
        <f t="shared" si="16"/>
        <v>3.0242942727231541E-2</v>
      </c>
      <c r="K73" s="1"/>
      <c r="L73" s="1">
        <f t="shared" si="17"/>
        <v>-149.6800000000012</v>
      </c>
      <c r="M73" s="1"/>
      <c r="N73" s="5">
        <f t="shared" si="18"/>
        <v>-2.1461775156074076E-2</v>
      </c>
      <c r="O73" s="13"/>
      <c r="P73" s="1">
        <f>SUM(OSRRefP22_0x_0)</f>
        <v>59778.46</v>
      </c>
      <c r="Q73" s="1"/>
      <c r="R73" s="5">
        <f t="shared" si="19"/>
        <v>2.9574875103539469E-2</v>
      </c>
      <c r="S73" s="1"/>
      <c r="T73" s="1">
        <f>SUM(OSRRefT22_0x_0)</f>
        <v>55033.45</v>
      </c>
      <c r="U73" s="1"/>
      <c r="V73" s="5">
        <f t="shared" si="20"/>
        <v>2.9953772464540143E-2</v>
      </c>
      <c r="W73" s="1"/>
      <c r="X73" s="1">
        <f t="shared" si="21"/>
        <v>4745.010000000002</v>
      </c>
      <c r="Y73" s="1"/>
      <c r="Z73" s="5">
        <f t="shared" si="22"/>
        <v>8.6220471367868132E-2</v>
      </c>
    </row>
    <row r="74" spans="1:26" s="24" customFormat="1" hidden="1" outlineLevel="2" x14ac:dyDescent="0.25">
      <c r="A74" s="25"/>
      <c r="B74" s="11" t="str">
        <f>CONCATENATE("          ", "6111", " - ", "F.I.C.A.")</f>
        <v xml:space="preserve">          6111 - F.I.C.A.</v>
      </c>
      <c r="C74" s="11"/>
      <c r="D74" s="6">
        <v>1097.32</v>
      </c>
      <c r="E74" s="2"/>
      <c r="F74" s="7">
        <f t="shared" si="15"/>
        <v>4.064904521493184E-3</v>
      </c>
      <c r="G74" s="2"/>
      <c r="H74" s="6">
        <v>1149.33</v>
      </c>
      <c r="I74" s="2"/>
      <c r="J74" s="7">
        <f t="shared" si="16"/>
        <v>4.9839153350590623E-3</v>
      </c>
      <c r="K74" s="2"/>
      <c r="L74" s="6">
        <f t="shared" si="17"/>
        <v>-52.009999999999991</v>
      </c>
      <c r="M74" s="2"/>
      <c r="N74" s="7">
        <f t="shared" si="18"/>
        <v>-4.5252451428223393E-2</v>
      </c>
      <c r="O74" s="11"/>
      <c r="P74" s="6">
        <v>12498.51</v>
      </c>
      <c r="Q74" s="2"/>
      <c r="R74" s="7">
        <f t="shared" si="19"/>
        <v>6.1835295226798934E-3</v>
      </c>
      <c r="S74" s="2"/>
      <c r="T74" s="6">
        <v>12163.75</v>
      </c>
      <c r="U74" s="2"/>
      <c r="V74" s="7">
        <f t="shared" si="20"/>
        <v>6.6205226060795782E-3</v>
      </c>
      <c r="W74" s="2"/>
      <c r="X74" s="6">
        <f t="shared" si="21"/>
        <v>334.76000000000022</v>
      </c>
      <c r="Y74" s="2"/>
      <c r="Z74" s="7">
        <f t="shared" si="22"/>
        <v>2.7521118076251173E-2</v>
      </c>
    </row>
    <row r="75" spans="1:26" s="24" customFormat="1" hidden="1" outlineLevel="2" x14ac:dyDescent="0.25">
      <c r="A75" s="25"/>
      <c r="B75" s="11" t="str">
        <f>CONCATENATE("          ", "6112", " - ", "COMPENSATION INSURANCE")</f>
        <v xml:space="preserve">          6112 - COMPENSATION INSURANCE</v>
      </c>
      <c r="C75" s="11"/>
      <c r="D75" s="6">
        <v>557.4</v>
      </c>
      <c r="E75" s="2"/>
      <c r="F75" s="7">
        <f t="shared" si="15"/>
        <v>2.0648286555246427E-3</v>
      </c>
      <c r="G75" s="2"/>
      <c r="H75" s="6">
        <v>356.8</v>
      </c>
      <c r="I75" s="2"/>
      <c r="J75" s="7">
        <f t="shared" si="16"/>
        <v>1.5472153267982857E-3</v>
      </c>
      <c r="K75" s="2"/>
      <c r="L75" s="6">
        <f t="shared" si="17"/>
        <v>200.59999999999997</v>
      </c>
      <c r="M75" s="2"/>
      <c r="N75" s="7">
        <f t="shared" si="18"/>
        <v>0.56221973094170397</v>
      </c>
      <c r="O75" s="11"/>
      <c r="P75" s="6">
        <v>4207.3599999999997</v>
      </c>
      <c r="Q75" s="2"/>
      <c r="R75" s="7">
        <f t="shared" si="19"/>
        <v>2.0815549031478532E-3</v>
      </c>
      <c r="S75" s="2"/>
      <c r="T75" s="6">
        <v>2868.54</v>
      </c>
      <c r="U75" s="2"/>
      <c r="V75" s="7">
        <f t="shared" si="20"/>
        <v>1.5612976192739504E-3</v>
      </c>
      <c r="W75" s="2"/>
      <c r="X75" s="6">
        <f t="shared" si="21"/>
        <v>1338.8199999999997</v>
      </c>
      <c r="Y75" s="2"/>
      <c r="Z75" s="7">
        <f t="shared" si="22"/>
        <v>0.46672523304538188</v>
      </c>
    </row>
    <row r="76" spans="1:26" s="24" customFormat="1" hidden="1" outlineLevel="2" x14ac:dyDescent="0.25">
      <c r="A76" s="25"/>
      <c r="B76" s="11" t="str">
        <f>CONCATENATE("          ", "6113", " - ", "GROUP INSURANCE")</f>
        <v xml:space="preserve">          6113 - GROUP INSURANCE</v>
      </c>
      <c r="C76" s="11"/>
      <c r="D76" s="6">
        <v>2416.37</v>
      </c>
      <c r="E76" s="2"/>
      <c r="F76" s="7">
        <f t="shared" si="15"/>
        <v>8.9511841018121291E-3</v>
      </c>
      <c r="G76" s="2"/>
      <c r="H76" s="6">
        <v>2686.04</v>
      </c>
      <c r="I76" s="2"/>
      <c r="J76" s="7">
        <f t="shared" si="16"/>
        <v>1.1647652063882475E-2</v>
      </c>
      <c r="K76" s="2"/>
      <c r="L76" s="6">
        <f t="shared" si="17"/>
        <v>-269.67000000000007</v>
      </c>
      <c r="M76" s="2"/>
      <c r="N76" s="7">
        <f t="shared" si="18"/>
        <v>-0.10039686676296708</v>
      </c>
      <c r="O76" s="11"/>
      <c r="P76" s="6">
        <v>21540.329999999998</v>
      </c>
      <c r="Q76" s="2"/>
      <c r="R76" s="7">
        <f t="shared" si="19"/>
        <v>1.0656891620142512E-2</v>
      </c>
      <c r="S76" s="2"/>
      <c r="T76" s="6">
        <v>17958.550000000003</v>
      </c>
      <c r="U76" s="2"/>
      <c r="V76" s="7">
        <f t="shared" si="20"/>
        <v>9.774533860644162E-3</v>
      </c>
      <c r="W76" s="2"/>
      <c r="X76" s="6">
        <f t="shared" si="21"/>
        <v>3581.7799999999952</v>
      </c>
      <c r="Y76" s="2"/>
      <c r="Z76" s="7">
        <f t="shared" si="22"/>
        <v>0.19944706003547027</v>
      </c>
    </row>
    <row r="77" spans="1:26" s="24" customFormat="1" hidden="1" outlineLevel="2" x14ac:dyDescent="0.25">
      <c r="A77" s="25"/>
      <c r="B77" s="11" t="str">
        <f>CONCATENATE("          ", "6114", " - ", "STATE UNEMPLOYMENT INSURANCE")</f>
        <v xml:space="preserve">          6114 - STATE UNEMPLOYMENT INSURANCE</v>
      </c>
      <c r="C77" s="11"/>
      <c r="D77" s="6">
        <v>76.27</v>
      </c>
      <c r="E77" s="2"/>
      <c r="F77" s="7">
        <f t="shared" si="15"/>
        <v>2.8253405374392628E-4</v>
      </c>
      <c r="G77" s="2"/>
      <c r="H77" s="6">
        <v>77.959999999999994</v>
      </c>
      <c r="I77" s="2"/>
      <c r="J77" s="7">
        <f t="shared" si="16"/>
        <v>3.3806307981276441E-4</v>
      </c>
      <c r="K77" s="2"/>
      <c r="L77" s="6">
        <f t="shared" si="17"/>
        <v>-1.6899999999999977</v>
      </c>
      <c r="M77" s="2"/>
      <c r="N77" s="7">
        <f t="shared" si="18"/>
        <v>-2.1677783478707E-2</v>
      </c>
      <c r="O77" s="11"/>
      <c r="P77" s="6">
        <v>661.04</v>
      </c>
      <c r="Q77" s="2"/>
      <c r="R77" s="7">
        <f t="shared" si="19"/>
        <v>3.2704381207618479E-4</v>
      </c>
      <c r="S77" s="2"/>
      <c r="T77" s="6">
        <v>626.74</v>
      </c>
      <c r="U77" s="2"/>
      <c r="V77" s="7">
        <f t="shared" si="20"/>
        <v>3.4112394106540456E-4</v>
      </c>
      <c r="W77" s="2"/>
      <c r="X77" s="6">
        <f t="shared" si="21"/>
        <v>34.299999999999955</v>
      </c>
      <c r="Y77" s="2"/>
      <c r="Z77" s="7">
        <f t="shared" si="22"/>
        <v>5.4727638255097737E-2</v>
      </c>
    </row>
    <row r="78" spans="1:26" s="24" customFormat="1" hidden="1" outlineLevel="2" x14ac:dyDescent="0.25">
      <c r="A78" s="25"/>
      <c r="B78" s="11" t="str">
        <f>CONCATENATE("          ", "6115", " - ", "P.E.R.S.")</f>
        <v xml:space="preserve">          6115 - P.E.R.S.</v>
      </c>
      <c r="C78" s="11"/>
      <c r="D78" s="6">
        <v>1166.51</v>
      </c>
      <c r="E78" s="2"/>
      <c r="F78" s="7">
        <f t="shared" si="15"/>
        <v>4.3212114728310921E-3</v>
      </c>
      <c r="G78" s="2"/>
      <c r="H78" s="6">
        <v>1233.48</v>
      </c>
      <c r="I78" s="2"/>
      <c r="J78" s="7">
        <f t="shared" si="16"/>
        <v>5.3488205193361815E-3</v>
      </c>
      <c r="K78" s="2"/>
      <c r="L78" s="6">
        <f t="shared" si="17"/>
        <v>-66.970000000000027</v>
      </c>
      <c r="M78" s="2"/>
      <c r="N78" s="7">
        <f t="shared" si="18"/>
        <v>-5.4293543470506231E-2</v>
      </c>
      <c r="O78" s="11"/>
      <c r="P78" s="6">
        <v>7541.4</v>
      </c>
      <c r="Q78" s="2"/>
      <c r="R78" s="7">
        <f t="shared" si="19"/>
        <v>3.7310423036296444E-3</v>
      </c>
      <c r="S78" s="2"/>
      <c r="T78" s="6">
        <v>7288.99</v>
      </c>
      <c r="U78" s="2"/>
      <c r="V78" s="7">
        <f t="shared" si="20"/>
        <v>3.9672735028661379E-3</v>
      </c>
      <c r="W78" s="2"/>
      <c r="X78" s="6">
        <f t="shared" si="21"/>
        <v>252.40999999999985</v>
      </c>
      <c r="Y78" s="2"/>
      <c r="Z78" s="7">
        <f t="shared" si="22"/>
        <v>3.4628940360735834E-2</v>
      </c>
    </row>
    <row r="79" spans="1:26" s="24" customFormat="1" hidden="1" outlineLevel="2" x14ac:dyDescent="0.25">
      <c r="A79" s="25"/>
      <c r="B79" s="11" t="str">
        <f>CONCATENATE("          ", "6118", " - ", "VACATION")</f>
        <v xml:space="preserve">          6118 - VACATION</v>
      </c>
      <c r="C79" s="11"/>
      <c r="D79" s="6">
        <v>711.04</v>
      </c>
      <c r="E79" s="2"/>
      <c r="F79" s="7">
        <f t="shared" si="15"/>
        <v>2.6339715953072156E-3</v>
      </c>
      <c r="G79" s="2"/>
      <c r="H79" s="6">
        <v>731.66</v>
      </c>
      <c r="I79" s="2"/>
      <c r="J79" s="7">
        <f t="shared" si="16"/>
        <v>3.1727454204182556E-3</v>
      </c>
      <c r="K79" s="2"/>
      <c r="L79" s="6">
        <f t="shared" si="17"/>
        <v>-20.620000000000005</v>
      </c>
      <c r="M79" s="2"/>
      <c r="N79" s="7">
        <f t="shared" si="18"/>
        <v>-2.8182489134297359E-2</v>
      </c>
      <c r="O79" s="11"/>
      <c r="P79" s="6">
        <v>6532.93</v>
      </c>
      <c r="Q79" s="2"/>
      <c r="R79" s="7">
        <f t="shared" si="19"/>
        <v>3.2321105095408299E-3</v>
      </c>
      <c r="S79" s="2"/>
      <c r="T79" s="6">
        <v>6715.71</v>
      </c>
      <c r="U79" s="2"/>
      <c r="V79" s="7">
        <f t="shared" si="20"/>
        <v>3.6552469321446662E-3</v>
      </c>
      <c r="W79" s="2"/>
      <c r="X79" s="6">
        <f t="shared" si="21"/>
        <v>-182.77999999999975</v>
      </c>
      <c r="Y79" s="2"/>
      <c r="Z79" s="7">
        <f t="shared" si="22"/>
        <v>-2.7216779759697746E-2</v>
      </c>
    </row>
    <row r="80" spans="1:26" s="24" customFormat="1" hidden="1" outlineLevel="2" x14ac:dyDescent="0.25">
      <c r="A80" s="25"/>
      <c r="B80" s="11" t="str">
        <f>CONCATENATE("          ", "6119", " - ", "SICK LEAVE")</f>
        <v xml:space="preserve">          6119 - SICK LEAVE</v>
      </c>
      <c r="C80" s="11"/>
      <c r="D80" s="6">
        <v>472.07</v>
      </c>
      <c r="E80" s="2"/>
      <c r="F80" s="7">
        <f t="shared" si="15"/>
        <v>1.7487328012442019E-3</v>
      </c>
      <c r="G80" s="2"/>
      <c r="H80" s="6">
        <v>452.14</v>
      </c>
      <c r="I80" s="2"/>
      <c r="J80" s="7">
        <f t="shared" si="16"/>
        <v>1.9606444446708992E-3</v>
      </c>
      <c r="K80" s="2"/>
      <c r="L80" s="6">
        <f t="shared" si="17"/>
        <v>19.930000000000007</v>
      </c>
      <c r="M80" s="2"/>
      <c r="N80" s="7">
        <f t="shared" si="18"/>
        <v>4.4079267483522817E-2</v>
      </c>
      <c r="O80" s="11"/>
      <c r="P80" s="6">
        <v>5054.63</v>
      </c>
      <c r="Q80" s="2"/>
      <c r="R80" s="7">
        <f t="shared" si="19"/>
        <v>2.5007343940376468E-3</v>
      </c>
      <c r="S80" s="2"/>
      <c r="T80" s="6">
        <v>5162.57</v>
      </c>
      <c r="U80" s="2"/>
      <c r="V80" s="7">
        <f t="shared" si="20"/>
        <v>2.8098991997096492E-3</v>
      </c>
      <c r="W80" s="2"/>
      <c r="X80" s="6">
        <f t="shared" si="21"/>
        <v>-107.9399999999996</v>
      </c>
      <c r="Y80" s="2"/>
      <c r="Z80" s="7">
        <f t="shared" si="22"/>
        <v>-2.0908191075375174E-2</v>
      </c>
    </row>
    <row r="81" spans="1:26" s="24" customFormat="1" hidden="1" outlineLevel="2" x14ac:dyDescent="0.25">
      <c r="A81" s="25"/>
      <c r="B81" s="11" t="str">
        <f>CONCATENATE("          ", "6156", " - ", "EMPLOYEE MEALS")</f>
        <v xml:space="preserve">          6156 - EMPLOYEE MEALS</v>
      </c>
      <c r="C81" s="11"/>
      <c r="D81" s="6">
        <v>327.60000000000002</v>
      </c>
      <c r="E81" s="2"/>
      <c r="F81" s="7">
        <f t="shared" si="15"/>
        <v>1.2135591452276156E-3</v>
      </c>
      <c r="G81" s="2"/>
      <c r="H81" s="6">
        <v>286.85000000000002</v>
      </c>
      <c r="I81" s="2"/>
      <c r="J81" s="7">
        <f t="shared" si="16"/>
        <v>1.2438865372536106E-3</v>
      </c>
      <c r="K81" s="2"/>
      <c r="L81" s="6">
        <f t="shared" si="17"/>
        <v>40.75</v>
      </c>
      <c r="M81" s="2"/>
      <c r="N81" s="7">
        <f t="shared" si="18"/>
        <v>0.14206031026668989</v>
      </c>
      <c r="O81" s="11"/>
      <c r="P81" s="6">
        <v>1742.26</v>
      </c>
      <c r="Q81" s="2"/>
      <c r="R81" s="7">
        <f t="shared" si="19"/>
        <v>8.6196803828490526E-4</v>
      </c>
      <c r="S81" s="2"/>
      <c r="T81" s="6">
        <v>2248.6</v>
      </c>
      <c r="U81" s="2"/>
      <c r="V81" s="7">
        <f t="shared" si="20"/>
        <v>1.2238748027565956E-3</v>
      </c>
      <c r="W81" s="2"/>
      <c r="X81" s="6">
        <f t="shared" si="21"/>
        <v>-506.33999999999992</v>
      </c>
      <c r="Y81" s="2"/>
      <c r="Z81" s="7">
        <f t="shared" si="22"/>
        <v>-0.22518011206973226</v>
      </c>
    </row>
    <row r="82" spans="1:26" s="26" customFormat="1" outlineLevel="1" collapsed="1" x14ac:dyDescent="0.25">
      <c r="A82" s="27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37309.450000000004</v>
      </c>
      <c r="E82" s="1"/>
      <c r="F82" s="5">
        <f t="shared" ref="F82:F88" si="23">IF(D$12=0,0,D82/D$12)</f>
        <v>0.13820886523477555</v>
      </c>
      <c r="G82" s="1"/>
      <c r="H82" s="1">
        <f>SUM(OSRRefH22_1x_0)</f>
        <v>36052.449999999997</v>
      </c>
      <c r="I82" s="1"/>
      <c r="J82" s="5">
        <f t="shared" ref="J82:J88" si="24">IF(H$12=0,0,H82/H$12)</f>
        <v>0.1563366121318073</v>
      </c>
      <c r="K82" s="1"/>
      <c r="L82" s="1">
        <f t="shared" ref="L82:L88" si="25">+D82-H82</f>
        <v>1257.0000000000073</v>
      </c>
      <c r="M82" s="1"/>
      <c r="N82" s="5">
        <f t="shared" ref="N82:N88" si="26">IF(H82=0,0,L82/H82)</f>
        <v>3.486586903247927E-2</v>
      </c>
      <c r="O82" s="13"/>
      <c r="P82" s="1">
        <f>SUM(OSRRefP22_1x_0)</f>
        <v>250285.05999999997</v>
      </c>
      <c r="Q82" s="1"/>
      <c r="R82" s="5">
        <f t="shared" ref="R82:R88" si="27">IF(P$12=0,0,P82/P$12)</f>
        <v>0.12382636471033014</v>
      </c>
      <c r="S82" s="1"/>
      <c r="T82" s="1">
        <f>SUM(OSRRefT22_1x_0)</f>
        <v>214916.56</v>
      </c>
      <c r="U82" s="1"/>
      <c r="V82" s="5">
        <f t="shared" ref="V82:V88" si="28">IF(T$12=0,0,T82/T$12)</f>
        <v>0.11697543470565064</v>
      </c>
      <c r="W82" s="1"/>
      <c r="X82" s="1">
        <f t="shared" ref="X82:X88" si="29">+P82-T82</f>
        <v>35368.499999999971</v>
      </c>
      <c r="Y82" s="1"/>
      <c r="Z82" s="5">
        <f t="shared" ref="Z82:Z88" si="30">IF(T82=0,0,X82/T82)</f>
        <v>0.16456851905688408</v>
      </c>
    </row>
    <row r="83" spans="1:26" s="24" customFormat="1" hidden="1" outlineLevel="2" x14ac:dyDescent="0.25">
      <c r="A83" s="25"/>
      <c r="B83" s="11" t="str">
        <f>CONCATENATE("          ", "6002", " - ", "STAFF SALARIES")</f>
        <v xml:space="preserve">          6002 - STAFF SALARIES</v>
      </c>
      <c r="C83" s="11"/>
      <c r="D83" s="6">
        <v>9004.3700000000008</v>
      </c>
      <c r="E83" s="2"/>
      <c r="F83" s="7">
        <f t="shared" si="23"/>
        <v>3.3355725154191655E-2</v>
      </c>
      <c r="G83" s="2"/>
      <c r="H83" s="6">
        <v>10782.73</v>
      </c>
      <c r="I83" s="2"/>
      <c r="J83" s="7">
        <f t="shared" si="24"/>
        <v>4.6757861885447526E-2</v>
      </c>
      <c r="K83" s="2"/>
      <c r="L83" s="6">
        <f t="shared" si="25"/>
        <v>-1778.3599999999988</v>
      </c>
      <c r="M83" s="2"/>
      <c r="N83" s="7">
        <f t="shared" si="26"/>
        <v>-0.16492669296180085</v>
      </c>
      <c r="O83" s="11"/>
      <c r="P83" s="6">
        <v>70808.509999999995</v>
      </c>
      <c r="Q83" s="2"/>
      <c r="R83" s="7">
        <f t="shared" si="27"/>
        <v>3.5031896765452396E-2</v>
      </c>
      <c r="S83" s="2"/>
      <c r="T83" s="6">
        <v>66763.89</v>
      </c>
      <c r="U83" s="2"/>
      <c r="V83" s="7">
        <f t="shared" si="28"/>
        <v>3.6338451794455683E-2</v>
      </c>
      <c r="W83" s="2"/>
      <c r="X83" s="6">
        <f t="shared" si="29"/>
        <v>4044.6199999999953</v>
      </c>
      <c r="Y83" s="2"/>
      <c r="Z83" s="7">
        <f t="shared" si="30"/>
        <v>6.0580951768987625E-2</v>
      </c>
    </row>
    <row r="84" spans="1:26" s="24" customFormat="1" hidden="1" outlineLevel="2" x14ac:dyDescent="0.25">
      <c r="A84" s="25"/>
      <c r="B84" s="11" t="str">
        <f>CONCATENATE("          ", "6004", " - ", "STAFF HOURLY")</f>
        <v xml:space="preserve">          6004 - STAFF HOURLY</v>
      </c>
      <c r="C84" s="11"/>
      <c r="D84" s="6">
        <v>1557</v>
      </c>
      <c r="E84" s="2"/>
      <c r="F84" s="7">
        <f t="shared" si="23"/>
        <v>5.767739893526855E-3</v>
      </c>
      <c r="G84" s="2"/>
      <c r="H84" s="6"/>
      <c r="I84" s="2"/>
      <c r="J84" s="7">
        <f t="shared" si="24"/>
        <v>0</v>
      </c>
      <c r="K84" s="2"/>
      <c r="L84" s="6">
        <f t="shared" si="25"/>
        <v>1557</v>
      </c>
      <c r="M84" s="2"/>
      <c r="N84" s="7">
        <f t="shared" si="26"/>
        <v>0</v>
      </c>
      <c r="O84" s="11"/>
      <c r="P84" s="6">
        <v>644.39</v>
      </c>
      <c r="Q84" s="2"/>
      <c r="R84" s="7">
        <f t="shared" si="27"/>
        <v>3.1880636884874249E-4</v>
      </c>
      <c r="S84" s="2"/>
      <c r="T84" s="6"/>
      <c r="U84" s="2"/>
      <c r="V84" s="7">
        <f t="shared" si="28"/>
        <v>0</v>
      </c>
      <c r="W84" s="2"/>
      <c r="X84" s="6">
        <f t="shared" si="29"/>
        <v>644.39</v>
      </c>
      <c r="Y84" s="2"/>
      <c r="Z84" s="7">
        <f t="shared" si="30"/>
        <v>0</v>
      </c>
    </row>
    <row r="85" spans="1:26" s="24" customFormat="1" hidden="1" outlineLevel="2" x14ac:dyDescent="0.25">
      <c r="A85" s="25"/>
      <c r="B85" s="11" t="str">
        <f>CONCATENATE("          ", "6005", " - ", "TEMPORARY WAGES-HOURLY")</f>
        <v xml:space="preserve">          6005 - TEMPORARY WAGES-HOURLY</v>
      </c>
      <c r="C85" s="11"/>
      <c r="D85" s="6">
        <v>4418.8900000000003</v>
      </c>
      <c r="E85" s="2"/>
      <c r="F85" s="7">
        <f t="shared" si="23"/>
        <v>1.6369305162560618E-2</v>
      </c>
      <c r="G85" s="2"/>
      <c r="H85" s="6">
        <v>5119.43</v>
      </c>
      <c r="I85" s="2"/>
      <c r="J85" s="7">
        <f t="shared" si="24"/>
        <v>2.2199721301768352E-2</v>
      </c>
      <c r="K85" s="2"/>
      <c r="L85" s="6">
        <f t="shared" si="25"/>
        <v>-700.54</v>
      </c>
      <c r="M85" s="2"/>
      <c r="N85" s="7">
        <f t="shared" si="26"/>
        <v>-0.13683945282970955</v>
      </c>
      <c r="O85" s="11"/>
      <c r="P85" s="6">
        <v>30609.09</v>
      </c>
      <c r="Q85" s="2"/>
      <c r="R85" s="7">
        <f t="shared" si="27"/>
        <v>1.5143582049169532E-2</v>
      </c>
      <c r="S85" s="2"/>
      <c r="T85" s="6">
        <v>42195.630000000005</v>
      </c>
      <c r="U85" s="2"/>
      <c r="V85" s="7">
        <f t="shared" si="28"/>
        <v>2.2966365001974694E-2</v>
      </c>
      <c r="W85" s="2"/>
      <c r="X85" s="6">
        <f t="shared" si="29"/>
        <v>-11586.540000000005</v>
      </c>
      <c r="Y85" s="2"/>
      <c r="Z85" s="7">
        <f t="shared" si="30"/>
        <v>-0.27459099437548401</v>
      </c>
    </row>
    <row r="86" spans="1:26" s="24" customFormat="1" hidden="1" outlineLevel="2" x14ac:dyDescent="0.25">
      <c r="A86" s="25"/>
      <c r="B86" s="11" t="str">
        <f>CONCATENATE("          ", "6006", " - ", "TEMPORARY PART TIME")</f>
        <v xml:space="preserve">          6006 - TEMPORARY PART TIME</v>
      </c>
      <c r="C86" s="11"/>
      <c r="D86" s="6"/>
      <c r="E86" s="2"/>
      <c r="F86" s="7">
        <f t="shared" si="23"/>
        <v>0</v>
      </c>
      <c r="G86" s="2"/>
      <c r="H86" s="6">
        <v>102</v>
      </c>
      <c r="I86" s="2"/>
      <c r="J86" s="7">
        <f t="shared" si="24"/>
        <v>4.4230931427529464E-4</v>
      </c>
      <c r="K86" s="2"/>
      <c r="L86" s="6">
        <f t="shared" si="25"/>
        <v>-102</v>
      </c>
      <c r="M86" s="2"/>
      <c r="N86" s="7">
        <f t="shared" si="26"/>
        <v>-1</v>
      </c>
      <c r="O86" s="11"/>
      <c r="P86" s="6">
        <v>66.5</v>
      </c>
      <c r="Q86" s="2"/>
      <c r="R86" s="7">
        <f t="shared" si="27"/>
        <v>3.2900298776271166E-5</v>
      </c>
      <c r="S86" s="2"/>
      <c r="T86" s="6">
        <v>8554.0400000000009</v>
      </c>
      <c r="U86" s="2"/>
      <c r="V86" s="7">
        <f t="shared" si="28"/>
        <v>4.6558187395588499E-3</v>
      </c>
      <c r="W86" s="2"/>
      <c r="X86" s="6">
        <f t="shared" si="29"/>
        <v>-8487.5400000000009</v>
      </c>
      <c r="Y86" s="2"/>
      <c r="Z86" s="7">
        <f t="shared" si="30"/>
        <v>-0.99222589560020757</v>
      </c>
    </row>
    <row r="87" spans="1:26" s="24" customFormat="1" hidden="1" outlineLevel="2" x14ac:dyDescent="0.25">
      <c r="A87" s="25"/>
      <c r="B87" s="11" t="str">
        <f>CONCATENATE("          ", "6007", " - ", "STUDENT HOURLY")</f>
        <v xml:space="preserve">          6007 - STUDENT HOURLY</v>
      </c>
      <c r="C87" s="11"/>
      <c r="D87" s="6">
        <v>22329.190000000002</v>
      </c>
      <c r="E87" s="2"/>
      <c r="F87" s="7">
        <f t="shared" si="23"/>
        <v>8.2716095024496422E-2</v>
      </c>
      <c r="G87" s="2"/>
      <c r="H87" s="6">
        <v>20048.289999999997</v>
      </c>
      <c r="I87" s="2"/>
      <c r="J87" s="7">
        <f t="shared" si="24"/>
        <v>8.6936719630316142E-2</v>
      </c>
      <c r="K87" s="2"/>
      <c r="L87" s="6">
        <f t="shared" si="25"/>
        <v>2280.9000000000051</v>
      </c>
      <c r="M87" s="2"/>
      <c r="N87" s="7">
        <f t="shared" si="26"/>
        <v>0.11377030160677072</v>
      </c>
      <c r="O87" s="11"/>
      <c r="P87" s="6">
        <v>147961.56999999998</v>
      </c>
      <c r="Q87" s="2"/>
      <c r="R87" s="7">
        <f t="shared" si="27"/>
        <v>7.3202704667761798E-2</v>
      </c>
      <c r="S87" s="2"/>
      <c r="T87" s="6">
        <v>97262.75</v>
      </c>
      <c r="U87" s="2"/>
      <c r="V87" s="7">
        <f t="shared" si="28"/>
        <v>5.29384634758579E-2</v>
      </c>
      <c r="W87" s="2"/>
      <c r="X87" s="6">
        <f t="shared" si="29"/>
        <v>50698.819999999978</v>
      </c>
      <c r="Y87" s="2"/>
      <c r="Z87" s="7">
        <f t="shared" si="30"/>
        <v>0.52125628773605492</v>
      </c>
    </row>
    <row r="88" spans="1:26" s="24" customFormat="1" hidden="1" outlineLevel="2" x14ac:dyDescent="0.25">
      <c r="A88" s="25"/>
      <c r="B88" s="11" t="str">
        <f>CONCATENATE("          ", "6008", " - ", "STUDENT HOURLY-FICA EXEMPT")</f>
        <v xml:space="preserve">          6008 - STUDENT HOURLY-FICA EXEMPT</v>
      </c>
      <c r="C88" s="11"/>
      <c r="D88" s="6"/>
      <c r="E88" s="2"/>
      <c r="F88" s="7">
        <f t="shared" si="23"/>
        <v>0</v>
      </c>
      <c r="G88" s="2"/>
      <c r="H88" s="6"/>
      <c r="I88" s="2"/>
      <c r="J88" s="7">
        <f t="shared" si="24"/>
        <v>0</v>
      </c>
      <c r="K88" s="2"/>
      <c r="L88" s="6">
        <f t="shared" si="25"/>
        <v>0</v>
      </c>
      <c r="M88" s="2"/>
      <c r="N88" s="7">
        <f t="shared" si="26"/>
        <v>0</v>
      </c>
      <c r="O88" s="11"/>
      <c r="P88" s="6">
        <v>195</v>
      </c>
      <c r="Q88" s="2"/>
      <c r="R88" s="7">
        <f t="shared" si="27"/>
        <v>9.6474560321396647E-5</v>
      </c>
      <c r="S88" s="2"/>
      <c r="T88" s="6">
        <v>140.25</v>
      </c>
      <c r="U88" s="2"/>
      <c r="V88" s="7">
        <f t="shared" si="28"/>
        <v>7.6335693803527766E-5</v>
      </c>
      <c r="W88" s="2"/>
      <c r="X88" s="6">
        <f t="shared" si="29"/>
        <v>54.75</v>
      </c>
      <c r="Y88" s="2"/>
      <c r="Z88" s="7">
        <f t="shared" si="30"/>
        <v>0.39037433155080214</v>
      </c>
    </row>
    <row r="89" spans="1:26" s="26" customFormat="1" outlineLevel="1" collapsed="1" x14ac:dyDescent="0.25">
      <c r="A89" s="27"/>
      <c r="B89" s="13" t="str">
        <f>CONCATENATE("     ","Advertising/Promo                                 ")</f>
        <v xml:space="preserve">     Advertising/Promo                                 </v>
      </c>
      <c r="C89" s="13"/>
      <c r="D89" s="1">
        <f>SUM(OSRRefD22_2x_0)</f>
        <v>6142.97</v>
      </c>
      <c r="E89" s="1"/>
      <c r="F89" s="5">
        <f t="shared" ref="F89:F97" si="31">IF(D$12=0,0,D89/D$12)</f>
        <v>2.2755975037725539E-2</v>
      </c>
      <c r="G89" s="1"/>
      <c r="H89" s="1">
        <f>SUM(OSRRefH22_2x_0)</f>
        <v>3058.73</v>
      </c>
      <c r="I89" s="1"/>
      <c r="J89" s="5">
        <f t="shared" ref="J89:J97" si="32">IF(H$12=0,0,H89/H$12)</f>
        <v>1.326377224365953E-2</v>
      </c>
      <c r="K89" s="1"/>
      <c r="L89" s="1">
        <f t="shared" ref="L89:L97" si="33">+D89-H89</f>
        <v>3084.2400000000002</v>
      </c>
      <c r="M89" s="1"/>
      <c r="N89" s="5">
        <f t="shared" ref="N89:N97" si="34">IF(H89=0,0,L89/H89)</f>
        <v>1.0083400627057635</v>
      </c>
      <c r="O89" s="13"/>
      <c r="P89" s="1">
        <f>SUM(OSRRefP22_2x_0)</f>
        <v>19982.990000000002</v>
      </c>
      <c r="Q89" s="1"/>
      <c r="R89" s="5">
        <f t="shared" ref="R89:R97" si="35">IF(P$12=0,0,P89/P$12)</f>
        <v>9.8864111495223905E-3</v>
      </c>
      <c r="S89" s="1"/>
      <c r="T89" s="1">
        <f>SUM(OSRRefT22_2x_0)</f>
        <v>8561.17</v>
      </c>
      <c r="U89" s="1"/>
      <c r="V89" s="5">
        <f t="shared" ref="V89:V97" si="36">IF(T$12=0,0,T89/T$12)</f>
        <v>4.6596994775040838E-3</v>
      </c>
      <c r="W89" s="1"/>
      <c r="X89" s="1">
        <f t="shared" ref="X89:X97" si="37">+P89-T89</f>
        <v>11421.820000000002</v>
      </c>
      <c r="Y89" s="1"/>
      <c r="Z89" s="5">
        <f t="shared" ref="Z89:Z97" si="38">IF(T89=0,0,X89/T89)</f>
        <v>1.3341424127776929</v>
      </c>
    </row>
    <row r="90" spans="1:26" s="24" customFormat="1" hidden="1" outlineLevel="2" x14ac:dyDescent="0.25">
      <c r="A90" s="25"/>
      <c r="B90" s="11" t="str">
        <f>CONCATENATE("          ", "6362", " - ", "ADVERTISING EXPENSE")</f>
        <v xml:space="preserve">          6362 - ADVERTISING EXPENSE</v>
      </c>
      <c r="C90" s="11"/>
      <c r="D90" s="6">
        <v>6142.97</v>
      </c>
      <c r="E90" s="2"/>
      <c r="F90" s="7">
        <f t="shared" si="31"/>
        <v>2.2755975037725539E-2</v>
      </c>
      <c r="G90" s="2"/>
      <c r="H90" s="6">
        <v>3058.73</v>
      </c>
      <c r="I90" s="2"/>
      <c r="J90" s="7">
        <f t="shared" si="32"/>
        <v>1.326377224365953E-2</v>
      </c>
      <c r="K90" s="2"/>
      <c r="L90" s="6">
        <f t="shared" si="33"/>
        <v>3084.2400000000002</v>
      </c>
      <c r="M90" s="2"/>
      <c r="N90" s="7">
        <f t="shared" si="34"/>
        <v>1.0083400627057635</v>
      </c>
      <c r="O90" s="11"/>
      <c r="P90" s="6">
        <v>19982.990000000002</v>
      </c>
      <c r="Q90" s="2"/>
      <c r="R90" s="7">
        <f t="shared" si="35"/>
        <v>9.8864111495223905E-3</v>
      </c>
      <c r="S90" s="2"/>
      <c r="T90" s="6">
        <v>8561.17</v>
      </c>
      <c r="U90" s="2"/>
      <c r="V90" s="7">
        <f t="shared" si="36"/>
        <v>4.6596994775040838E-3</v>
      </c>
      <c r="W90" s="2"/>
      <c r="X90" s="6">
        <f t="shared" si="37"/>
        <v>11421.820000000002</v>
      </c>
      <c r="Y90" s="2"/>
      <c r="Z90" s="7">
        <f t="shared" si="38"/>
        <v>1.3341424127776929</v>
      </c>
    </row>
    <row r="91" spans="1:26" s="26" customFormat="1" outlineLevel="1" collapsed="1" x14ac:dyDescent="0.25">
      <c r="A91" s="27"/>
      <c r="B91" s="13" t="str">
        <f>CONCATENATE("     ","Bad Debts/Over/Short                              ")</f>
        <v xml:space="preserve">     Bad Debts/Over/Short                              </v>
      </c>
      <c r="C91" s="13"/>
      <c r="D91" s="1">
        <f>SUM(OSRRefD22_3x_0)</f>
        <v>-0.13</v>
      </c>
      <c r="E91" s="1"/>
      <c r="F91" s="5">
        <f t="shared" si="31"/>
        <v>-4.8157108937603797E-7</v>
      </c>
      <c r="G91" s="1"/>
      <c r="H91" s="1">
        <f>SUM(OSRRefH22_3x_0)</f>
        <v>-2.58</v>
      </c>
      <c r="I91" s="1"/>
      <c r="J91" s="5">
        <f t="shared" si="32"/>
        <v>-1.1187823831669217E-5</v>
      </c>
      <c r="K91" s="1"/>
      <c r="L91" s="1">
        <f t="shared" si="33"/>
        <v>2.4500000000000002</v>
      </c>
      <c r="M91" s="1"/>
      <c r="N91" s="5">
        <f t="shared" si="34"/>
        <v>-0.94961240310077522</v>
      </c>
      <c r="O91" s="13"/>
      <c r="P91" s="1">
        <f>SUM(OSRRefP22_3x_0)</f>
        <v>45.81</v>
      </c>
      <c r="Q91" s="1"/>
      <c r="R91" s="5">
        <f t="shared" si="35"/>
        <v>2.2664100555503491E-5</v>
      </c>
      <c r="S91" s="1"/>
      <c r="T91" s="1">
        <f>SUM(OSRRefT22_3x_0)</f>
        <v>95.41</v>
      </c>
      <c r="U91" s="1"/>
      <c r="V91" s="5">
        <f t="shared" si="36"/>
        <v>5.193004310726976E-5</v>
      </c>
      <c r="W91" s="1"/>
      <c r="X91" s="1">
        <f t="shared" si="37"/>
        <v>-49.599999999999994</v>
      </c>
      <c r="Y91" s="1"/>
      <c r="Z91" s="5">
        <f t="shared" si="38"/>
        <v>-0.51986164972225124</v>
      </c>
    </row>
    <row r="92" spans="1:26" s="24" customFormat="1" hidden="1" outlineLevel="2" x14ac:dyDescent="0.25">
      <c r="A92" s="25"/>
      <c r="B92" s="11" t="str">
        <f>CONCATENATE("          ", "6272", " - ", "CASH (OVER/SHORT)")</f>
        <v xml:space="preserve">          6272 - CASH (OVER/SHORT)</v>
      </c>
      <c r="C92" s="11"/>
      <c r="D92" s="6">
        <v>-0.13</v>
      </c>
      <c r="E92" s="2"/>
      <c r="F92" s="7">
        <f t="shared" si="31"/>
        <v>-4.8157108937603797E-7</v>
      </c>
      <c r="G92" s="2"/>
      <c r="H92" s="6">
        <v>-2.58</v>
      </c>
      <c r="I92" s="2"/>
      <c r="J92" s="7">
        <f t="shared" si="32"/>
        <v>-1.1187823831669217E-5</v>
      </c>
      <c r="K92" s="2"/>
      <c r="L92" s="6">
        <f t="shared" si="33"/>
        <v>2.4500000000000002</v>
      </c>
      <c r="M92" s="2"/>
      <c r="N92" s="7">
        <f t="shared" si="34"/>
        <v>-0.94961240310077522</v>
      </c>
      <c r="O92" s="11"/>
      <c r="P92" s="6">
        <v>45.81</v>
      </c>
      <c r="Q92" s="2"/>
      <c r="R92" s="7">
        <f t="shared" si="35"/>
        <v>2.2664100555503491E-5</v>
      </c>
      <c r="S92" s="2"/>
      <c r="T92" s="6">
        <v>95.41</v>
      </c>
      <c r="U92" s="2"/>
      <c r="V92" s="7">
        <f t="shared" si="36"/>
        <v>5.193004310726976E-5</v>
      </c>
      <c r="W92" s="2"/>
      <c r="X92" s="6">
        <f t="shared" si="37"/>
        <v>-49.599999999999994</v>
      </c>
      <c r="Y92" s="2"/>
      <c r="Z92" s="7">
        <f t="shared" si="38"/>
        <v>-0.51986164972225124</v>
      </c>
    </row>
    <row r="93" spans="1:26" s="26" customFormat="1" outlineLevel="1" collapsed="1" x14ac:dyDescent="0.25">
      <c r="A93" s="27"/>
      <c r="B93" s="13" t="str">
        <f>CONCATENATE("     ","Bank/card Fees                                    ")</f>
        <v xml:space="preserve">     Bank/card Fees                                    </v>
      </c>
      <c r="C93" s="13"/>
      <c r="D93" s="1">
        <f>SUM(OSRRefD22_4x_0)</f>
        <v>489.58</v>
      </c>
      <c r="E93" s="1"/>
      <c r="F93" s="5">
        <f t="shared" si="31"/>
        <v>1.8135967225901589E-3</v>
      </c>
      <c r="G93" s="1"/>
      <c r="H93" s="1">
        <f>SUM(OSRRefH22_4x_0)</f>
        <v>401.18</v>
      </c>
      <c r="I93" s="1"/>
      <c r="J93" s="5">
        <f t="shared" si="32"/>
        <v>1.7396632421663011E-3</v>
      </c>
      <c r="K93" s="1"/>
      <c r="L93" s="1">
        <f t="shared" si="33"/>
        <v>88.399999999999977</v>
      </c>
      <c r="M93" s="1"/>
      <c r="N93" s="5">
        <f t="shared" si="34"/>
        <v>0.22034996759559294</v>
      </c>
      <c r="O93" s="13"/>
      <c r="P93" s="1">
        <f>SUM(OSRRefP22_4x_0)</f>
        <v>5174.05</v>
      </c>
      <c r="Q93" s="1"/>
      <c r="R93" s="5">
        <f t="shared" si="35"/>
        <v>2.5598164042611401E-3</v>
      </c>
      <c r="S93" s="1"/>
      <c r="T93" s="1">
        <f>SUM(OSRRefT22_4x_0)</f>
        <v>4533.7299999999996</v>
      </c>
      <c r="U93" s="1"/>
      <c r="V93" s="5">
        <f t="shared" si="36"/>
        <v>2.4676322642985232E-3</v>
      </c>
      <c r="W93" s="1"/>
      <c r="X93" s="1">
        <f t="shared" si="37"/>
        <v>640.32000000000062</v>
      </c>
      <c r="Y93" s="1"/>
      <c r="Z93" s="5">
        <f t="shared" si="38"/>
        <v>0.14123470078721068</v>
      </c>
    </row>
    <row r="94" spans="1:26" s="24" customFormat="1" hidden="1" outlineLevel="2" x14ac:dyDescent="0.25">
      <c r="A94" s="25"/>
      <c r="B94" s="11" t="str">
        <f>CONCATENATE("          ", "6381", " - ", "BANK/CREDIT CARD FEES")</f>
        <v xml:space="preserve">          6381 - BANK/CREDIT CARD FEES</v>
      </c>
      <c r="C94" s="11"/>
      <c r="D94" s="6">
        <v>489.58</v>
      </c>
      <c r="E94" s="2"/>
      <c r="F94" s="7">
        <f t="shared" si="31"/>
        <v>1.8135967225901589E-3</v>
      </c>
      <c r="G94" s="2"/>
      <c r="H94" s="6">
        <v>401.18</v>
      </c>
      <c r="I94" s="2"/>
      <c r="J94" s="7">
        <f t="shared" si="32"/>
        <v>1.7396632421663011E-3</v>
      </c>
      <c r="K94" s="2"/>
      <c r="L94" s="6">
        <f t="shared" si="33"/>
        <v>88.399999999999977</v>
      </c>
      <c r="M94" s="2"/>
      <c r="N94" s="7">
        <f t="shared" si="34"/>
        <v>0.22034996759559294</v>
      </c>
      <c r="O94" s="11"/>
      <c r="P94" s="6">
        <v>5174.05</v>
      </c>
      <c r="Q94" s="2"/>
      <c r="R94" s="7">
        <f t="shared" si="35"/>
        <v>2.5598164042611401E-3</v>
      </c>
      <c r="S94" s="2"/>
      <c r="T94" s="6">
        <v>4533.7299999999996</v>
      </c>
      <c r="U94" s="2"/>
      <c r="V94" s="7">
        <f t="shared" si="36"/>
        <v>2.4676322642985232E-3</v>
      </c>
      <c r="W94" s="2"/>
      <c r="X94" s="6">
        <f t="shared" si="37"/>
        <v>640.32000000000062</v>
      </c>
      <c r="Y94" s="2"/>
      <c r="Z94" s="7">
        <f t="shared" si="38"/>
        <v>0.14123470078721068</v>
      </c>
    </row>
    <row r="95" spans="1:26" s="26" customFormat="1" outlineLevel="1" collapsed="1" x14ac:dyDescent="0.25">
      <c r="A95" s="27"/>
      <c r="B95" s="13" t="str">
        <f>CONCATENATE("     ","Discounts and Markdowns                           ")</f>
        <v xml:space="preserve">     Discounts and Markdowns                           </v>
      </c>
      <c r="C95" s="13"/>
      <c r="D95" s="1">
        <f>SUM(OSRRefD22_5x_0)</f>
        <v>31378.300000000003</v>
      </c>
      <c r="E95" s="1"/>
      <c r="F95" s="5">
        <f t="shared" si="31"/>
        <v>0.11623755472129334</v>
      </c>
      <c r="G95" s="1"/>
      <c r="H95" s="1">
        <f>SUM(OSRRefH22_5x_0)</f>
        <v>28871.18</v>
      </c>
      <c r="I95" s="1"/>
      <c r="J95" s="5">
        <f t="shared" si="32"/>
        <v>0.12519599831488826</v>
      </c>
      <c r="K95" s="1"/>
      <c r="L95" s="1">
        <f t="shared" si="33"/>
        <v>2507.1200000000026</v>
      </c>
      <c r="M95" s="1"/>
      <c r="N95" s="5">
        <f t="shared" si="34"/>
        <v>8.6838154865855943E-2</v>
      </c>
      <c r="O95" s="13"/>
      <c r="P95" s="1">
        <f>SUM(OSRRefP22_5x_0)</f>
        <v>210486.62</v>
      </c>
      <c r="Q95" s="1"/>
      <c r="R95" s="5">
        <f t="shared" si="35"/>
        <v>0.10413643137454817</v>
      </c>
      <c r="S95" s="1"/>
      <c r="T95" s="1">
        <f>SUM(OSRRefT22_5x_0)</f>
        <v>170286.47</v>
      </c>
      <c r="U95" s="1"/>
      <c r="V95" s="5">
        <f t="shared" si="36"/>
        <v>9.2684034458492812E-2</v>
      </c>
      <c r="W95" s="1"/>
      <c r="X95" s="1">
        <f t="shared" si="37"/>
        <v>40200.149999999994</v>
      </c>
      <c r="Y95" s="1"/>
      <c r="Z95" s="5">
        <f t="shared" si="38"/>
        <v>0.23607365869995423</v>
      </c>
    </row>
    <row r="96" spans="1:26" s="24" customFormat="1" hidden="1" outlineLevel="2" x14ac:dyDescent="0.25">
      <c r="A96" s="25"/>
      <c r="B96" s="11" t="str">
        <f>CONCATENATE("          ", "6382", " - ", "DISCOUNTS/MARK DOWNS")</f>
        <v xml:space="preserve">          6382 - DISCOUNTS/MARK DOWNS</v>
      </c>
      <c r="C96" s="11"/>
      <c r="D96" s="6">
        <v>31378.300000000003</v>
      </c>
      <c r="E96" s="2"/>
      <c r="F96" s="7">
        <f t="shared" si="31"/>
        <v>0.11623755472129334</v>
      </c>
      <c r="G96" s="2"/>
      <c r="H96" s="6">
        <v>28871.18</v>
      </c>
      <c r="I96" s="2"/>
      <c r="J96" s="7">
        <f t="shared" si="32"/>
        <v>0.12519599831488826</v>
      </c>
      <c r="K96" s="2"/>
      <c r="L96" s="6">
        <f t="shared" si="33"/>
        <v>2507.1200000000026</v>
      </c>
      <c r="M96" s="2"/>
      <c r="N96" s="7">
        <f t="shared" si="34"/>
        <v>8.6838154865855943E-2</v>
      </c>
      <c r="O96" s="11"/>
      <c r="P96" s="6">
        <v>210506.01</v>
      </c>
      <c r="Q96" s="2"/>
      <c r="R96" s="7">
        <f t="shared" si="35"/>
        <v>0.10414602440903348</v>
      </c>
      <c r="S96" s="2"/>
      <c r="T96" s="6">
        <v>170286.47</v>
      </c>
      <c r="U96" s="2"/>
      <c r="V96" s="7">
        <f t="shared" si="36"/>
        <v>9.2684034458492812E-2</v>
      </c>
      <c r="W96" s="2"/>
      <c r="X96" s="6">
        <f t="shared" si="37"/>
        <v>40219.540000000008</v>
      </c>
      <c r="Y96" s="2"/>
      <c r="Z96" s="7">
        <f t="shared" si="38"/>
        <v>0.23618752564428641</v>
      </c>
    </row>
    <row r="97" spans="1:26" s="24" customFormat="1" hidden="1" outlineLevel="2" x14ac:dyDescent="0.25">
      <c r="A97" s="25"/>
      <c r="B97" s="11" t="str">
        <f>CONCATENATE("          ", "9175", " - ", "EARNED DISCOUNTS")</f>
        <v xml:space="preserve">          9175 - EARNED DISCOUNTS</v>
      </c>
      <c r="C97" s="11"/>
      <c r="D97" s="6"/>
      <c r="E97" s="2"/>
      <c r="F97" s="7">
        <f t="shared" si="31"/>
        <v>0</v>
      </c>
      <c r="G97" s="2"/>
      <c r="H97" s="6"/>
      <c r="I97" s="2"/>
      <c r="J97" s="7">
        <f t="shared" si="32"/>
        <v>0</v>
      </c>
      <c r="K97" s="2"/>
      <c r="L97" s="6">
        <f t="shared" si="33"/>
        <v>0</v>
      </c>
      <c r="M97" s="2"/>
      <c r="N97" s="7">
        <f t="shared" si="34"/>
        <v>0</v>
      </c>
      <c r="O97" s="11"/>
      <c r="P97" s="6">
        <v>-19.39</v>
      </c>
      <c r="Q97" s="2"/>
      <c r="R97" s="7">
        <f t="shared" si="35"/>
        <v>-9.5930344852916969E-6</v>
      </c>
      <c r="S97" s="2"/>
      <c r="T97" s="6">
        <v>0</v>
      </c>
      <c r="U97" s="2"/>
      <c r="V97" s="7">
        <f t="shared" si="36"/>
        <v>0</v>
      </c>
      <c r="W97" s="2"/>
      <c r="X97" s="6">
        <f t="shared" si="37"/>
        <v>-19.39</v>
      </c>
      <c r="Y97" s="2"/>
      <c r="Z97" s="7">
        <f t="shared" si="38"/>
        <v>0</v>
      </c>
    </row>
    <row r="98" spans="1:26" s="26" customFormat="1" outlineLevel="1" collapsed="1" x14ac:dyDescent="0.25">
      <c r="A98" s="27"/>
      <c r="B98" s="13" t="str">
        <f>CONCATENATE("     ","Donations                                         ")</f>
        <v xml:space="preserve">     Donations                                         </v>
      </c>
      <c r="C98" s="13"/>
      <c r="D98" s="1">
        <f>SUM(OSRRefD22_6x_0)</f>
        <v>0</v>
      </c>
      <c r="E98" s="1"/>
      <c r="F98" s="5">
        <f t="shared" ref="F98:F104" si="39">IF(D$12=0,0,D98/D$12)</f>
        <v>0</v>
      </c>
      <c r="G98" s="1"/>
      <c r="H98" s="1">
        <f>SUM(OSRRefH22_6x_0)</f>
        <v>0</v>
      </c>
      <c r="I98" s="1"/>
      <c r="J98" s="5">
        <f t="shared" ref="J98:J104" si="40">IF(H$12=0,0,H98/H$12)</f>
        <v>0</v>
      </c>
      <c r="K98" s="1"/>
      <c r="L98" s="1">
        <f t="shared" ref="L98:L104" si="41">+D98-H98</f>
        <v>0</v>
      </c>
      <c r="M98" s="1"/>
      <c r="N98" s="5">
        <f t="shared" ref="N98:N104" si="42">IF(H98=0,0,L98/H98)</f>
        <v>0</v>
      </c>
      <c r="O98" s="13"/>
      <c r="P98" s="1">
        <f>SUM(OSRRefP22_6x_0)</f>
        <v>0</v>
      </c>
      <c r="Q98" s="1"/>
      <c r="R98" s="5">
        <f t="shared" ref="R98:R104" si="43">IF(P$12=0,0,P98/P$12)</f>
        <v>0</v>
      </c>
      <c r="S98" s="1"/>
      <c r="T98" s="1">
        <f>SUM(OSRRefT22_6x_0)</f>
        <v>124.88</v>
      </c>
      <c r="U98" s="1"/>
      <c r="V98" s="5">
        <f t="shared" ref="V98:V104" si="44">IF(T$12=0,0,T98/T$12)</f>
        <v>6.79700637588916E-5</v>
      </c>
      <c r="W98" s="1"/>
      <c r="X98" s="1">
        <f t="shared" ref="X98:X104" si="45">+P98-T98</f>
        <v>-124.88</v>
      </c>
      <c r="Y98" s="1"/>
      <c r="Z98" s="5">
        <f t="shared" ref="Z98:Z104" si="46">IF(T98=0,0,X98/T98)</f>
        <v>-1</v>
      </c>
    </row>
    <row r="99" spans="1:26" s="24" customFormat="1" hidden="1" outlineLevel="2" x14ac:dyDescent="0.25">
      <c r="A99" s="25"/>
      <c r="B99" s="11" t="str">
        <f>CONCATENATE("          ", "6399", " - ", "DONATION-ON CAMPUS")</f>
        <v xml:space="preserve">          6399 - DONATION-ON CAMPUS</v>
      </c>
      <c r="C99" s="11"/>
      <c r="D99" s="6"/>
      <c r="E99" s="2"/>
      <c r="F99" s="7">
        <f t="shared" si="39"/>
        <v>0</v>
      </c>
      <c r="G99" s="2"/>
      <c r="H99" s="6"/>
      <c r="I99" s="2"/>
      <c r="J99" s="7">
        <f t="shared" si="40"/>
        <v>0</v>
      </c>
      <c r="K99" s="2"/>
      <c r="L99" s="6">
        <f t="shared" si="41"/>
        <v>0</v>
      </c>
      <c r="M99" s="2"/>
      <c r="N99" s="7">
        <f t="shared" si="42"/>
        <v>0</v>
      </c>
      <c r="O99" s="11"/>
      <c r="P99" s="6"/>
      <c r="Q99" s="2"/>
      <c r="R99" s="7">
        <f t="shared" si="43"/>
        <v>0</v>
      </c>
      <c r="S99" s="2"/>
      <c r="T99" s="6">
        <v>124.88</v>
      </c>
      <c r="U99" s="2"/>
      <c r="V99" s="7">
        <f t="shared" si="44"/>
        <v>6.79700637588916E-5</v>
      </c>
      <c r="W99" s="2"/>
      <c r="X99" s="6">
        <f t="shared" si="45"/>
        <v>-124.88</v>
      </c>
      <c r="Y99" s="2"/>
      <c r="Z99" s="7">
        <f t="shared" si="46"/>
        <v>-1</v>
      </c>
    </row>
    <row r="100" spans="1:26" s="26" customFormat="1" outlineLevel="1" collapsed="1" x14ac:dyDescent="0.25">
      <c r="A100" s="27"/>
      <c r="B100" s="13" t="str">
        <f>CONCATENATE("     ","Employees' Appreciation                           ")</f>
        <v xml:space="preserve">     Employees' Appreciation                           </v>
      </c>
      <c r="C100" s="13"/>
      <c r="D100" s="1">
        <f>SUM(OSRRefD22_7x_0)</f>
        <v>0</v>
      </c>
      <c r="E100" s="1"/>
      <c r="F100" s="5">
        <f t="shared" si="39"/>
        <v>0</v>
      </c>
      <c r="G100" s="1"/>
      <c r="H100" s="1">
        <f>SUM(OSRRefH22_7x_0)</f>
        <v>230.37</v>
      </c>
      <c r="I100" s="1"/>
      <c r="J100" s="5">
        <f t="shared" si="40"/>
        <v>9.9896859538823181E-4</v>
      </c>
      <c r="K100" s="1"/>
      <c r="L100" s="1">
        <f t="shared" si="41"/>
        <v>-230.37</v>
      </c>
      <c r="M100" s="1"/>
      <c r="N100" s="5">
        <f t="shared" si="42"/>
        <v>-1</v>
      </c>
      <c r="O100" s="13"/>
      <c r="P100" s="1">
        <f>SUM(OSRRefP22_7x_0)</f>
        <v>330.41</v>
      </c>
      <c r="Q100" s="1"/>
      <c r="R100" s="5">
        <f t="shared" si="43"/>
        <v>1.6346748449124444E-4</v>
      </c>
      <c r="S100" s="1"/>
      <c r="T100" s="1">
        <f>SUM(OSRRefT22_7x_0)</f>
        <v>604.64</v>
      </c>
      <c r="U100" s="1"/>
      <c r="V100" s="5">
        <f t="shared" si="44"/>
        <v>3.2909528628424263E-4</v>
      </c>
      <c r="W100" s="1"/>
      <c r="X100" s="1">
        <f t="shared" si="45"/>
        <v>-274.22999999999996</v>
      </c>
      <c r="Y100" s="1"/>
      <c r="Z100" s="5">
        <f t="shared" si="46"/>
        <v>-0.45354260386345591</v>
      </c>
    </row>
    <row r="101" spans="1:26" s="24" customFormat="1" hidden="1" outlineLevel="2" x14ac:dyDescent="0.25">
      <c r="A101" s="25"/>
      <c r="B101" s="11" t="str">
        <f>CONCATENATE("          ", "6277", " - ", "EMPLOYEE APPRECIATION")</f>
        <v xml:space="preserve">          6277 - EMPLOYEE APPRECIATION</v>
      </c>
      <c r="C101" s="11"/>
      <c r="D101" s="6"/>
      <c r="E101" s="2"/>
      <c r="F101" s="7">
        <f t="shared" si="39"/>
        <v>0</v>
      </c>
      <c r="G101" s="2"/>
      <c r="H101" s="6">
        <v>230.37</v>
      </c>
      <c r="I101" s="2"/>
      <c r="J101" s="7">
        <f t="shared" si="40"/>
        <v>9.9896859538823181E-4</v>
      </c>
      <c r="K101" s="2"/>
      <c r="L101" s="6">
        <f t="shared" si="41"/>
        <v>-230.37</v>
      </c>
      <c r="M101" s="2"/>
      <c r="N101" s="7">
        <f t="shared" si="42"/>
        <v>-1</v>
      </c>
      <c r="O101" s="11"/>
      <c r="P101" s="6">
        <v>330.41</v>
      </c>
      <c r="Q101" s="2"/>
      <c r="R101" s="7">
        <f t="shared" si="43"/>
        <v>1.6346748449124444E-4</v>
      </c>
      <c r="S101" s="2"/>
      <c r="T101" s="6">
        <v>604.64</v>
      </c>
      <c r="U101" s="2"/>
      <c r="V101" s="7">
        <f t="shared" si="44"/>
        <v>3.2909528628424263E-4</v>
      </c>
      <c r="W101" s="2"/>
      <c r="X101" s="6">
        <f t="shared" si="45"/>
        <v>-274.22999999999996</v>
      </c>
      <c r="Y101" s="2"/>
      <c r="Z101" s="7">
        <f t="shared" si="46"/>
        <v>-0.45354260386345591</v>
      </c>
    </row>
    <row r="102" spans="1:26" s="26" customFormat="1" outlineLevel="1" collapsed="1" x14ac:dyDescent="0.25">
      <c r="A102" s="27"/>
      <c r="B102" s="13" t="str">
        <f>CONCATENATE("     ","Freight out/Postage                               ")</f>
        <v xml:space="preserve">     Freight out/Postage                               </v>
      </c>
      <c r="C102" s="13"/>
      <c r="D102" s="1">
        <f>SUM(OSRRefD22_8x_0)</f>
        <v>10.68</v>
      </c>
      <c r="E102" s="1"/>
      <c r="F102" s="5">
        <f t="shared" si="39"/>
        <v>3.9562917188739114E-5</v>
      </c>
      <c r="G102" s="1"/>
      <c r="H102" s="1">
        <f>SUM(OSRRefH22_8x_0)</f>
        <v>0</v>
      </c>
      <c r="I102" s="1"/>
      <c r="J102" s="5">
        <f t="shared" si="40"/>
        <v>0</v>
      </c>
      <c r="K102" s="1"/>
      <c r="L102" s="1">
        <f t="shared" si="41"/>
        <v>10.68</v>
      </c>
      <c r="M102" s="1"/>
      <c r="N102" s="5">
        <f t="shared" si="42"/>
        <v>0</v>
      </c>
      <c r="O102" s="13"/>
      <c r="P102" s="1">
        <f>SUM(OSRRefP22_8x_0)</f>
        <v>81.180000000000007</v>
      </c>
      <c r="Q102" s="1"/>
      <c r="R102" s="5">
        <f t="shared" si="43"/>
        <v>4.0163101573799903E-5</v>
      </c>
      <c r="S102" s="1"/>
      <c r="T102" s="1">
        <f>SUM(OSRRefT22_8x_0)</f>
        <v>27.31</v>
      </c>
      <c r="U102" s="1"/>
      <c r="V102" s="5">
        <f t="shared" si="44"/>
        <v>1.4864369324594247E-5</v>
      </c>
      <c r="W102" s="1"/>
      <c r="X102" s="1">
        <f t="shared" si="45"/>
        <v>53.870000000000005</v>
      </c>
      <c r="Y102" s="1"/>
      <c r="Z102" s="5">
        <f t="shared" si="46"/>
        <v>1.9725375320395462</v>
      </c>
    </row>
    <row r="103" spans="1:26" s="24" customFormat="1" hidden="1" outlineLevel="2" x14ac:dyDescent="0.25">
      <c r="A103" s="25"/>
      <c r="B103" s="11" t="str">
        <f>CONCATENATE("          ", "6305", " - ", "FREIGHT OUT")</f>
        <v xml:space="preserve">          6305 - FREIGHT OUT</v>
      </c>
      <c r="C103" s="11"/>
      <c r="D103" s="6">
        <v>10.68</v>
      </c>
      <c r="E103" s="2"/>
      <c r="F103" s="7">
        <f t="shared" si="39"/>
        <v>3.9562917188739114E-5</v>
      </c>
      <c r="G103" s="2"/>
      <c r="H103" s="6"/>
      <c r="I103" s="2"/>
      <c r="J103" s="7">
        <f t="shared" si="40"/>
        <v>0</v>
      </c>
      <c r="K103" s="2"/>
      <c r="L103" s="6">
        <f t="shared" si="41"/>
        <v>10.68</v>
      </c>
      <c r="M103" s="2"/>
      <c r="N103" s="7">
        <f t="shared" si="42"/>
        <v>0</v>
      </c>
      <c r="O103" s="11"/>
      <c r="P103" s="6">
        <v>80.680000000000007</v>
      </c>
      <c r="Q103" s="2"/>
      <c r="R103" s="7">
        <f t="shared" si="43"/>
        <v>3.9915730906309136E-5</v>
      </c>
      <c r="S103" s="2"/>
      <c r="T103" s="6">
        <v>27.31</v>
      </c>
      <c r="U103" s="2"/>
      <c r="V103" s="7">
        <f t="shared" si="44"/>
        <v>1.4864369324594247E-5</v>
      </c>
      <c r="W103" s="2"/>
      <c r="X103" s="6">
        <f t="shared" si="45"/>
        <v>53.370000000000005</v>
      </c>
      <c r="Y103" s="2"/>
      <c r="Z103" s="7">
        <f t="shared" si="46"/>
        <v>1.9542292200659102</v>
      </c>
    </row>
    <row r="104" spans="1:26" s="24" customFormat="1" hidden="1" outlineLevel="2" x14ac:dyDescent="0.25">
      <c r="A104" s="25"/>
      <c r="B104" s="11" t="str">
        <f>CONCATENATE("          ", "6307", " - ", "POSTAGE")</f>
        <v xml:space="preserve">          6307 - POSTAGE</v>
      </c>
      <c r="C104" s="11"/>
      <c r="D104" s="6"/>
      <c r="E104" s="2"/>
      <c r="F104" s="7">
        <f t="shared" si="39"/>
        <v>0</v>
      </c>
      <c r="G104" s="2"/>
      <c r="H104" s="6"/>
      <c r="I104" s="2"/>
      <c r="J104" s="7">
        <f t="shared" si="40"/>
        <v>0</v>
      </c>
      <c r="K104" s="2"/>
      <c r="L104" s="6">
        <f t="shared" si="41"/>
        <v>0</v>
      </c>
      <c r="M104" s="2"/>
      <c r="N104" s="7">
        <f t="shared" si="42"/>
        <v>0</v>
      </c>
      <c r="O104" s="11"/>
      <c r="P104" s="6">
        <v>0.5</v>
      </c>
      <c r="Q104" s="2"/>
      <c r="R104" s="7">
        <f t="shared" si="43"/>
        <v>2.4737066749076063E-7</v>
      </c>
      <c r="S104" s="2"/>
      <c r="T104" s="6"/>
      <c r="U104" s="2"/>
      <c r="V104" s="7">
        <f t="shared" si="44"/>
        <v>0</v>
      </c>
      <c r="W104" s="2"/>
      <c r="X104" s="6">
        <f t="shared" si="45"/>
        <v>0.5</v>
      </c>
      <c r="Y104" s="2"/>
      <c r="Z104" s="7">
        <f t="shared" si="46"/>
        <v>0</v>
      </c>
    </row>
    <row r="105" spans="1:26" s="26" customFormat="1" outlineLevel="1" collapsed="1" x14ac:dyDescent="0.25">
      <c r="A105" s="27"/>
      <c r="B105" s="13" t="str">
        <f>CONCATENATE("     ","General                                           ")</f>
        <v xml:space="preserve">     General                                           </v>
      </c>
      <c r="C105" s="13"/>
      <c r="D105" s="1">
        <f>SUM(OSRRefD22_9x_0)</f>
        <v>0</v>
      </c>
      <c r="E105" s="1"/>
      <c r="F105" s="5">
        <f t="shared" ref="F105:F118" si="47">IF(D$12=0,0,D105/D$12)</f>
        <v>0</v>
      </c>
      <c r="G105" s="1"/>
      <c r="H105" s="1">
        <f>SUM(OSRRefH22_9x_0)</f>
        <v>0</v>
      </c>
      <c r="I105" s="1"/>
      <c r="J105" s="5">
        <f t="shared" ref="J105:J118" si="48">IF(H$12=0,0,H105/H$12)</f>
        <v>0</v>
      </c>
      <c r="K105" s="1"/>
      <c r="L105" s="1">
        <f t="shared" ref="L105:L118" si="49">+D105-H105</f>
        <v>0</v>
      </c>
      <c r="M105" s="1"/>
      <c r="N105" s="5">
        <f t="shared" ref="N105:N118" si="50">IF(H105=0,0,L105/H105)</f>
        <v>0</v>
      </c>
      <c r="O105" s="13"/>
      <c r="P105" s="1">
        <f>SUM(OSRRefP22_9x_0)</f>
        <v>1271.44</v>
      </c>
      <c r="Q105" s="1"/>
      <c r="R105" s="5">
        <f t="shared" ref="R105:R118" si="51">IF(P$12=0,0,P105/P$12)</f>
        <v>6.2903392294890543E-4</v>
      </c>
      <c r="S105" s="1"/>
      <c r="T105" s="1">
        <f>SUM(OSRRefT22_9x_0)</f>
        <v>1406.72</v>
      </c>
      <c r="U105" s="1"/>
      <c r="V105" s="5">
        <f t="shared" ref="V105:V118" si="52">IF(T$12=0,0,T105/T$12)</f>
        <v>7.6565381238715563E-4</v>
      </c>
      <c r="W105" s="1"/>
      <c r="X105" s="1">
        <f t="shared" ref="X105:X118" si="53">+P105-T105</f>
        <v>-135.27999999999997</v>
      </c>
      <c r="Y105" s="1"/>
      <c r="Z105" s="5">
        <f t="shared" ref="Z105:Z118" si="54">IF(T105=0,0,X105/T105)</f>
        <v>-9.6166969972702437E-2</v>
      </c>
    </row>
    <row r="106" spans="1:26" s="24" customFormat="1" hidden="1" outlineLevel="2" x14ac:dyDescent="0.25">
      <c r="A106" s="25"/>
      <c r="B106" s="11" t="str">
        <f>CONCATENATE("          ", "6279", " - ", "GENERAL EXPENSE")</f>
        <v xml:space="preserve">          6279 - GENERAL EXPENSE</v>
      </c>
      <c r="C106" s="11"/>
      <c r="D106" s="6"/>
      <c r="E106" s="2"/>
      <c r="F106" s="7">
        <f t="shared" si="47"/>
        <v>0</v>
      </c>
      <c r="G106" s="2"/>
      <c r="H106" s="6"/>
      <c r="I106" s="2"/>
      <c r="J106" s="7">
        <f t="shared" si="48"/>
        <v>0</v>
      </c>
      <c r="K106" s="2"/>
      <c r="L106" s="6">
        <f t="shared" si="49"/>
        <v>0</v>
      </c>
      <c r="M106" s="2"/>
      <c r="N106" s="7">
        <f t="shared" si="50"/>
        <v>0</v>
      </c>
      <c r="O106" s="11"/>
      <c r="P106" s="6">
        <v>1271.44</v>
      </c>
      <c r="Q106" s="2"/>
      <c r="R106" s="7">
        <f t="shared" si="51"/>
        <v>6.2903392294890543E-4</v>
      </c>
      <c r="S106" s="2"/>
      <c r="T106" s="6">
        <v>1406.72</v>
      </c>
      <c r="U106" s="2"/>
      <c r="V106" s="7">
        <f t="shared" si="52"/>
        <v>7.6565381238715563E-4</v>
      </c>
      <c r="W106" s="2"/>
      <c r="X106" s="6">
        <f t="shared" si="53"/>
        <v>-135.27999999999997</v>
      </c>
      <c r="Y106" s="2"/>
      <c r="Z106" s="7">
        <f t="shared" si="54"/>
        <v>-9.6166969972702437E-2</v>
      </c>
    </row>
    <row r="107" spans="1:26" s="26" customFormat="1" outlineLevel="1" collapsed="1" x14ac:dyDescent="0.25">
      <c r="A107" s="27"/>
      <c r="B107" s="13" t="str">
        <f>CONCATENATE("     ","Insurance                                         ")</f>
        <v xml:space="preserve">     Insurance                                         </v>
      </c>
      <c r="C107" s="13"/>
      <c r="D107" s="1">
        <f>SUM(OSRRefD22_10x_0)</f>
        <v>161.18</v>
      </c>
      <c r="E107" s="1"/>
      <c r="F107" s="5">
        <f t="shared" si="47"/>
        <v>5.9707406296638304E-4</v>
      </c>
      <c r="G107" s="1"/>
      <c r="H107" s="1">
        <f>SUM(OSRRefH22_10x_0)</f>
        <v>151.85</v>
      </c>
      <c r="I107" s="1"/>
      <c r="J107" s="5">
        <f t="shared" si="48"/>
        <v>6.5847715071277936E-4</v>
      </c>
      <c r="K107" s="1"/>
      <c r="L107" s="1">
        <f t="shared" si="49"/>
        <v>9.3300000000000125</v>
      </c>
      <c r="M107" s="1"/>
      <c r="N107" s="5">
        <f t="shared" si="50"/>
        <v>6.1442212709911181E-2</v>
      </c>
      <c r="O107" s="13"/>
      <c r="P107" s="1">
        <f>SUM(OSRRefP22_10x_0)</f>
        <v>1128.26</v>
      </c>
      <c r="Q107" s="1"/>
      <c r="R107" s="5">
        <f t="shared" si="51"/>
        <v>5.5819685860625115E-4</v>
      </c>
      <c r="S107" s="1"/>
      <c r="T107" s="1">
        <f>SUM(OSRRefT22_10x_0)</f>
        <v>1062.95</v>
      </c>
      <c r="U107" s="1"/>
      <c r="V107" s="5">
        <f t="shared" si="52"/>
        <v>5.7854563799258354E-4</v>
      </c>
      <c r="W107" s="1"/>
      <c r="X107" s="1">
        <f t="shared" si="53"/>
        <v>65.309999999999945</v>
      </c>
      <c r="Y107" s="1"/>
      <c r="Z107" s="5">
        <f t="shared" si="54"/>
        <v>6.1442212709911043E-2</v>
      </c>
    </row>
    <row r="108" spans="1:26" s="24" customFormat="1" hidden="1" outlineLevel="2" x14ac:dyDescent="0.25">
      <c r="A108" s="25"/>
      <c r="B108" s="11" t="str">
        <f>CONCATENATE("          ", "6314", " - ", "LIABILITY INSURANCE")</f>
        <v xml:space="preserve">          6314 - LIABILITY INSURANCE</v>
      </c>
      <c r="C108" s="11"/>
      <c r="D108" s="6">
        <v>161.18</v>
      </c>
      <c r="E108" s="2"/>
      <c r="F108" s="7">
        <f t="shared" si="47"/>
        <v>5.9707406296638304E-4</v>
      </c>
      <c r="G108" s="2"/>
      <c r="H108" s="6">
        <v>151.85</v>
      </c>
      <c r="I108" s="2"/>
      <c r="J108" s="7">
        <f t="shared" si="48"/>
        <v>6.5847715071277936E-4</v>
      </c>
      <c r="K108" s="2"/>
      <c r="L108" s="6">
        <f t="shared" si="49"/>
        <v>9.3300000000000125</v>
      </c>
      <c r="M108" s="2"/>
      <c r="N108" s="7">
        <f t="shared" si="50"/>
        <v>6.1442212709911181E-2</v>
      </c>
      <c r="O108" s="11"/>
      <c r="P108" s="6">
        <v>1128.26</v>
      </c>
      <c r="Q108" s="2"/>
      <c r="R108" s="7">
        <f t="shared" si="51"/>
        <v>5.5819685860625115E-4</v>
      </c>
      <c r="S108" s="2"/>
      <c r="T108" s="6">
        <v>1062.95</v>
      </c>
      <c r="U108" s="2"/>
      <c r="V108" s="7">
        <f t="shared" si="52"/>
        <v>5.7854563799258354E-4</v>
      </c>
      <c r="W108" s="2"/>
      <c r="X108" s="6">
        <f t="shared" si="53"/>
        <v>65.309999999999945</v>
      </c>
      <c r="Y108" s="2"/>
      <c r="Z108" s="7">
        <f t="shared" si="54"/>
        <v>6.1442212709911043E-2</v>
      </c>
    </row>
    <row r="109" spans="1:26" s="26" customFormat="1" outlineLevel="1" collapsed="1" x14ac:dyDescent="0.25">
      <c r="A109" s="27"/>
      <c r="B109" s="13" t="str">
        <f>CONCATENATE("     ","Inventory Adjustment                              ")</f>
        <v xml:space="preserve">     Inventory Adjustment                              </v>
      </c>
      <c r="C109" s="13"/>
      <c r="D109" s="1">
        <f>SUM(OSRRefD22_11x_0)</f>
        <v>3150</v>
      </c>
      <c r="E109" s="1"/>
      <c r="F109" s="5">
        <f t="shared" si="47"/>
        <v>1.1668837934880919E-2</v>
      </c>
      <c r="G109" s="1"/>
      <c r="H109" s="1">
        <f>SUM(OSRRefH22_11x_0)</f>
        <v>1300</v>
      </c>
      <c r="I109" s="1"/>
      <c r="J109" s="5">
        <f t="shared" si="48"/>
        <v>5.637275574096893E-3</v>
      </c>
      <c r="K109" s="1"/>
      <c r="L109" s="1">
        <f t="shared" si="49"/>
        <v>1850</v>
      </c>
      <c r="M109" s="1"/>
      <c r="N109" s="5">
        <f t="shared" si="50"/>
        <v>1.4230769230769231</v>
      </c>
      <c r="O109" s="13"/>
      <c r="P109" s="1">
        <f>SUM(OSRRefP22_11x_0)</f>
        <v>22050</v>
      </c>
      <c r="Q109" s="1"/>
      <c r="R109" s="5">
        <f t="shared" si="51"/>
        <v>1.0909046436342544E-2</v>
      </c>
      <c r="S109" s="1"/>
      <c r="T109" s="1">
        <f>SUM(OSRRefT22_11x_0)</f>
        <v>9100</v>
      </c>
      <c r="U109" s="1"/>
      <c r="V109" s="5">
        <f t="shared" si="52"/>
        <v>4.9529754981255088E-3</v>
      </c>
      <c r="W109" s="1"/>
      <c r="X109" s="1">
        <f t="shared" si="53"/>
        <v>12950</v>
      </c>
      <c r="Y109" s="1"/>
      <c r="Z109" s="5">
        <f t="shared" si="54"/>
        <v>1.4230769230769231</v>
      </c>
    </row>
    <row r="110" spans="1:26" s="24" customFormat="1" hidden="1" outlineLevel="2" x14ac:dyDescent="0.25">
      <c r="A110" s="25"/>
      <c r="B110" s="11" t="str">
        <f>CONCATENATE("          ", "6408", " - ", "INVENTORY ADJUSTMENT")</f>
        <v xml:space="preserve">          6408 - INVENTORY ADJUSTMENT</v>
      </c>
      <c r="C110" s="11"/>
      <c r="D110" s="6">
        <v>3150</v>
      </c>
      <c r="E110" s="2"/>
      <c r="F110" s="7">
        <f t="shared" si="47"/>
        <v>1.1668837934880919E-2</v>
      </c>
      <c r="G110" s="2"/>
      <c r="H110" s="6">
        <v>1300</v>
      </c>
      <c r="I110" s="2"/>
      <c r="J110" s="7">
        <f t="shared" si="48"/>
        <v>5.637275574096893E-3</v>
      </c>
      <c r="K110" s="2"/>
      <c r="L110" s="6">
        <f t="shared" si="49"/>
        <v>1850</v>
      </c>
      <c r="M110" s="2"/>
      <c r="N110" s="7">
        <f t="shared" si="50"/>
        <v>1.4230769230769231</v>
      </c>
      <c r="O110" s="11"/>
      <c r="P110" s="6">
        <v>22050</v>
      </c>
      <c r="Q110" s="2"/>
      <c r="R110" s="7">
        <f t="shared" si="51"/>
        <v>1.0909046436342544E-2</v>
      </c>
      <c r="S110" s="2"/>
      <c r="T110" s="6">
        <v>9100</v>
      </c>
      <c r="U110" s="2"/>
      <c r="V110" s="7">
        <f t="shared" si="52"/>
        <v>4.9529754981255088E-3</v>
      </c>
      <c r="W110" s="2"/>
      <c r="X110" s="6">
        <f t="shared" si="53"/>
        <v>12950</v>
      </c>
      <c r="Y110" s="2"/>
      <c r="Z110" s="7">
        <f t="shared" si="54"/>
        <v>1.4230769230769231</v>
      </c>
    </row>
    <row r="111" spans="1:26" s="26" customFormat="1" outlineLevel="1" collapsed="1" x14ac:dyDescent="0.25">
      <c r="A111" s="27"/>
      <c r="B111" s="13" t="str">
        <f>CONCATENATE("     ","Professional Services                             ")</f>
        <v xml:space="preserve">     Professional Services                             </v>
      </c>
      <c r="C111" s="13"/>
      <c r="D111" s="1">
        <f>SUM(OSRRefD22_12x_0)</f>
        <v>0</v>
      </c>
      <c r="E111" s="1"/>
      <c r="F111" s="5">
        <f t="shared" si="47"/>
        <v>0</v>
      </c>
      <c r="G111" s="1"/>
      <c r="H111" s="1">
        <f>SUM(OSRRefH22_12x_0)</f>
        <v>0</v>
      </c>
      <c r="I111" s="1"/>
      <c r="J111" s="5">
        <f t="shared" si="48"/>
        <v>0</v>
      </c>
      <c r="K111" s="1"/>
      <c r="L111" s="1">
        <f t="shared" si="49"/>
        <v>0</v>
      </c>
      <c r="M111" s="1"/>
      <c r="N111" s="5">
        <f t="shared" si="50"/>
        <v>0</v>
      </c>
      <c r="O111" s="13"/>
      <c r="P111" s="1">
        <f>SUM(OSRRefP22_12x_0)</f>
        <v>750</v>
      </c>
      <c r="Q111" s="1"/>
      <c r="R111" s="5">
        <f t="shared" si="51"/>
        <v>3.7105600123614094E-4</v>
      </c>
      <c r="S111" s="1"/>
      <c r="T111" s="1">
        <f>SUM(OSRRefT22_12x_0)</f>
        <v>750</v>
      </c>
      <c r="U111" s="1"/>
      <c r="V111" s="5">
        <f t="shared" si="52"/>
        <v>4.0821226632902548E-4</v>
      </c>
      <c r="W111" s="1"/>
      <c r="X111" s="1">
        <f t="shared" si="53"/>
        <v>0</v>
      </c>
      <c r="Y111" s="1"/>
      <c r="Z111" s="5">
        <f t="shared" si="54"/>
        <v>0</v>
      </c>
    </row>
    <row r="112" spans="1:26" s="24" customFormat="1" hidden="1" outlineLevel="2" x14ac:dyDescent="0.25">
      <c r="A112" s="25"/>
      <c r="B112" s="11" t="str">
        <f>CONCATENATE("          ", "6336", " - ", "PROFESSIONAL SERVICES")</f>
        <v xml:space="preserve">          6336 - PROFESSIONAL SERVICES</v>
      </c>
      <c r="C112" s="11"/>
      <c r="D112" s="6"/>
      <c r="E112" s="2"/>
      <c r="F112" s="7">
        <f t="shared" si="47"/>
        <v>0</v>
      </c>
      <c r="G112" s="2"/>
      <c r="H112" s="6"/>
      <c r="I112" s="2"/>
      <c r="J112" s="7">
        <f t="shared" si="48"/>
        <v>0</v>
      </c>
      <c r="K112" s="2"/>
      <c r="L112" s="6">
        <f t="shared" si="49"/>
        <v>0</v>
      </c>
      <c r="M112" s="2"/>
      <c r="N112" s="7">
        <f t="shared" si="50"/>
        <v>0</v>
      </c>
      <c r="O112" s="11"/>
      <c r="P112" s="6">
        <v>750</v>
      </c>
      <c r="Q112" s="2"/>
      <c r="R112" s="7">
        <f t="shared" si="51"/>
        <v>3.7105600123614094E-4</v>
      </c>
      <c r="S112" s="2"/>
      <c r="T112" s="6">
        <v>750</v>
      </c>
      <c r="U112" s="2"/>
      <c r="V112" s="7">
        <f t="shared" si="52"/>
        <v>4.0821226632902548E-4</v>
      </c>
      <c r="W112" s="2"/>
      <c r="X112" s="6">
        <f t="shared" si="53"/>
        <v>0</v>
      </c>
      <c r="Y112" s="2"/>
      <c r="Z112" s="7">
        <f t="shared" si="54"/>
        <v>0</v>
      </c>
    </row>
    <row r="113" spans="1:26" s="26" customFormat="1" outlineLevel="1" collapsed="1" x14ac:dyDescent="0.25">
      <c r="A113" s="27"/>
      <c r="B113" s="13" t="str">
        <f>CONCATENATE("     ","Rent                                              ")</f>
        <v xml:space="preserve">     Rent                                              </v>
      </c>
      <c r="C113" s="13"/>
      <c r="D113" s="1">
        <f>SUM(OSRRefD22_13x_0)</f>
        <v>6900</v>
      </c>
      <c r="E113" s="1"/>
      <c r="F113" s="5">
        <f t="shared" si="47"/>
        <v>2.5560311666882014E-2</v>
      </c>
      <c r="G113" s="1"/>
      <c r="H113" s="1">
        <f>SUM(OSRRefH22_13x_0)</f>
        <v>6900</v>
      </c>
      <c r="I113" s="1"/>
      <c r="J113" s="5">
        <f t="shared" si="48"/>
        <v>2.9920924200975814E-2</v>
      </c>
      <c r="K113" s="1"/>
      <c r="L113" s="1">
        <f t="shared" si="49"/>
        <v>0</v>
      </c>
      <c r="M113" s="1"/>
      <c r="N113" s="5">
        <f t="shared" si="50"/>
        <v>0</v>
      </c>
      <c r="O113" s="13"/>
      <c r="P113" s="1">
        <f>SUM(OSRRefP22_13x_0)</f>
        <v>48300</v>
      </c>
      <c r="Q113" s="1"/>
      <c r="R113" s="5">
        <f t="shared" si="51"/>
        <v>2.3896006479607476E-2</v>
      </c>
      <c r="S113" s="1"/>
      <c r="T113" s="1">
        <f>SUM(OSRRefT22_13x_0)</f>
        <v>48300</v>
      </c>
      <c r="U113" s="1"/>
      <c r="V113" s="5">
        <f t="shared" si="52"/>
        <v>2.6288869951589241E-2</v>
      </c>
      <c r="W113" s="1"/>
      <c r="X113" s="1">
        <f t="shared" si="53"/>
        <v>0</v>
      </c>
      <c r="Y113" s="1"/>
      <c r="Z113" s="5">
        <f t="shared" si="54"/>
        <v>0</v>
      </c>
    </row>
    <row r="114" spans="1:26" s="24" customFormat="1" hidden="1" outlineLevel="2" x14ac:dyDescent="0.25">
      <c r="A114" s="25"/>
      <c r="B114" s="11" t="str">
        <f>CONCATENATE("          ", "6273", " - ", "RENT")</f>
        <v xml:space="preserve">          6273 - RENT</v>
      </c>
      <c r="C114" s="11"/>
      <c r="D114" s="6">
        <v>6900</v>
      </c>
      <c r="E114" s="2"/>
      <c r="F114" s="7">
        <f t="shared" si="47"/>
        <v>2.5560311666882014E-2</v>
      </c>
      <c r="G114" s="2"/>
      <c r="H114" s="6">
        <v>6900</v>
      </c>
      <c r="I114" s="2"/>
      <c r="J114" s="7">
        <f t="shared" si="48"/>
        <v>2.9920924200975814E-2</v>
      </c>
      <c r="K114" s="2"/>
      <c r="L114" s="6">
        <f t="shared" si="49"/>
        <v>0</v>
      </c>
      <c r="M114" s="2"/>
      <c r="N114" s="7">
        <f t="shared" si="50"/>
        <v>0</v>
      </c>
      <c r="O114" s="11"/>
      <c r="P114" s="6">
        <v>48300</v>
      </c>
      <c r="Q114" s="2"/>
      <c r="R114" s="7">
        <f t="shared" si="51"/>
        <v>2.3896006479607476E-2</v>
      </c>
      <c r="S114" s="2"/>
      <c r="T114" s="6">
        <v>48300</v>
      </c>
      <c r="U114" s="2"/>
      <c r="V114" s="7">
        <f t="shared" si="52"/>
        <v>2.6288869951589241E-2</v>
      </c>
      <c r="W114" s="2"/>
      <c r="X114" s="6">
        <f t="shared" si="53"/>
        <v>0</v>
      </c>
      <c r="Y114" s="2"/>
      <c r="Z114" s="7">
        <f t="shared" si="54"/>
        <v>0</v>
      </c>
    </row>
    <row r="115" spans="1:26" s="26" customFormat="1" outlineLevel="1" collapsed="1" x14ac:dyDescent="0.25">
      <c r="A115" s="27"/>
      <c r="B115" s="13" t="str">
        <f>CONCATENATE("     ","Repair and Maintenance                            ")</f>
        <v xml:space="preserve">     Repair and Maintenance                            </v>
      </c>
      <c r="C115" s="13"/>
      <c r="D115" s="1">
        <f>SUM(OSRRefD22_14x_0)</f>
        <v>0</v>
      </c>
      <c r="E115" s="1"/>
      <c r="F115" s="5">
        <f t="shared" si="47"/>
        <v>0</v>
      </c>
      <c r="G115" s="1"/>
      <c r="H115" s="1">
        <f>SUM(OSRRefH22_14x_0)</f>
        <v>103.27</v>
      </c>
      <c r="I115" s="1"/>
      <c r="J115" s="5">
        <f t="shared" si="48"/>
        <v>4.4781649887460468E-4</v>
      </c>
      <c r="K115" s="1"/>
      <c r="L115" s="1">
        <f t="shared" si="49"/>
        <v>-103.27</v>
      </c>
      <c r="M115" s="1"/>
      <c r="N115" s="5">
        <f t="shared" si="50"/>
        <v>-1</v>
      </c>
      <c r="O115" s="13"/>
      <c r="P115" s="1">
        <f>SUM(OSRRefP22_14x_0)</f>
        <v>275.75</v>
      </c>
      <c r="Q115" s="1"/>
      <c r="R115" s="5">
        <f t="shared" si="51"/>
        <v>1.364249231211545E-4</v>
      </c>
      <c r="S115" s="1"/>
      <c r="T115" s="1">
        <f>SUM(OSRRefT22_14x_0)</f>
        <v>818.27</v>
      </c>
      <c r="U115" s="1"/>
      <c r="V115" s="5">
        <f t="shared" si="52"/>
        <v>4.4537046822540224E-4</v>
      </c>
      <c r="W115" s="1"/>
      <c r="X115" s="1">
        <f t="shared" si="53"/>
        <v>-542.52</v>
      </c>
      <c r="Y115" s="1"/>
      <c r="Z115" s="5">
        <f t="shared" si="54"/>
        <v>-0.66300854241265106</v>
      </c>
    </row>
    <row r="116" spans="1:26" s="24" customFormat="1" hidden="1" outlineLevel="2" x14ac:dyDescent="0.25">
      <c r="A116" s="25"/>
      <c r="B116" s="11" t="str">
        <f>CONCATENATE("          ", "6371", " - ", "COMPUTER SOFTWARE MAINTENANCE")</f>
        <v xml:space="preserve">          6371 - COMPUTER SOFTWARE MAINTENANCE</v>
      </c>
      <c r="C116" s="11"/>
      <c r="D116" s="6"/>
      <c r="E116" s="2"/>
      <c r="F116" s="7">
        <f t="shared" si="47"/>
        <v>0</v>
      </c>
      <c r="G116" s="2"/>
      <c r="H116" s="6"/>
      <c r="I116" s="2"/>
      <c r="J116" s="7">
        <f t="shared" si="48"/>
        <v>0</v>
      </c>
      <c r="K116" s="2"/>
      <c r="L116" s="6">
        <f t="shared" si="49"/>
        <v>0</v>
      </c>
      <c r="M116" s="2"/>
      <c r="N116" s="7">
        <f t="shared" si="50"/>
        <v>0</v>
      </c>
      <c r="O116" s="11"/>
      <c r="P116" s="6"/>
      <c r="Q116" s="2"/>
      <c r="R116" s="7">
        <f t="shared" si="51"/>
        <v>0</v>
      </c>
      <c r="S116" s="2"/>
      <c r="T116" s="6">
        <v>186.58</v>
      </c>
      <c r="U116" s="2"/>
      <c r="V116" s="7">
        <f t="shared" si="52"/>
        <v>1.015523262022261E-4</v>
      </c>
      <c r="W116" s="2"/>
      <c r="X116" s="6">
        <f t="shared" si="53"/>
        <v>-186.58</v>
      </c>
      <c r="Y116" s="2"/>
      <c r="Z116" s="7">
        <f t="shared" si="54"/>
        <v>-1</v>
      </c>
    </row>
    <row r="117" spans="1:26" s="24" customFormat="1" hidden="1" outlineLevel="2" x14ac:dyDescent="0.25">
      <c r="A117" s="25"/>
      <c r="B117" s="11" t="str">
        <f>CONCATENATE("          ", "6373", " - ", "MAINTENANCE CONTRACTS")</f>
        <v xml:space="preserve">          6373 - MAINTENANCE CONTRACTS</v>
      </c>
      <c r="C117" s="11"/>
      <c r="D117" s="6"/>
      <c r="E117" s="2"/>
      <c r="F117" s="7">
        <f t="shared" si="47"/>
        <v>0</v>
      </c>
      <c r="G117" s="2"/>
      <c r="H117" s="6"/>
      <c r="I117" s="2"/>
      <c r="J117" s="7">
        <f t="shared" si="48"/>
        <v>0</v>
      </c>
      <c r="K117" s="2"/>
      <c r="L117" s="6">
        <f t="shared" si="49"/>
        <v>0</v>
      </c>
      <c r="M117" s="2"/>
      <c r="N117" s="7">
        <f t="shared" si="50"/>
        <v>0</v>
      </c>
      <c r="O117" s="11"/>
      <c r="P117" s="6">
        <v>93.22</v>
      </c>
      <c r="Q117" s="2"/>
      <c r="R117" s="7">
        <f t="shared" si="51"/>
        <v>4.6119787246977416E-5</v>
      </c>
      <c r="S117" s="2"/>
      <c r="T117" s="6">
        <v>89.96</v>
      </c>
      <c r="U117" s="2"/>
      <c r="V117" s="7">
        <f t="shared" si="52"/>
        <v>4.8963700638612169E-5</v>
      </c>
      <c r="W117" s="2"/>
      <c r="X117" s="6">
        <f t="shared" si="53"/>
        <v>3.2600000000000051</v>
      </c>
      <c r="Y117" s="2"/>
      <c r="Z117" s="7">
        <f t="shared" si="54"/>
        <v>3.6238328145842658E-2</v>
      </c>
    </row>
    <row r="118" spans="1:26" s="24" customFormat="1" hidden="1" outlineLevel="2" x14ac:dyDescent="0.25">
      <c r="A118" s="25"/>
      <c r="B118" s="11" t="str">
        <f>CONCATENATE("          ", "6375", " - ", "OUTSIDE REPAIRS &amp; MAINTENANCE")</f>
        <v xml:space="preserve">          6375 - OUTSIDE REPAIRS &amp; MAINTENANCE</v>
      </c>
      <c r="C118" s="11"/>
      <c r="D118" s="6"/>
      <c r="E118" s="2"/>
      <c r="F118" s="7">
        <f t="shared" si="47"/>
        <v>0</v>
      </c>
      <c r="G118" s="2"/>
      <c r="H118" s="6">
        <v>103.27</v>
      </c>
      <c r="I118" s="2"/>
      <c r="J118" s="7">
        <f t="shared" si="48"/>
        <v>4.4781649887460468E-4</v>
      </c>
      <c r="K118" s="2"/>
      <c r="L118" s="6">
        <f t="shared" si="49"/>
        <v>-103.27</v>
      </c>
      <c r="M118" s="2"/>
      <c r="N118" s="7">
        <f t="shared" si="50"/>
        <v>-1</v>
      </c>
      <c r="O118" s="11"/>
      <c r="P118" s="6">
        <v>182.53</v>
      </c>
      <c r="Q118" s="2"/>
      <c r="R118" s="7">
        <f t="shared" si="51"/>
        <v>9.0305135874177073E-5</v>
      </c>
      <c r="S118" s="2"/>
      <c r="T118" s="6">
        <v>541.73</v>
      </c>
      <c r="U118" s="2"/>
      <c r="V118" s="7">
        <f t="shared" si="52"/>
        <v>2.9485444138456398E-4</v>
      </c>
      <c r="W118" s="2"/>
      <c r="X118" s="6">
        <f t="shared" si="53"/>
        <v>-359.20000000000005</v>
      </c>
      <c r="Y118" s="2"/>
      <c r="Z118" s="7">
        <f t="shared" si="54"/>
        <v>-0.66306093441382241</v>
      </c>
    </row>
    <row r="119" spans="1:26" s="26" customFormat="1" outlineLevel="1" collapsed="1" x14ac:dyDescent="0.25">
      <c r="A119" s="27"/>
      <c r="B119" s="13" t="str">
        <f>CONCATENATE("     ","Royalty &amp; Commissions                             ")</f>
        <v xml:space="preserve">     Royalty &amp; Commissions                             </v>
      </c>
      <c r="C119" s="13"/>
      <c r="D119" s="1">
        <f>SUM(OSRRefD22_15x_0)</f>
        <v>760.81</v>
      </c>
      <c r="E119" s="1"/>
      <c r="F119" s="5">
        <f t="shared" ref="F119:F121" si="55">IF(D$12=0,0,D119/D$12)</f>
        <v>2.8183392346783341E-3</v>
      </c>
      <c r="G119" s="1"/>
      <c r="H119" s="1">
        <f>SUM(OSRRefH22_15x_0)</f>
        <v>9784.25</v>
      </c>
      <c r="I119" s="1"/>
      <c r="J119" s="5">
        <f t="shared" ref="J119:J121" si="56">IF(H$12=0,0,H119/H$12)</f>
        <v>4.2428087335275019E-2</v>
      </c>
      <c r="K119" s="1"/>
      <c r="L119" s="1">
        <f t="shared" ref="L119:L121" si="57">+D119-H119</f>
        <v>-9023.44</v>
      </c>
      <c r="M119" s="1"/>
      <c r="N119" s="5">
        <f t="shared" ref="N119:N121" si="58">IF(H119=0,0,L119/H119)</f>
        <v>-0.92224135728338918</v>
      </c>
      <c r="O119" s="13"/>
      <c r="P119" s="1">
        <f>SUM(OSRRefP22_15x_0)</f>
        <v>7691.6</v>
      </c>
      <c r="Q119" s="1"/>
      <c r="R119" s="5">
        <f t="shared" ref="R119:R121" si="59">IF(P$12=0,0,P119/P$12)</f>
        <v>3.8053524521438693E-3</v>
      </c>
      <c r="S119" s="1"/>
      <c r="T119" s="1">
        <f>SUM(OSRRefT22_15x_0)</f>
        <v>38933.979999999996</v>
      </c>
      <c r="U119" s="1"/>
      <c r="V119" s="5">
        <f t="shared" ref="V119:V121" si="60">IF(T$12=0,0,T119/T$12)</f>
        <v>2.1191104284011934E-2</v>
      </c>
      <c r="W119" s="1"/>
      <c r="X119" s="1">
        <f t="shared" ref="X119:X121" si="61">+P119-T119</f>
        <v>-31242.379999999997</v>
      </c>
      <c r="Y119" s="1"/>
      <c r="Z119" s="5">
        <f t="shared" ref="Z119:Z121" si="62">IF(T119=0,0,X119/T119)</f>
        <v>-0.80244506212824895</v>
      </c>
    </row>
    <row r="120" spans="1:26" s="24" customFormat="1" hidden="1" outlineLevel="2" x14ac:dyDescent="0.25">
      <c r="A120" s="25"/>
      <c r="B120" s="11" t="str">
        <f>CONCATENATE("          ", "6253", " - ", "ROYALTY DUE ATHLETICS-LRG")</f>
        <v xml:space="preserve">          6253 - ROYALTY DUE ATHLETICS-LRG</v>
      </c>
      <c r="C120" s="11"/>
      <c r="D120" s="6"/>
      <c r="E120" s="2"/>
      <c r="F120" s="7">
        <f t="shared" si="55"/>
        <v>0</v>
      </c>
      <c r="G120" s="2"/>
      <c r="H120" s="6">
        <v>9007.2199999999993</v>
      </c>
      <c r="I120" s="2"/>
      <c r="J120" s="7">
        <f t="shared" si="56"/>
        <v>3.905860099732078E-2</v>
      </c>
      <c r="K120" s="2"/>
      <c r="L120" s="6">
        <f t="shared" si="57"/>
        <v>-9007.2199999999993</v>
      </c>
      <c r="M120" s="2"/>
      <c r="N120" s="7">
        <f t="shared" si="58"/>
        <v>-1</v>
      </c>
      <c r="O120" s="11"/>
      <c r="P120" s="6">
        <v>4366.95</v>
      </c>
      <c r="Q120" s="2"/>
      <c r="R120" s="7">
        <f t="shared" si="59"/>
        <v>2.1605106727975542E-3</v>
      </c>
      <c r="S120" s="2"/>
      <c r="T120" s="6">
        <v>35179.64</v>
      </c>
      <c r="U120" s="2"/>
      <c r="V120" s="7">
        <f t="shared" si="60"/>
        <v>1.9147680764052318E-2</v>
      </c>
      <c r="W120" s="2"/>
      <c r="X120" s="6">
        <f t="shared" si="61"/>
        <v>-30812.69</v>
      </c>
      <c r="Y120" s="2"/>
      <c r="Z120" s="7">
        <f t="shared" si="62"/>
        <v>-0.87586712086877516</v>
      </c>
    </row>
    <row r="121" spans="1:26" s="24" customFormat="1" hidden="1" outlineLevel="2" x14ac:dyDescent="0.25">
      <c r="A121" s="25"/>
      <c r="B121" s="11" t="str">
        <f>CONCATENATE("          ", "6254", " - ", "ROYALTY &amp; COMMISSIONS")</f>
        <v xml:space="preserve">          6254 - ROYALTY &amp; COMMISSIONS</v>
      </c>
      <c r="C121" s="11"/>
      <c r="D121" s="6">
        <v>760.81</v>
      </c>
      <c r="E121" s="2"/>
      <c r="F121" s="7">
        <f t="shared" si="55"/>
        <v>2.8183392346783341E-3</v>
      </c>
      <c r="G121" s="2"/>
      <c r="H121" s="6">
        <v>777.03</v>
      </c>
      <c r="I121" s="2"/>
      <c r="J121" s="7">
        <f t="shared" si="56"/>
        <v>3.3694863379542372E-3</v>
      </c>
      <c r="K121" s="2"/>
      <c r="L121" s="6">
        <f t="shared" si="57"/>
        <v>-16.220000000000027</v>
      </c>
      <c r="M121" s="2"/>
      <c r="N121" s="7">
        <f t="shared" si="58"/>
        <v>-2.0874354915511664E-2</v>
      </c>
      <c r="O121" s="11"/>
      <c r="P121" s="6">
        <v>3324.65</v>
      </c>
      <c r="Q121" s="2"/>
      <c r="R121" s="7">
        <f t="shared" si="59"/>
        <v>1.6448417793463147E-3</v>
      </c>
      <c r="S121" s="2"/>
      <c r="T121" s="6">
        <v>3754.34</v>
      </c>
      <c r="U121" s="2"/>
      <c r="V121" s="7">
        <f t="shared" si="60"/>
        <v>2.0434235199596183E-3</v>
      </c>
      <c r="W121" s="2"/>
      <c r="X121" s="6">
        <f t="shared" si="61"/>
        <v>-429.69000000000005</v>
      </c>
      <c r="Y121" s="2"/>
      <c r="Z121" s="7">
        <f t="shared" si="62"/>
        <v>-0.11445154141606781</v>
      </c>
    </row>
    <row r="122" spans="1:26" s="26" customFormat="1" outlineLevel="1" collapsed="1" x14ac:dyDescent="0.25">
      <c r="A122" s="27"/>
      <c r="B122" s="13" t="str">
        <f>CONCATENATE("     ","Services                                          ")</f>
        <v xml:space="preserve">     Services                                          </v>
      </c>
      <c r="C122" s="13"/>
      <c r="D122" s="1">
        <f>SUM(OSRRefD22_16x_0)</f>
        <v>189.45</v>
      </c>
      <c r="E122" s="1"/>
      <c r="F122" s="5">
        <f t="shared" ref="F122:F125" si="63">IF(D$12=0,0,D122/D$12)</f>
        <v>7.0179725294069529E-4</v>
      </c>
      <c r="G122" s="1"/>
      <c r="H122" s="1">
        <f>SUM(OSRRefH22_16x_0)</f>
        <v>224.45999999999998</v>
      </c>
      <c r="I122" s="1"/>
      <c r="J122" s="5">
        <f t="shared" ref="J122:J125" si="64">IF(H$12=0,0,H122/H$12)</f>
        <v>9.733406733552219E-4</v>
      </c>
      <c r="K122" s="1"/>
      <c r="L122" s="1">
        <f t="shared" ref="L122:L125" si="65">+D122-H122</f>
        <v>-35.009999999999991</v>
      </c>
      <c r="M122" s="1"/>
      <c r="N122" s="5">
        <f t="shared" ref="N122:N125" si="66">IF(H122=0,0,L122/H122)</f>
        <v>-0.15597433841218922</v>
      </c>
      <c r="O122" s="13"/>
      <c r="P122" s="1">
        <f>SUM(OSRRefP22_16x_0)</f>
        <v>2191.73</v>
      </c>
      <c r="Q122" s="1"/>
      <c r="R122" s="5">
        <f t="shared" ref="R122:R125" si="67">IF(P$12=0,0,P122/P$12)</f>
        <v>1.0843394261190497E-3</v>
      </c>
      <c r="S122" s="1"/>
      <c r="T122" s="1">
        <f>SUM(OSRRefT22_16x_0)</f>
        <v>1537.67</v>
      </c>
      <c r="U122" s="1"/>
      <c r="V122" s="5">
        <f t="shared" ref="V122:V125" si="68">IF(T$12=0,0,T122/T$12)</f>
        <v>8.3692767408820356E-4</v>
      </c>
      <c r="W122" s="1"/>
      <c r="X122" s="1">
        <f t="shared" ref="X122:X125" si="69">+P122-T122</f>
        <v>654.05999999999995</v>
      </c>
      <c r="Y122" s="1"/>
      <c r="Z122" s="5">
        <f t="shared" ref="Z122:Z125" si="70">IF(T122=0,0,X122/T122)</f>
        <v>0.42535784661208187</v>
      </c>
    </row>
    <row r="123" spans="1:26" s="24" customFormat="1" hidden="1" outlineLevel="2" x14ac:dyDescent="0.25">
      <c r="A123" s="25"/>
      <c r="B123" s="11" t="str">
        <f>CONCATENATE("          ", "6283", " - ", "PLANT SERVICE")</f>
        <v xml:space="preserve">          6283 - PLANT SERVICE</v>
      </c>
      <c r="C123" s="11"/>
      <c r="D123" s="6"/>
      <c r="E123" s="2"/>
      <c r="F123" s="7">
        <f t="shared" si="63"/>
        <v>0</v>
      </c>
      <c r="G123" s="2"/>
      <c r="H123" s="6">
        <v>56</v>
      </c>
      <c r="I123" s="2"/>
      <c r="J123" s="7">
        <f t="shared" si="64"/>
        <v>2.4283648626878922E-4</v>
      </c>
      <c r="K123" s="2"/>
      <c r="L123" s="6">
        <f t="shared" si="65"/>
        <v>-56</v>
      </c>
      <c r="M123" s="2"/>
      <c r="N123" s="7">
        <f t="shared" si="66"/>
        <v>-1</v>
      </c>
      <c r="O123" s="11"/>
      <c r="P123" s="6">
        <v>178.65</v>
      </c>
      <c r="Q123" s="2"/>
      <c r="R123" s="7">
        <f t="shared" si="67"/>
        <v>8.8385539494448777E-5</v>
      </c>
      <c r="S123" s="2"/>
      <c r="T123" s="6">
        <v>392</v>
      </c>
      <c r="U123" s="2"/>
      <c r="V123" s="7">
        <f t="shared" si="68"/>
        <v>2.1335894453463732E-4</v>
      </c>
      <c r="W123" s="2"/>
      <c r="X123" s="6">
        <f t="shared" si="69"/>
        <v>-213.35</v>
      </c>
      <c r="Y123" s="2"/>
      <c r="Z123" s="7">
        <f t="shared" si="70"/>
        <v>-0.54426020408163267</v>
      </c>
    </row>
    <row r="124" spans="1:26" s="24" customFormat="1" hidden="1" outlineLevel="2" x14ac:dyDescent="0.25">
      <c r="A124" s="25"/>
      <c r="B124" s="11" t="str">
        <f>CONCATENATE("          ", "6284", " - ", "TRASH REMOVAL EXPENSE")</f>
        <v xml:space="preserve">          6284 - TRASH REMOVAL EXPENSE</v>
      </c>
      <c r="C124" s="11"/>
      <c r="D124" s="6">
        <v>134.82</v>
      </c>
      <c r="E124" s="2"/>
      <c r="F124" s="7">
        <f t="shared" si="63"/>
        <v>4.9942626361290329E-4</v>
      </c>
      <c r="G124" s="2"/>
      <c r="H124" s="6">
        <v>121.46</v>
      </c>
      <c r="I124" s="2"/>
      <c r="J124" s="7">
        <f t="shared" si="64"/>
        <v>5.2669499325369888E-4</v>
      </c>
      <c r="K124" s="2"/>
      <c r="L124" s="6">
        <f t="shared" si="65"/>
        <v>13.36</v>
      </c>
      <c r="M124" s="2"/>
      <c r="N124" s="7">
        <f t="shared" si="66"/>
        <v>0.10999506010209123</v>
      </c>
      <c r="O124" s="11"/>
      <c r="P124" s="6">
        <v>943.74</v>
      </c>
      <c r="Q124" s="2"/>
      <c r="R124" s="7">
        <f t="shared" si="67"/>
        <v>4.669071874754609E-4</v>
      </c>
      <c r="S124" s="2"/>
      <c r="T124" s="6">
        <v>850.22</v>
      </c>
      <c r="U124" s="2"/>
      <c r="V124" s="7">
        <f t="shared" si="68"/>
        <v>4.6276031077101872E-4</v>
      </c>
      <c r="W124" s="2"/>
      <c r="X124" s="6">
        <f t="shared" si="69"/>
        <v>93.519999999999982</v>
      </c>
      <c r="Y124" s="2"/>
      <c r="Z124" s="7">
        <f t="shared" si="70"/>
        <v>0.1099950601020912</v>
      </c>
    </row>
    <row r="125" spans="1:26" s="24" customFormat="1" hidden="1" outlineLevel="2" x14ac:dyDescent="0.25">
      <c r="A125" s="25"/>
      <c r="B125" s="11" t="str">
        <f>CONCATENATE("          ", "6285", " - ", "JANITORIAL SERVICES")</f>
        <v xml:space="preserve">          6285 - JANITORIAL SERVICES</v>
      </c>
      <c r="C125" s="11"/>
      <c r="D125" s="6">
        <v>54.63</v>
      </c>
      <c r="E125" s="2"/>
      <c r="F125" s="7">
        <f t="shared" si="63"/>
        <v>2.0237098932779195E-4</v>
      </c>
      <c r="G125" s="2"/>
      <c r="H125" s="6">
        <v>47</v>
      </c>
      <c r="I125" s="2"/>
      <c r="J125" s="7">
        <f t="shared" si="64"/>
        <v>2.0380919383273383E-4</v>
      </c>
      <c r="K125" s="2"/>
      <c r="L125" s="6">
        <f t="shared" si="65"/>
        <v>7.6300000000000026</v>
      </c>
      <c r="M125" s="2"/>
      <c r="N125" s="7">
        <f t="shared" si="66"/>
        <v>0.16234042553191494</v>
      </c>
      <c r="O125" s="11"/>
      <c r="P125" s="6">
        <v>1069.3399999999999</v>
      </c>
      <c r="Q125" s="2"/>
      <c r="R125" s="7">
        <f t="shared" si="67"/>
        <v>5.2904669914913987E-4</v>
      </c>
      <c r="S125" s="2"/>
      <c r="T125" s="6">
        <v>295.45</v>
      </c>
      <c r="U125" s="2"/>
      <c r="V125" s="7">
        <f t="shared" si="68"/>
        <v>1.6080841878254743E-4</v>
      </c>
      <c r="W125" s="2"/>
      <c r="X125" s="6">
        <f t="shared" si="69"/>
        <v>773.88999999999987</v>
      </c>
      <c r="Y125" s="2"/>
      <c r="Z125" s="7">
        <f t="shared" si="70"/>
        <v>2.619360297850736</v>
      </c>
    </row>
    <row r="126" spans="1:26" s="26" customFormat="1" outlineLevel="1" collapsed="1" x14ac:dyDescent="0.25">
      <c r="A126" s="27"/>
      <c r="B126" s="13" t="str">
        <f>CONCATENATE("     ","Subscriptions &amp; Dues                              ")</f>
        <v xml:space="preserve">     Subscriptions &amp; Dues                              </v>
      </c>
      <c r="C126" s="13"/>
      <c r="D126" s="1">
        <f>SUM(OSRRefD22_17x_0)</f>
        <v>75</v>
      </c>
      <c r="E126" s="1"/>
      <c r="F126" s="5">
        <f t="shared" ref="F126:F128" si="71">IF(D$12=0,0,D126/D$12)</f>
        <v>2.7782947464002189E-4</v>
      </c>
      <c r="G126" s="1"/>
      <c r="H126" s="1">
        <f>SUM(OSRRefH22_17x_0)</f>
        <v>129.97999999999999</v>
      </c>
      <c r="I126" s="1"/>
      <c r="J126" s="5">
        <f t="shared" ref="J126:J128" si="72">IF(H$12=0,0,H126/H$12)</f>
        <v>5.6364083009316469E-4</v>
      </c>
      <c r="K126" s="1"/>
      <c r="L126" s="1">
        <f t="shared" ref="L126:L128" si="73">+D126-H126</f>
        <v>-54.97999999999999</v>
      </c>
      <c r="M126" s="1"/>
      <c r="N126" s="5">
        <f t="shared" ref="N126:N128" si="74">IF(H126=0,0,L126/H126)</f>
        <v>-0.42298815202338819</v>
      </c>
      <c r="O126" s="13"/>
      <c r="P126" s="1">
        <f>SUM(OSRRefP22_17x_0)</f>
        <v>460.06</v>
      </c>
      <c r="Q126" s="1"/>
      <c r="R126" s="5">
        <f t="shared" ref="R126:R128" si="75">IF(P$12=0,0,P126/P$12)</f>
        <v>2.2761069857159868E-4</v>
      </c>
      <c r="S126" s="1"/>
      <c r="T126" s="1">
        <f>SUM(OSRRefT22_17x_0)</f>
        <v>1469.84</v>
      </c>
      <c r="U126" s="1"/>
      <c r="V126" s="5">
        <f t="shared" ref="V126:V128" si="76">IF(T$12=0,0,T126/T$12)</f>
        <v>8.0000895672140636E-4</v>
      </c>
      <c r="W126" s="1"/>
      <c r="X126" s="1">
        <f t="shared" ref="X126:X128" si="77">+P126-T126</f>
        <v>-1009.78</v>
      </c>
      <c r="Y126" s="1"/>
      <c r="Z126" s="5">
        <f t="shared" ref="Z126:Z128" si="78">IF(T126=0,0,X126/T126)</f>
        <v>-0.68699994557230726</v>
      </c>
    </row>
    <row r="127" spans="1:26" s="24" customFormat="1" hidden="1" outlineLevel="2" x14ac:dyDescent="0.25">
      <c r="A127" s="25"/>
      <c r="B127" s="11" t="str">
        <f>CONCATENATE("          ", "6258", " - ", "MEMBERSHIP DUES")</f>
        <v xml:space="preserve">          6258 - MEMBERSHIP DUES</v>
      </c>
      <c r="C127" s="11"/>
      <c r="D127" s="6"/>
      <c r="E127" s="2"/>
      <c r="F127" s="7">
        <f t="shared" si="71"/>
        <v>0</v>
      </c>
      <c r="G127" s="2"/>
      <c r="H127" s="6"/>
      <c r="I127" s="2"/>
      <c r="J127" s="7">
        <f t="shared" si="72"/>
        <v>0</v>
      </c>
      <c r="K127" s="2"/>
      <c r="L127" s="6">
        <f t="shared" si="73"/>
        <v>0</v>
      </c>
      <c r="M127" s="2"/>
      <c r="N127" s="7">
        <f t="shared" si="74"/>
        <v>0</v>
      </c>
      <c r="O127" s="11"/>
      <c r="P127" s="6"/>
      <c r="Q127" s="2"/>
      <c r="R127" s="7">
        <f t="shared" si="75"/>
        <v>0</v>
      </c>
      <c r="S127" s="2"/>
      <c r="T127" s="6">
        <v>51.48</v>
      </c>
      <c r="U127" s="2"/>
      <c r="V127" s="7">
        <f t="shared" si="76"/>
        <v>2.8019689960824307E-5</v>
      </c>
      <c r="W127" s="2"/>
      <c r="X127" s="6">
        <f t="shared" si="77"/>
        <v>-51.48</v>
      </c>
      <c r="Y127" s="2"/>
      <c r="Z127" s="7">
        <f t="shared" si="78"/>
        <v>-1</v>
      </c>
    </row>
    <row r="128" spans="1:26" s="24" customFormat="1" hidden="1" outlineLevel="2" x14ac:dyDescent="0.25">
      <c r="A128" s="25"/>
      <c r="B128" s="11" t="str">
        <f>CONCATENATE("          ", "6275", " - ", "SUBSCRIPTIONS")</f>
        <v xml:space="preserve">          6275 - SUBSCRIPTIONS</v>
      </c>
      <c r="C128" s="11"/>
      <c r="D128" s="6">
        <v>75</v>
      </c>
      <c r="E128" s="2"/>
      <c r="F128" s="7">
        <f t="shared" si="71"/>
        <v>2.7782947464002189E-4</v>
      </c>
      <c r="G128" s="2"/>
      <c r="H128" s="6">
        <v>129.97999999999999</v>
      </c>
      <c r="I128" s="2"/>
      <c r="J128" s="7">
        <f t="shared" si="72"/>
        <v>5.6364083009316469E-4</v>
      </c>
      <c r="K128" s="2"/>
      <c r="L128" s="6">
        <f t="shared" si="73"/>
        <v>-54.97999999999999</v>
      </c>
      <c r="M128" s="2"/>
      <c r="N128" s="7">
        <f t="shared" si="74"/>
        <v>-0.42298815202338819</v>
      </c>
      <c r="O128" s="11"/>
      <c r="P128" s="6">
        <v>460.06</v>
      </c>
      <c r="Q128" s="2"/>
      <c r="R128" s="7">
        <f t="shared" si="75"/>
        <v>2.2761069857159868E-4</v>
      </c>
      <c r="S128" s="2"/>
      <c r="T128" s="6">
        <v>1418.36</v>
      </c>
      <c r="U128" s="2"/>
      <c r="V128" s="7">
        <f t="shared" si="76"/>
        <v>7.719892667605821E-4</v>
      </c>
      <c r="W128" s="2"/>
      <c r="X128" s="6">
        <f t="shared" si="77"/>
        <v>-958.3</v>
      </c>
      <c r="Y128" s="2"/>
      <c r="Z128" s="7">
        <f t="shared" si="78"/>
        <v>-0.67563947093826671</v>
      </c>
    </row>
    <row r="129" spans="1:26" s="26" customFormat="1" outlineLevel="1" collapsed="1" x14ac:dyDescent="0.25">
      <c r="A129" s="27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SUM(OSRRefD22_18x_0)</f>
        <v>1997.74</v>
      </c>
      <c r="E129" s="1"/>
      <c r="F129" s="5">
        <f t="shared" ref="F129:F135" si="79">IF(D$12=0,0,D129/D$12)</f>
        <v>7.4004140622314311E-3</v>
      </c>
      <c r="G129" s="1"/>
      <c r="H129" s="1">
        <f>SUM(OSRRefH22_18x_0)</f>
        <v>1836.77</v>
      </c>
      <c r="I129" s="1"/>
      <c r="J129" s="5">
        <f t="shared" ref="J129:J135" si="80">IF(H$12=0,0,H129/H$12)</f>
        <v>7.9649066586414997E-3</v>
      </c>
      <c r="K129" s="1"/>
      <c r="L129" s="1">
        <f t="shared" ref="L129:L135" si="81">+D129-H129</f>
        <v>160.97000000000003</v>
      </c>
      <c r="M129" s="1"/>
      <c r="N129" s="5">
        <f t="shared" ref="N129:N135" si="82">IF(H129=0,0,L129/H129)</f>
        <v>8.7637537633998827E-2</v>
      </c>
      <c r="O129" s="13"/>
      <c r="P129" s="1">
        <f>SUM(OSRRefP22_18x_0)</f>
        <v>5908.58</v>
      </c>
      <c r="Q129" s="1"/>
      <c r="R129" s="5">
        <f t="shared" ref="R129:R135" si="83">IF(P$12=0,0,P129/P$12)</f>
        <v>2.9232187570451171E-3</v>
      </c>
      <c r="S129" s="1"/>
      <c r="T129" s="1">
        <f>SUM(OSRRefT22_18x_0)</f>
        <v>5856.98</v>
      </c>
      <c r="U129" s="1"/>
      <c r="V129" s="5">
        <f t="shared" ref="V129:V135" si="84">IF(T$12=0,0,T129/T$12)</f>
        <v>3.1878547728583671E-3</v>
      </c>
      <c r="W129" s="1"/>
      <c r="X129" s="1">
        <f t="shared" ref="X129:X135" si="85">+P129-T129</f>
        <v>51.600000000000364</v>
      </c>
      <c r="Y129" s="1"/>
      <c r="Z129" s="5">
        <f t="shared" ref="Z129:Z135" si="86">IF(T129=0,0,X129/T129)</f>
        <v>8.8100010585660821E-3</v>
      </c>
    </row>
    <row r="130" spans="1:26" s="24" customFormat="1" hidden="1" outlineLevel="2" x14ac:dyDescent="0.25">
      <c r="A130" s="25"/>
      <c r="B130" s="11" t="str">
        <f>CONCATENATE("          ", "6234", " - ", "EXPENDABLE SUPPLIES &amp; EQUIPMEN")</f>
        <v xml:space="preserve">          6234 - EXPENDABLE SUPPLIES &amp; EQUIPMEN</v>
      </c>
      <c r="C130" s="11"/>
      <c r="D130" s="6">
        <v>815.78</v>
      </c>
      <c r="E130" s="2"/>
      <c r="F130" s="7">
        <f t="shared" si="79"/>
        <v>3.0219697176244939E-3</v>
      </c>
      <c r="G130" s="2"/>
      <c r="H130" s="6"/>
      <c r="I130" s="2"/>
      <c r="J130" s="7">
        <f t="shared" si="80"/>
        <v>0</v>
      </c>
      <c r="K130" s="2"/>
      <c r="L130" s="6">
        <f t="shared" si="81"/>
        <v>815.78</v>
      </c>
      <c r="M130" s="2"/>
      <c r="N130" s="7">
        <f t="shared" si="82"/>
        <v>0</v>
      </c>
      <c r="O130" s="11"/>
      <c r="P130" s="6">
        <v>836.14</v>
      </c>
      <c r="Q130" s="2"/>
      <c r="R130" s="7">
        <f t="shared" si="83"/>
        <v>4.1367301983144918E-4</v>
      </c>
      <c r="S130" s="2"/>
      <c r="T130" s="6">
        <v>324.18</v>
      </c>
      <c r="U130" s="2"/>
      <c r="V130" s="7">
        <f t="shared" si="84"/>
        <v>1.7644566999805797E-4</v>
      </c>
      <c r="W130" s="2"/>
      <c r="X130" s="6">
        <f t="shared" si="85"/>
        <v>511.96</v>
      </c>
      <c r="Y130" s="2"/>
      <c r="Z130" s="7">
        <f t="shared" si="86"/>
        <v>1.5792460978468752</v>
      </c>
    </row>
    <row r="131" spans="1:26" s="24" customFormat="1" hidden="1" outlineLevel="2" x14ac:dyDescent="0.25">
      <c r="A131" s="25"/>
      <c r="B131" s="11" t="str">
        <f>CONCATENATE("          ", "6237", " - ", "JANITORIAL SUPPLIES")</f>
        <v xml:space="preserve">          6237 - JANITORIAL SUPPLIES</v>
      </c>
      <c r="C131" s="11"/>
      <c r="D131" s="6"/>
      <c r="E131" s="2"/>
      <c r="F131" s="7">
        <f t="shared" si="79"/>
        <v>0</v>
      </c>
      <c r="G131" s="2"/>
      <c r="H131" s="6"/>
      <c r="I131" s="2"/>
      <c r="J131" s="7">
        <f t="shared" si="80"/>
        <v>0</v>
      </c>
      <c r="K131" s="2"/>
      <c r="L131" s="6">
        <f t="shared" si="81"/>
        <v>0</v>
      </c>
      <c r="M131" s="2"/>
      <c r="N131" s="7">
        <f t="shared" si="82"/>
        <v>0</v>
      </c>
      <c r="O131" s="11"/>
      <c r="P131" s="6">
        <v>287.72000000000003</v>
      </c>
      <c r="Q131" s="2"/>
      <c r="R131" s="7">
        <f t="shared" si="83"/>
        <v>1.423469769008833E-4</v>
      </c>
      <c r="S131" s="2"/>
      <c r="T131" s="6">
        <v>177.88</v>
      </c>
      <c r="U131" s="2"/>
      <c r="V131" s="7">
        <f t="shared" si="84"/>
        <v>9.6817063912809403E-5</v>
      </c>
      <c r="W131" s="2"/>
      <c r="X131" s="6">
        <f t="shared" si="85"/>
        <v>109.84000000000003</v>
      </c>
      <c r="Y131" s="2"/>
      <c r="Z131" s="7">
        <f t="shared" si="86"/>
        <v>0.61749494040926489</v>
      </c>
    </row>
    <row r="132" spans="1:26" s="24" customFormat="1" hidden="1" outlineLevel="2" x14ac:dyDescent="0.25">
      <c r="A132" s="25"/>
      <c r="B132" s="11" t="str">
        <f>CONCATENATE("          ", "6241", " - ", "OFFICE EXPENSE")</f>
        <v xml:space="preserve">          6241 - OFFICE EXPENSE</v>
      </c>
      <c r="C132" s="11"/>
      <c r="D132" s="6">
        <v>630.52</v>
      </c>
      <c r="E132" s="2"/>
      <c r="F132" s="7">
        <f t="shared" si="79"/>
        <v>2.3356938713336882E-3</v>
      </c>
      <c r="G132" s="2"/>
      <c r="H132" s="6">
        <v>307.2</v>
      </c>
      <c r="I132" s="2"/>
      <c r="J132" s="7">
        <f t="shared" si="80"/>
        <v>1.332131581817358E-3</v>
      </c>
      <c r="K132" s="2"/>
      <c r="L132" s="6">
        <f t="shared" si="81"/>
        <v>323.32</v>
      </c>
      <c r="M132" s="2"/>
      <c r="N132" s="7">
        <f t="shared" si="82"/>
        <v>1.0524739583333333</v>
      </c>
      <c r="O132" s="11"/>
      <c r="P132" s="6">
        <v>4508.49</v>
      </c>
      <c r="Q132" s="2"/>
      <c r="R132" s="7">
        <f t="shared" si="83"/>
        <v>2.2305363613508386E-3</v>
      </c>
      <c r="S132" s="2"/>
      <c r="T132" s="6">
        <v>2092.89</v>
      </c>
      <c r="U132" s="2"/>
      <c r="V132" s="7">
        <f t="shared" si="84"/>
        <v>1.1391244934364721E-3</v>
      </c>
      <c r="W132" s="2"/>
      <c r="X132" s="6">
        <f t="shared" si="85"/>
        <v>2415.6</v>
      </c>
      <c r="Y132" s="2"/>
      <c r="Z132" s="7">
        <f t="shared" si="86"/>
        <v>1.1541934836517924</v>
      </c>
    </row>
    <row r="133" spans="1:26" s="24" customFormat="1" hidden="1" outlineLevel="2" x14ac:dyDescent="0.25">
      <c r="A133" s="25"/>
      <c r="B133" s="11" t="str">
        <f>CONCATENATE("          ", "6245", " - ", "PRINTING")</f>
        <v xml:space="preserve">          6245 - PRINTING</v>
      </c>
      <c r="C133" s="11"/>
      <c r="D133" s="6">
        <v>110.25</v>
      </c>
      <c r="E133" s="2"/>
      <c r="F133" s="7">
        <f t="shared" si="79"/>
        <v>4.0840932772083217E-4</v>
      </c>
      <c r="G133" s="2"/>
      <c r="H133" s="6"/>
      <c r="I133" s="2"/>
      <c r="J133" s="7">
        <f t="shared" si="80"/>
        <v>0</v>
      </c>
      <c r="K133" s="2"/>
      <c r="L133" s="6">
        <f t="shared" si="81"/>
        <v>110.25</v>
      </c>
      <c r="M133" s="2"/>
      <c r="N133" s="7">
        <f t="shared" si="82"/>
        <v>0</v>
      </c>
      <c r="O133" s="11"/>
      <c r="P133" s="6">
        <v>-506.93</v>
      </c>
      <c r="Q133" s="2"/>
      <c r="R133" s="7">
        <f t="shared" si="83"/>
        <v>-2.5079922494218257E-4</v>
      </c>
      <c r="S133" s="2"/>
      <c r="T133" s="6">
        <v>970.75</v>
      </c>
      <c r="U133" s="2"/>
      <c r="V133" s="7">
        <f t="shared" si="84"/>
        <v>5.2836274338520202E-4</v>
      </c>
      <c r="W133" s="2"/>
      <c r="X133" s="6">
        <f t="shared" si="85"/>
        <v>-1477.68</v>
      </c>
      <c r="Y133" s="2"/>
      <c r="Z133" s="7">
        <f t="shared" si="86"/>
        <v>-1.5222044810713367</v>
      </c>
    </row>
    <row r="134" spans="1:26" s="24" customFormat="1" hidden="1" outlineLevel="2" x14ac:dyDescent="0.25">
      <c r="A134" s="25"/>
      <c r="B134" s="11" t="str">
        <f>CONCATENATE("          ", "6247", " - ", "STORE SUPPLIES")</f>
        <v xml:space="preserve">          6247 - STORE SUPPLIES</v>
      </c>
      <c r="C134" s="11"/>
      <c r="D134" s="6">
        <v>441.19</v>
      </c>
      <c r="E134" s="2"/>
      <c r="F134" s="7">
        <f t="shared" si="79"/>
        <v>1.6343411455524168E-3</v>
      </c>
      <c r="G134" s="2"/>
      <c r="H134" s="6">
        <v>1053.29</v>
      </c>
      <c r="I134" s="2"/>
      <c r="J134" s="7">
        <f t="shared" si="80"/>
        <v>4.5674507611080896E-3</v>
      </c>
      <c r="K134" s="2"/>
      <c r="L134" s="6">
        <f t="shared" si="81"/>
        <v>-612.09999999999991</v>
      </c>
      <c r="M134" s="2"/>
      <c r="N134" s="7">
        <f t="shared" si="82"/>
        <v>-0.58113150224534549</v>
      </c>
      <c r="O134" s="11"/>
      <c r="P134" s="6">
        <v>783.16</v>
      </c>
      <c r="Q134" s="2"/>
      <c r="R134" s="7">
        <f t="shared" si="83"/>
        <v>3.874616239041282E-4</v>
      </c>
      <c r="S134" s="2"/>
      <c r="T134" s="6">
        <v>1716</v>
      </c>
      <c r="U134" s="2"/>
      <c r="V134" s="7">
        <f t="shared" si="84"/>
        <v>9.3398966536081026E-4</v>
      </c>
      <c r="W134" s="2"/>
      <c r="X134" s="6">
        <f t="shared" si="85"/>
        <v>-932.84</v>
      </c>
      <c r="Y134" s="2"/>
      <c r="Z134" s="7">
        <f t="shared" si="86"/>
        <v>-0.54361305361305368</v>
      </c>
    </row>
    <row r="135" spans="1:26" s="24" customFormat="1" hidden="1" outlineLevel="2" x14ac:dyDescent="0.25">
      <c r="A135" s="25"/>
      <c r="B135" s="11" t="str">
        <f>CONCATENATE("          ", "6248", " - ", "UNIFORMS")</f>
        <v xml:space="preserve">          6248 - UNIFORMS</v>
      </c>
      <c r="C135" s="11"/>
      <c r="D135" s="6"/>
      <c r="E135" s="2"/>
      <c r="F135" s="7">
        <f t="shared" si="79"/>
        <v>0</v>
      </c>
      <c r="G135" s="2"/>
      <c r="H135" s="6">
        <v>476.28</v>
      </c>
      <c r="I135" s="2"/>
      <c r="J135" s="7">
        <f t="shared" si="80"/>
        <v>2.0653243157160522E-3</v>
      </c>
      <c r="K135" s="2"/>
      <c r="L135" s="6">
        <f t="shared" si="81"/>
        <v>-476.28</v>
      </c>
      <c r="M135" s="2"/>
      <c r="N135" s="7">
        <f t="shared" si="82"/>
        <v>-1</v>
      </c>
      <c r="O135" s="11"/>
      <c r="P135" s="6"/>
      <c r="Q135" s="2"/>
      <c r="R135" s="7">
        <f t="shared" si="83"/>
        <v>0</v>
      </c>
      <c r="S135" s="2"/>
      <c r="T135" s="6">
        <v>575.28</v>
      </c>
      <c r="U135" s="2"/>
      <c r="V135" s="7">
        <f t="shared" si="84"/>
        <v>3.1311513676501569E-4</v>
      </c>
      <c r="W135" s="2"/>
      <c r="X135" s="6">
        <f t="shared" si="85"/>
        <v>-575.28</v>
      </c>
      <c r="Y135" s="2"/>
      <c r="Z135" s="7">
        <f t="shared" si="86"/>
        <v>-1</v>
      </c>
    </row>
    <row r="136" spans="1:26" s="26" customFormat="1" outlineLevel="1" collapsed="1" x14ac:dyDescent="0.25">
      <c r="A136" s="27"/>
      <c r="B136" s="13" t="str">
        <f>CONCATENATE("     ","Telephone/Data Lines                              ")</f>
        <v xml:space="preserve">     Telephone/Data Lines                              </v>
      </c>
      <c r="C136" s="13"/>
      <c r="D136" s="1">
        <f>SUM(OSRRefD22_19x_0)</f>
        <v>614.79999999999995</v>
      </c>
      <c r="E136" s="1"/>
      <c r="F136" s="5">
        <f t="shared" ref="F136:F142" si="87">IF(D$12=0,0,D136/D$12)</f>
        <v>2.2774608134491395E-3</v>
      </c>
      <c r="G136" s="1"/>
      <c r="H136" s="1">
        <f>SUM(OSRRefH22_19x_0)</f>
        <v>161.51</v>
      </c>
      <c r="I136" s="1"/>
      <c r="J136" s="5">
        <f t="shared" ref="J136:J142" si="88">IF(H$12=0,0,H136/H$12)</f>
        <v>7.0036644459414547E-4</v>
      </c>
      <c r="K136" s="1"/>
      <c r="L136" s="1">
        <f t="shared" ref="L136:L142" si="89">+D136-H136</f>
        <v>453.28999999999996</v>
      </c>
      <c r="M136" s="1"/>
      <c r="N136" s="5">
        <f t="shared" ref="N136:N142" si="90">IF(H136=0,0,L136/H136)</f>
        <v>2.8065754442449382</v>
      </c>
      <c r="O136" s="13"/>
      <c r="P136" s="1">
        <f>SUM(OSRRefP22_19x_0)</f>
        <v>5859.14</v>
      </c>
      <c r="Q136" s="1"/>
      <c r="R136" s="5">
        <f t="shared" ref="R136:R142" si="91">IF(P$12=0,0,P136/P$12)</f>
        <v>2.8987587454436308E-3</v>
      </c>
      <c r="S136" s="1"/>
      <c r="T136" s="1">
        <f>SUM(OSRRefT22_19x_0)</f>
        <v>5756.67</v>
      </c>
      <c r="U136" s="1"/>
      <c r="V136" s="5">
        <f t="shared" ref="V136:V142" si="92">IF(T$12=0,0,T136/T$12)</f>
        <v>3.1332577429444147E-3</v>
      </c>
      <c r="W136" s="1"/>
      <c r="X136" s="1">
        <f t="shared" ref="X136:X142" si="93">+P136-T136</f>
        <v>102.47000000000025</v>
      </c>
      <c r="Y136" s="1"/>
      <c r="Z136" s="5">
        <f t="shared" ref="Z136:Z142" si="94">IF(T136=0,0,X136/T136)</f>
        <v>1.7800221308499575E-2</v>
      </c>
    </row>
    <row r="137" spans="1:26" s="24" customFormat="1" hidden="1" outlineLevel="2" x14ac:dyDescent="0.25">
      <c r="A137" s="25"/>
      <c r="B137" s="11" t="str">
        <f>CONCATENATE("          ", "6309", " - ", "TELEPHONE")</f>
        <v xml:space="preserve">          6309 - TELEPHONE</v>
      </c>
      <c r="C137" s="11"/>
      <c r="D137" s="6">
        <v>614.79999999999995</v>
      </c>
      <c r="E137" s="2"/>
      <c r="F137" s="7">
        <f t="shared" si="87"/>
        <v>2.2774608134491395E-3</v>
      </c>
      <c r="G137" s="2"/>
      <c r="H137" s="6">
        <v>161.51</v>
      </c>
      <c r="I137" s="2"/>
      <c r="J137" s="7">
        <f t="shared" si="88"/>
        <v>7.0036644459414547E-4</v>
      </c>
      <c r="K137" s="2"/>
      <c r="L137" s="6">
        <f t="shared" si="89"/>
        <v>453.28999999999996</v>
      </c>
      <c r="M137" s="2"/>
      <c r="N137" s="7">
        <f t="shared" si="90"/>
        <v>2.8065754442449382</v>
      </c>
      <c r="O137" s="11"/>
      <c r="P137" s="6">
        <v>5859.14</v>
      </c>
      <c r="Q137" s="2"/>
      <c r="R137" s="7">
        <f t="shared" si="91"/>
        <v>2.8987587454436308E-3</v>
      </c>
      <c r="S137" s="2"/>
      <c r="T137" s="6">
        <v>5756.67</v>
      </c>
      <c r="U137" s="2"/>
      <c r="V137" s="7">
        <f t="shared" si="92"/>
        <v>3.1332577429444147E-3</v>
      </c>
      <c r="W137" s="2"/>
      <c r="X137" s="6">
        <f t="shared" si="93"/>
        <v>102.47000000000025</v>
      </c>
      <c r="Y137" s="2"/>
      <c r="Z137" s="7">
        <f t="shared" si="94"/>
        <v>1.7800221308499575E-2</v>
      </c>
    </row>
    <row r="138" spans="1:26" s="26" customFormat="1" outlineLevel="1" collapsed="1" x14ac:dyDescent="0.25">
      <c r="A138" s="27"/>
      <c r="B138" s="13" t="str">
        <f>CONCATENATE("     ","Training                                          ")</f>
        <v xml:space="preserve">     Training                                          </v>
      </c>
      <c r="C138" s="13"/>
      <c r="D138" s="1">
        <f>SUM(OSRRefD22_20x_0)</f>
        <v>0</v>
      </c>
      <c r="E138" s="1"/>
      <c r="F138" s="5">
        <f t="shared" si="87"/>
        <v>0</v>
      </c>
      <c r="G138" s="1"/>
      <c r="H138" s="1">
        <f>SUM(OSRRefH22_20x_0)</f>
        <v>-652.5</v>
      </c>
      <c r="I138" s="1"/>
      <c r="J138" s="5">
        <f t="shared" si="88"/>
        <v>-2.8294787016140172E-3</v>
      </c>
      <c r="K138" s="1"/>
      <c r="L138" s="1">
        <f t="shared" si="89"/>
        <v>652.5</v>
      </c>
      <c r="M138" s="1"/>
      <c r="N138" s="5">
        <f t="shared" si="90"/>
        <v>-1</v>
      </c>
      <c r="O138" s="13"/>
      <c r="P138" s="1">
        <f>SUM(OSRRefP22_20x_0)</f>
        <v>1379.18</v>
      </c>
      <c r="Q138" s="1"/>
      <c r="R138" s="5">
        <f t="shared" si="91"/>
        <v>6.8233735437981454E-4</v>
      </c>
      <c r="S138" s="1"/>
      <c r="T138" s="1">
        <f>SUM(OSRRefT22_20x_0)</f>
        <v>843.28</v>
      </c>
      <c r="U138" s="1"/>
      <c r="V138" s="5">
        <f t="shared" si="92"/>
        <v>4.5898298659992077E-4</v>
      </c>
      <c r="W138" s="1"/>
      <c r="X138" s="1">
        <f t="shared" si="93"/>
        <v>535.90000000000009</v>
      </c>
      <c r="Y138" s="1"/>
      <c r="Z138" s="5">
        <f t="shared" si="94"/>
        <v>0.6354947348448915</v>
      </c>
    </row>
    <row r="139" spans="1:26" s="24" customFormat="1" hidden="1" outlineLevel="2" x14ac:dyDescent="0.25">
      <c r="A139" s="25"/>
      <c r="B139" s="11" t="str">
        <f>CONCATENATE("          ", "6376", " - ", "TRAINING")</f>
        <v xml:space="preserve">          6376 - TRAINING</v>
      </c>
      <c r="C139" s="11"/>
      <c r="D139" s="6"/>
      <c r="E139" s="2"/>
      <c r="F139" s="7">
        <f t="shared" si="87"/>
        <v>0</v>
      </c>
      <c r="G139" s="2"/>
      <c r="H139" s="6">
        <v>-652.5</v>
      </c>
      <c r="I139" s="2"/>
      <c r="J139" s="7">
        <f t="shared" si="88"/>
        <v>-2.8294787016140172E-3</v>
      </c>
      <c r="K139" s="2"/>
      <c r="L139" s="6">
        <f t="shared" si="89"/>
        <v>652.5</v>
      </c>
      <c r="M139" s="2"/>
      <c r="N139" s="7">
        <f t="shared" si="90"/>
        <v>-1</v>
      </c>
      <c r="O139" s="11"/>
      <c r="P139" s="6">
        <v>1379.18</v>
      </c>
      <c r="Q139" s="2"/>
      <c r="R139" s="7">
        <f t="shared" si="91"/>
        <v>6.8233735437981454E-4</v>
      </c>
      <c r="S139" s="2"/>
      <c r="T139" s="6">
        <v>843.28</v>
      </c>
      <c r="U139" s="2"/>
      <c r="V139" s="7">
        <f t="shared" si="92"/>
        <v>4.5898298659992077E-4</v>
      </c>
      <c r="W139" s="2"/>
      <c r="X139" s="6">
        <f t="shared" si="93"/>
        <v>535.90000000000009</v>
      </c>
      <c r="Y139" s="2"/>
      <c r="Z139" s="7">
        <f t="shared" si="94"/>
        <v>0.6354947348448915</v>
      </c>
    </row>
    <row r="140" spans="1:26" s="26" customFormat="1" outlineLevel="1" collapsed="1" x14ac:dyDescent="0.25">
      <c r="A140" s="27"/>
      <c r="B140" s="13" t="str">
        <f>CONCATENATE("     ","Travel                                            ")</f>
        <v xml:space="preserve">     Travel                                            </v>
      </c>
      <c r="C140" s="13"/>
      <c r="D140" s="1">
        <f>SUM(OSRRefD22_21x_0)</f>
        <v>-346.75</v>
      </c>
      <c r="E140" s="1"/>
      <c r="F140" s="5">
        <f t="shared" si="87"/>
        <v>-1.2844982710857012E-3</v>
      </c>
      <c r="G140" s="1"/>
      <c r="H140" s="1">
        <f>SUM(OSRRefH22_21x_0)</f>
        <v>41.13</v>
      </c>
      <c r="I140" s="1"/>
      <c r="J140" s="5">
        <f t="shared" si="88"/>
        <v>1.7835472643277324E-4</v>
      </c>
      <c r="K140" s="1"/>
      <c r="L140" s="1">
        <f t="shared" si="89"/>
        <v>-387.88</v>
      </c>
      <c r="M140" s="1"/>
      <c r="N140" s="5">
        <f t="shared" si="90"/>
        <v>-9.4305859469973257</v>
      </c>
      <c r="O140" s="13"/>
      <c r="P140" s="1">
        <f>SUM(OSRRefP22_21x_0)</f>
        <v>563.55999999999995</v>
      </c>
      <c r="Q140" s="1"/>
      <c r="R140" s="5">
        <f t="shared" si="91"/>
        <v>2.7881642674218611E-4</v>
      </c>
      <c r="S140" s="1"/>
      <c r="T140" s="1">
        <f>SUM(OSRRefT22_21x_0)</f>
        <v>472.61</v>
      </c>
      <c r="U140" s="1"/>
      <c r="V140" s="5">
        <f t="shared" si="92"/>
        <v>2.5723359891968099E-4</v>
      </c>
      <c r="W140" s="1"/>
      <c r="X140" s="1">
        <f t="shared" si="93"/>
        <v>90.949999999999932</v>
      </c>
      <c r="Y140" s="1"/>
      <c r="Z140" s="5">
        <f t="shared" si="94"/>
        <v>0.19244197118131215</v>
      </c>
    </row>
    <row r="141" spans="1:26" s="24" customFormat="1" hidden="1" outlineLevel="2" x14ac:dyDescent="0.25">
      <c r="A141" s="25"/>
      <c r="B141" s="11" t="str">
        <f>CONCATENATE("          ", "6292", " - ", "TRAVEL/CONFERENCE")</f>
        <v xml:space="preserve">          6292 - TRAVEL/CONFERENCE</v>
      </c>
      <c r="C141" s="11"/>
      <c r="D141" s="6"/>
      <c r="E141" s="2"/>
      <c r="F141" s="7">
        <f t="shared" si="87"/>
        <v>0</v>
      </c>
      <c r="G141" s="2"/>
      <c r="H141" s="6"/>
      <c r="I141" s="2"/>
      <c r="J141" s="7">
        <f t="shared" si="88"/>
        <v>0</v>
      </c>
      <c r="K141" s="2"/>
      <c r="L141" s="6">
        <f t="shared" si="89"/>
        <v>0</v>
      </c>
      <c r="M141" s="2"/>
      <c r="N141" s="7">
        <f t="shared" si="90"/>
        <v>0</v>
      </c>
      <c r="O141" s="11"/>
      <c r="P141" s="6">
        <v>107.04</v>
      </c>
      <c r="Q141" s="2"/>
      <c r="R141" s="7">
        <f t="shared" si="91"/>
        <v>5.2957112496422037E-5</v>
      </c>
      <c r="S141" s="2"/>
      <c r="T141" s="6"/>
      <c r="U141" s="2"/>
      <c r="V141" s="7">
        <f t="shared" si="92"/>
        <v>0</v>
      </c>
      <c r="W141" s="2"/>
      <c r="X141" s="6">
        <f t="shared" si="93"/>
        <v>107.04</v>
      </c>
      <c r="Y141" s="2"/>
      <c r="Z141" s="7">
        <f t="shared" si="94"/>
        <v>0</v>
      </c>
    </row>
    <row r="142" spans="1:26" s="24" customFormat="1" hidden="1" outlineLevel="2" x14ac:dyDescent="0.25">
      <c r="A142" s="25"/>
      <c r="B142" s="11" t="str">
        <f>CONCATENATE("          ", "6294", " - ", "TRAVEL OPERATIONAL")</f>
        <v xml:space="preserve">          6294 - TRAVEL OPERATIONAL</v>
      </c>
      <c r="C142" s="11"/>
      <c r="D142" s="6">
        <v>-346.75</v>
      </c>
      <c r="E142" s="2"/>
      <c r="F142" s="7">
        <f t="shared" si="87"/>
        <v>-1.2844982710857012E-3</v>
      </c>
      <c r="G142" s="2"/>
      <c r="H142" s="6">
        <v>41.13</v>
      </c>
      <c r="I142" s="2"/>
      <c r="J142" s="7">
        <f t="shared" si="88"/>
        <v>1.7835472643277324E-4</v>
      </c>
      <c r="K142" s="2"/>
      <c r="L142" s="6">
        <f t="shared" si="89"/>
        <v>-387.88</v>
      </c>
      <c r="M142" s="2"/>
      <c r="N142" s="7">
        <f t="shared" si="90"/>
        <v>-9.4305859469973257</v>
      </c>
      <c r="O142" s="11"/>
      <c r="P142" s="6">
        <v>456.52</v>
      </c>
      <c r="Q142" s="2"/>
      <c r="R142" s="7">
        <f t="shared" si="91"/>
        <v>2.2585931424576409E-4</v>
      </c>
      <c r="S142" s="2"/>
      <c r="T142" s="6">
        <v>472.61</v>
      </c>
      <c r="U142" s="2"/>
      <c r="V142" s="7">
        <f t="shared" si="92"/>
        <v>2.5723359891968099E-4</v>
      </c>
      <c r="W142" s="2"/>
      <c r="X142" s="6">
        <f t="shared" si="93"/>
        <v>-16.090000000000032</v>
      </c>
      <c r="Y142" s="2"/>
      <c r="Z142" s="7">
        <f t="shared" si="94"/>
        <v>-3.4044984236474111E-2</v>
      </c>
    </row>
    <row r="143" spans="1:26" s="26" customFormat="1" outlineLevel="1" collapsed="1" x14ac:dyDescent="0.25">
      <c r="A143" s="27"/>
      <c r="B143" s="13" t="str">
        <f>CONCATENATE("     ","Utilities                                         ")</f>
        <v xml:space="preserve">     Utilities                                         </v>
      </c>
      <c r="C143" s="13"/>
      <c r="D143" s="1">
        <f>SUM(OSRRefD22_22x_0)</f>
        <v>163.13999999999999</v>
      </c>
      <c r="E143" s="1"/>
      <c r="F143" s="5">
        <f t="shared" ref="F143:F144" si="95">IF(D$12=0,0,D143/D$12)</f>
        <v>6.043346732369756E-4</v>
      </c>
      <c r="G143" s="1"/>
      <c r="H143" s="1">
        <f>SUM(OSRRefH22_22x_0)</f>
        <v>141.04</v>
      </c>
      <c r="I143" s="1"/>
      <c r="J143" s="5">
        <f t="shared" ref="J143:J144" si="96">IF(H$12=0,0,H143/H$12)</f>
        <v>6.1160103613125058E-4</v>
      </c>
      <c r="K143" s="1"/>
      <c r="L143" s="1">
        <f t="shared" ref="L143:L144" si="97">+D143-H143</f>
        <v>22.099999999999994</v>
      </c>
      <c r="M143" s="1"/>
      <c r="N143" s="5">
        <f t="shared" ref="N143:N144" si="98">IF(H143=0,0,L143/H143)</f>
        <v>0.15669313669880883</v>
      </c>
      <c r="O143" s="13"/>
      <c r="P143" s="1">
        <f>SUM(OSRRefP22_22x_0)</f>
        <v>460.82</v>
      </c>
      <c r="Q143" s="1"/>
      <c r="R143" s="5">
        <f t="shared" ref="R143:R144" si="99">IF(P$12=0,0,P143/P$12)</f>
        <v>2.2798670198618463E-4</v>
      </c>
      <c r="S143" s="1"/>
      <c r="T143" s="1">
        <f>SUM(OSRRefT22_22x_0)</f>
        <v>511.77</v>
      </c>
      <c r="U143" s="1"/>
      <c r="V143" s="5">
        <f t="shared" ref="V143:V144" si="100">IF(T$12=0,0,T143/T$12)</f>
        <v>2.7854772205227379E-4</v>
      </c>
      <c r="W143" s="1"/>
      <c r="X143" s="1">
        <f t="shared" ref="X143:X144" si="101">+P143-T143</f>
        <v>-50.949999999999989</v>
      </c>
      <c r="Y143" s="1"/>
      <c r="Z143" s="5">
        <f t="shared" ref="Z143:Z144" si="102">IF(T143=0,0,X143/T143)</f>
        <v>-9.9556441370146728E-2</v>
      </c>
    </row>
    <row r="144" spans="1:26" s="24" customFormat="1" hidden="1" outlineLevel="2" x14ac:dyDescent="0.25">
      <c r="A144" s="25"/>
      <c r="B144" s="11" t="str">
        <f>CONCATENATE("          ", "6274", " - ", "UTILITIES")</f>
        <v xml:space="preserve">          6274 - UTILITIES</v>
      </c>
      <c r="C144" s="11"/>
      <c r="D144" s="6">
        <v>163.13999999999999</v>
      </c>
      <c r="E144" s="2"/>
      <c r="F144" s="7">
        <f t="shared" si="95"/>
        <v>6.043346732369756E-4</v>
      </c>
      <c r="G144" s="2"/>
      <c r="H144" s="6">
        <v>141.04</v>
      </c>
      <c r="I144" s="2"/>
      <c r="J144" s="7">
        <f t="shared" si="96"/>
        <v>6.1160103613125058E-4</v>
      </c>
      <c r="K144" s="2"/>
      <c r="L144" s="6">
        <f t="shared" si="97"/>
        <v>22.099999999999994</v>
      </c>
      <c r="M144" s="2"/>
      <c r="N144" s="7">
        <f t="shared" si="98"/>
        <v>0.15669313669880883</v>
      </c>
      <c r="O144" s="11"/>
      <c r="P144" s="6">
        <v>460.82</v>
      </c>
      <c r="Q144" s="2"/>
      <c r="R144" s="7">
        <f t="shared" si="99"/>
        <v>2.2798670198618463E-4</v>
      </c>
      <c r="S144" s="2"/>
      <c r="T144" s="6">
        <v>511.77</v>
      </c>
      <c r="U144" s="2"/>
      <c r="V144" s="7">
        <f t="shared" si="100"/>
        <v>2.7854772205227379E-4</v>
      </c>
      <c r="W144" s="2"/>
      <c r="X144" s="6">
        <f t="shared" si="101"/>
        <v>-50.949999999999989</v>
      </c>
      <c r="Y144" s="2"/>
      <c r="Z144" s="7">
        <f t="shared" si="102"/>
        <v>-9.9556441370146728E-2</v>
      </c>
    </row>
    <row r="145" spans="1:26" s="59" customFormat="1" x14ac:dyDescent="0.25">
      <c r="A145" s="37"/>
      <c r="B145" s="37"/>
      <c r="C145" s="37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7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collapsed="1" x14ac:dyDescent="0.25">
      <c r="A146" s="10"/>
      <c r="B146" s="29" t="s">
        <v>0</v>
      </c>
      <c r="C146" s="10"/>
      <c r="D146" s="4">
        <f>SUM(OSRRefD25x_0)</f>
        <v>0</v>
      </c>
      <c r="E146" s="4"/>
      <c r="F146" s="12">
        <f t="shared" ref="F146:F147" si="103">IF(D$12=0,0,D146/D$12)</f>
        <v>0</v>
      </c>
      <c r="G146" s="4"/>
      <c r="H146" s="4">
        <f>SUM(OSRRefH25x_0)</f>
        <v>18170.349999999999</v>
      </c>
      <c r="I146" s="4"/>
      <c r="J146" s="12">
        <f t="shared" ref="J146:J147" si="104">IF(H$12=0,0,H146/H$12)</f>
        <v>7.879328479060882E-2</v>
      </c>
      <c r="K146" s="4"/>
      <c r="L146" s="4">
        <f t="shared" ref="L146:L147" si="105">+D146-H146</f>
        <v>-18170.349999999999</v>
      </c>
      <c r="M146" s="4"/>
      <c r="N146" s="12">
        <f t="shared" ref="N146:N147" si="106">IF(H146=0,0,L146/H146)</f>
        <v>-1</v>
      </c>
      <c r="O146" s="10"/>
      <c r="P146" s="4">
        <f>SUM(OSRRefP25x_0)</f>
        <v>14830.16</v>
      </c>
      <c r="Q146" s="4"/>
      <c r="R146" s="12">
        <f t="shared" ref="R146:R147" si="107">IF(P$12=0,0,P146/P$12)</f>
        <v>7.3370931563895578E-3</v>
      </c>
      <c r="S146" s="4"/>
      <c r="T146" s="4">
        <f>SUM(OSRRefT25x_0)</f>
        <v>63621.65</v>
      </c>
      <c r="U146" s="4"/>
      <c r="V146" s="12">
        <f t="shared" ref="V146:V147" si="108">IF(T$12=0,0,T146/T$12)</f>
        <v>3.4628183912122724E-2</v>
      </c>
      <c r="W146" s="4"/>
      <c r="X146" s="4">
        <f t="shared" ref="X146:X147" si="109">+P146-T146</f>
        <v>-48791.490000000005</v>
      </c>
      <c r="Y146" s="4"/>
      <c r="Z146" s="12">
        <f t="shared" ref="Z146:Z147" si="110">IF(T146=0,0,X146/T146)</f>
        <v>-0.76690073269083725</v>
      </c>
    </row>
    <row r="147" spans="1:26" s="24" customFormat="1" hidden="1" outlineLevel="1" x14ac:dyDescent="0.25">
      <c r="A147" s="44"/>
      <c r="B147" s="11" t="str">
        <f>CONCATENATE("          ", "9150", " - ", "MISC. INCOME")</f>
        <v xml:space="preserve">          9150 - MISC. INCOME</v>
      </c>
      <c r="C147" s="11"/>
      <c r="D147" s="2">
        <f>0</f>
        <v>0</v>
      </c>
      <c r="E147" s="2"/>
      <c r="F147" s="19">
        <f t="shared" si="103"/>
        <v>0</v>
      </c>
      <c r="G147" s="2"/>
      <c r="H147" s="2">
        <f>--18170.35</f>
        <v>18170.349999999999</v>
      </c>
      <c r="I147" s="2"/>
      <c r="J147" s="19">
        <f t="shared" si="104"/>
        <v>7.879328479060882E-2</v>
      </c>
      <c r="K147" s="2"/>
      <c r="L147" s="2">
        <f t="shared" si="105"/>
        <v>-18170.349999999999</v>
      </c>
      <c r="M147" s="2"/>
      <c r="N147" s="19">
        <f t="shared" si="106"/>
        <v>-1</v>
      </c>
      <c r="O147" s="11"/>
      <c r="P147" s="2">
        <f>--14830.16</f>
        <v>14830.16</v>
      </c>
      <c r="Q147" s="2"/>
      <c r="R147" s="19">
        <f t="shared" si="107"/>
        <v>7.3370931563895578E-3</v>
      </c>
      <c r="S147" s="2"/>
      <c r="T147" s="2">
        <f>--63621.65</f>
        <v>63621.65</v>
      </c>
      <c r="U147" s="2"/>
      <c r="V147" s="19">
        <f t="shared" si="108"/>
        <v>3.4628183912122724E-2</v>
      </c>
      <c r="W147" s="2"/>
      <c r="X147" s="2">
        <f t="shared" si="109"/>
        <v>-48791.490000000005</v>
      </c>
      <c r="Y147" s="2"/>
      <c r="Z147" s="19">
        <f t="shared" si="110"/>
        <v>-0.76690073269083725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8" t="s">
        <v>3</v>
      </c>
      <c r="C149" s="28"/>
      <c r="D149" s="21">
        <f>+D70-D72+D146</f>
        <v>58918.300000000032</v>
      </c>
      <c r="E149" s="14"/>
      <c r="F149" s="22">
        <f>IF(D$12=0,0,D149/D$12)</f>
        <v>0.21825653780910947</v>
      </c>
      <c r="G149" s="14"/>
      <c r="H149" s="21">
        <f>+H70-H72+H146</f>
        <v>54699.69000000001</v>
      </c>
      <c r="I149" s="14"/>
      <c r="J149" s="22">
        <f>IF(H$12=0,0,H149/H$12)</f>
        <v>0.23719786642128624</v>
      </c>
      <c r="K149" s="16"/>
      <c r="L149" s="21">
        <f>+D149-H149</f>
        <v>4218.6100000000224</v>
      </c>
      <c r="M149" s="16"/>
      <c r="N149" s="22">
        <f>IF(H149=0,0,L149/H149)</f>
        <v>7.7123106182137816E-2</v>
      </c>
      <c r="O149" s="29"/>
      <c r="P149" s="21">
        <f>+P70-P72+P146</f>
        <v>470907.75999999972</v>
      </c>
      <c r="Q149" s="14"/>
      <c r="R149" s="22">
        <f>IF(P$12=0,0,P149/P$12)</f>
        <v>0.23297753383555769</v>
      </c>
      <c r="S149" s="14"/>
      <c r="T149" s="21">
        <f>+T70-T72+T146</f>
        <v>496657.70999999973</v>
      </c>
      <c r="U149" s="14"/>
      <c r="V149" s="22">
        <f>IF(T$12=0,0,T149/T$12)</f>
        <v>0.27032235918517838</v>
      </c>
      <c r="W149" s="16"/>
      <c r="X149" s="21">
        <f>+P149-T149</f>
        <v>-25749.950000000012</v>
      </c>
      <c r="Y149" s="16"/>
      <c r="Z149" s="22">
        <f>IF(T149=0,0,X149/T149)</f>
        <v>-5.1846471889060226E-2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1"/>
      <c r="B151" s="10" t="s">
        <v>13</v>
      </c>
      <c r="C151" s="10"/>
      <c r="D151" s="4">
        <v>21633.8</v>
      </c>
      <c r="E151" s="4"/>
      <c r="F151" s="12">
        <f>IF(D$12=0,0,D151/D$12)</f>
        <v>8.0140097179564079E-2</v>
      </c>
      <c r="G151" s="4"/>
      <c r="H151" s="4">
        <v>13559.88</v>
      </c>
      <c r="I151" s="4"/>
      <c r="J151" s="12">
        <f>IF(H$12=0,0,H151/H$12)</f>
        <v>5.8800600239757667E-2</v>
      </c>
      <c r="K151" s="4"/>
      <c r="L151" s="4">
        <f>+D151-H151</f>
        <v>8073.92</v>
      </c>
      <c r="M151" s="4"/>
      <c r="N151" s="12">
        <f>IF(H151=0,0,L151/H151)</f>
        <v>0.59542709817491013</v>
      </c>
      <c r="O151" s="10"/>
      <c r="P151" s="4">
        <v>210788.61</v>
      </c>
      <c r="Q151" s="4"/>
      <c r="R151" s="12">
        <f>IF(P$12=0,0,P151/P$12)</f>
        <v>0.10428583831029924</v>
      </c>
      <c r="S151" s="4"/>
      <c r="T151" s="4">
        <v>186944.07</v>
      </c>
      <c r="U151" s="4"/>
      <c r="V151" s="12">
        <f>IF(T$12=0,0,T151/T$12)</f>
        <v>0.10175048332196264</v>
      </c>
      <c r="W151" s="4"/>
      <c r="X151" s="4">
        <f>+P151-T151</f>
        <v>23844.539999999979</v>
      </c>
      <c r="Y151" s="4"/>
      <c r="Z151" s="12">
        <f>IF(T151=0,0,X151/T151)</f>
        <v>0.12754905785457638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8" t="s">
        <v>4</v>
      </c>
      <c r="C153" s="28"/>
      <c r="D153" s="34">
        <f>+D149-D151</f>
        <v>37284.500000000029</v>
      </c>
      <c r="E153" s="14"/>
      <c r="F153" s="31">
        <f>IF(D$12=0,0,D153/D$12)</f>
        <v>0.1381164406295454</v>
      </c>
      <c r="G153" s="14"/>
      <c r="H153" s="34">
        <f>+H149-H151</f>
        <v>41139.810000000012</v>
      </c>
      <c r="I153" s="14"/>
      <c r="J153" s="31">
        <f>IF(H$12=0,0,H153/H$12)</f>
        <v>0.1783972661815286</v>
      </c>
      <c r="K153" s="16"/>
      <c r="L153" s="34">
        <f>D153-H153</f>
        <v>-3855.3099999999831</v>
      </c>
      <c r="M153" s="16"/>
      <c r="N153" s="31">
        <f>IF(H153=0,0,L153/H153)</f>
        <v>-9.3712391962918209E-2</v>
      </c>
      <c r="O153" s="29"/>
      <c r="P153" s="34">
        <f>+P149-P151</f>
        <v>260119.14999999973</v>
      </c>
      <c r="Q153" s="14"/>
      <c r="R153" s="31">
        <f>IF(P$12=0,0,P153/P$12)</f>
        <v>0.12869169552525844</v>
      </c>
      <c r="S153" s="14"/>
      <c r="T153" s="34">
        <f>+T149-T151</f>
        <v>309713.63999999972</v>
      </c>
      <c r="U153" s="14"/>
      <c r="V153" s="31">
        <f>IF(T$12=0,0,T153/T$12)</f>
        <v>0.16857187586321573</v>
      </c>
      <c r="W153" s="16"/>
      <c r="X153" s="34">
        <f>P153-T153</f>
        <v>-49594.489999999991</v>
      </c>
      <c r="Y153" s="16"/>
      <c r="Z153" s="31">
        <f>IF(T153=0,0,X153/T153)</f>
        <v>-0.16013014473627973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8" t="s">
        <v>5</v>
      </c>
      <c r="C156" s="28"/>
      <c r="D156" s="30">
        <f>SUM(D153:D155)</f>
        <v>37284.500000000029</v>
      </c>
      <c r="E156" s="14"/>
      <c r="F156" s="33">
        <f>IF(D$12=0,0,D156/D$12)</f>
        <v>0.1381164406295454</v>
      </c>
      <c r="G156" s="14"/>
      <c r="H156" s="30">
        <f>SUM(H153:H155)</f>
        <v>41139.810000000012</v>
      </c>
      <c r="I156" s="14"/>
      <c r="J156" s="33">
        <f>IF(H$12=0,0,H156/H$12)</f>
        <v>0.1783972661815286</v>
      </c>
      <c r="K156" s="16"/>
      <c r="L156" s="30">
        <f>+D156-H156</f>
        <v>-3855.3099999999831</v>
      </c>
      <c r="M156" s="16"/>
      <c r="N156" s="33">
        <f>IF(H156=0,0,L156/H156)</f>
        <v>-9.3712391962918209E-2</v>
      </c>
      <c r="O156" s="29"/>
      <c r="P156" s="30">
        <f>SUM(P153:P155)</f>
        <v>260119.14999999973</v>
      </c>
      <c r="Q156" s="14"/>
      <c r="R156" s="33">
        <f>IF(P$12=0,0,P156/P$12)</f>
        <v>0.12869169552525844</v>
      </c>
      <c r="S156" s="14"/>
      <c r="T156" s="30">
        <f>SUM(T153:T155)</f>
        <v>309713.63999999972</v>
      </c>
      <c r="U156" s="14"/>
      <c r="V156" s="33">
        <f>IF(T$12=0,0,T156/T$12)</f>
        <v>0.16857187586321573</v>
      </c>
      <c r="W156" s="16"/>
      <c r="X156" s="30">
        <f>+P156-T156</f>
        <v>-49594.489999999991</v>
      </c>
      <c r="Y156" s="16"/>
      <c r="Z156" s="33">
        <f>IF(T156=0,0,X156/T156)</f>
        <v>-0.16013014473627973</v>
      </c>
    </row>
    <row r="157" spans="1:26" ht="15.75" thickTop="1" x14ac:dyDescent="0.25">
      <c r="A157" s="9"/>
      <c r="C157" s="9"/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  <row r="158" spans="1:26" x14ac:dyDescent="0.25">
      <c r="A158" s="9"/>
      <c r="B158" s="61">
        <v>43879.553373263887</v>
      </c>
      <c r="D158" s="17"/>
      <c r="E158" s="17"/>
      <c r="G158" s="17"/>
      <c r="H158" s="17"/>
      <c r="I158" s="17"/>
      <c r="J158" s="42"/>
      <c r="K158" s="17"/>
      <c r="L158" s="17"/>
      <c r="M158" s="17"/>
      <c r="P158" s="17"/>
      <c r="Q158" s="17"/>
      <c r="R158" s="42"/>
      <c r="S158" s="17"/>
      <c r="T158" s="17"/>
      <c r="U158" s="17"/>
      <c r="V158" s="42"/>
      <c r="W158" s="17"/>
      <c r="X158" s="17"/>
    </row>
    <row r="159" spans="1:26" x14ac:dyDescent="0.25">
      <c r="A159" s="9"/>
      <c r="B159" s="55" t="s">
        <v>313</v>
      </c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25">
      <c r="A160" s="9"/>
      <c r="B160" s="58"/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4:24" x14ac:dyDescent="0.25"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","315", " - ", "Beach Shop")</f>
        <v>Department 315 - Beach Shop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194929.08000000002</v>
      </c>
      <c r="E12" s="4"/>
      <c r="F12" s="12"/>
      <c r="G12" s="4"/>
      <c r="H12" s="4">
        <f>SUM(OSRRefH13x_0)</f>
        <v>198621.03000000003</v>
      </c>
      <c r="I12" s="4"/>
      <c r="J12" s="12"/>
      <c r="K12" s="4"/>
      <c r="L12" s="4">
        <f t="shared" ref="L12:L32" si="0">+D12-H12</f>
        <v>-3691.9500000000116</v>
      </c>
      <c r="M12" s="4"/>
      <c r="N12" s="12">
        <f t="shared" ref="N12:N32" si="1">IF(H12=0,0,L12/H12)</f>
        <v>-1.858791085717364E-2</v>
      </c>
      <c r="O12" s="10"/>
      <c r="P12" s="4">
        <f>SUM(OSRRefP13x_0)</f>
        <v>1661874.44</v>
      </c>
      <c r="Q12" s="4"/>
      <c r="R12" s="12"/>
      <c r="S12" s="4"/>
      <c r="T12" s="4">
        <f>SUM(OSRRefT13x_0)</f>
        <v>1543138.4999999998</v>
      </c>
      <c r="U12" s="4"/>
      <c r="V12" s="12"/>
      <c r="W12" s="4"/>
      <c r="X12" s="4">
        <f t="shared" ref="X12:X32" si="2">+P12-T12</f>
        <v>118735.94000000018</v>
      </c>
      <c r="Y12" s="4"/>
      <c r="Z12" s="12">
        <f t="shared" ref="Z12:Z32" si="3">IF(T12=0,0,X12/T12)</f>
        <v>7.694444795460692E-2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--129838.03</f>
        <v>129838.03</v>
      </c>
      <c r="E13" s="2"/>
      <c r="F13" s="19"/>
      <c r="G13" s="2"/>
      <c r="H13" s="2">
        <f>--143539.84</f>
        <v>143539.84</v>
      </c>
      <c r="I13" s="2"/>
      <c r="J13" s="19"/>
      <c r="K13" s="2"/>
      <c r="L13" s="2">
        <f t="shared" si="0"/>
        <v>-13701.809999999998</v>
      </c>
      <c r="M13" s="2"/>
      <c r="N13" s="19">
        <f t="shared" si="1"/>
        <v>-9.545649486581563E-2</v>
      </c>
      <c r="O13" s="11"/>
      <c r="P13" s="2">
        <f>--1183214.61</f>
        <v>1183214.6100000001</v>
      </c>
      <c r="Q13" s="2"/>
      <c r="R13" s="19"/>
      <c r="S13" s="2"/>
      <c r="T13" s="2">
        <f>--1122874.61</f>
        <v>1122874.6100000001</v>
      </c>
      <c r="U13" s="2"/>
      <c r="V13" s="19"/>
      <c r="W13" s="2"/>
      <c r="X13" s="2">
        <f t="shared" si="2"/>
        <v>60340</v>
      </c>
      <c r="Y13" s="2"/>
      <c r="Z13" s="19">
        <f t="shared" si="3"/>
        <v>5.3737077553120551E-2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--27369.25</f>
        <v>27369.25</v>
      </c>
      <c r="E14" s="2"/>
      <c r="F14" s="19"/>
      <c r="G14" s="2"/>
      <c r="H14" s="2">
        <f>--25706.2</f>
        <v>25706.2</v>
      </c>
      <c r="I14" s="2"/>
      <c r="J14" s="19"/>
      <c r="K14" s="2"/>
      <c r="L14" s="2">
        <f t="shared" si="0"/>
        <v>1663.0499999999993</v>
      </c>
      <c r="M14" s="2"/>
      <c r="N14" s="19">
        <f t="shared" si="1"/>
        <v>6.4694509495763636E-2</v>
      </c>
      <c r="O14" s="11"/>
      <c r="P14" s="2">
        <f>--195456.44</f>
        <v>195456.44</v>
      </c>
      <c r="Q14" s="2"/>
      <c r="R14" s="19"/>
      <c r="S14" s="2"/>
      <c r="T14" s="2">
        <f>--198736.43</f>
        <v>198736.43</v>
      </c>
      <c r="U14" s="2"/>
      <c r="V14" s="19"/>
      <c r="W14" s="2"/>
      <c r="X14" s="2">
        <f t="shared" si="2"/>
        <v>-3279.9899999999907</v>
      </c>
      <c r="Y14" s="2"/>
      <c r="Z14" s="19">
        <f t="shared" si="3"/>
        <v>-1.6504221193869642E-2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--21801.17</f>
        <v>21801.17</v>
      </c>
      <c r="E15" s="2"/>
      <c r="F15" s="19"/>
      <c r="G15" s="2"/>
      <c r="H15" s="2">
        <f>--12762.36</f>
        <v>12762.36</v>
      </c>
      <c r="I15" s="2"/>
      <c r="J15" s="19"/>
      <c r="K15" s="2"/>
      <c r="L15" s="2">
        <f t="shared" si="0"/>
        <v>9038.8099999999977</v>
      </c>
      <c r="M15" s="2"/>
      <c r="N15" s="19">
        <f t="shared" si="1"/>
        <v>0.70823969861373581</v>
      </c>
      <c r="O15" s="11"/>
      <c r="P15" s="2">
        <f>--152067.95</f>
        <v>152067.95000000001</v>
      </c>
      <c r="Q15" s="2"/>
      <c r="R15" s="19"/>
      <c r="S15" s="2"/>
      <c r="T15" s="2">
        <f>--110281.39</f>
        <v>110281.39</v>
      </c>
      <c r="U15" s="2"/>
      <c r="V15" s="19"/>
      <c r="W15" s="2"/>
      <c r="X15" s="2">
        <f t="shared" si="2"/>
        <v>41786.560000000012</v>
      </c>
      <c r="Y15" s="2"/>
      <c r="Z15" s="19">
        <f t="shared" si="3"/>
        <v>0.37890853570126393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--7120.83</f>
        <v>7120.83</v>
      </c>
      <c r="E16" s="2"/>
      <c r="F16" s="19"/>
      <c r="G16" s="2"/>
      <c r="H16" s="2">
        <f>--250.03</f>
        <v>250.03</v>
      </c>
      <c r="I16" s="2"/>
      <c r="J16" s="19"/>
      <c r="K16" s="2"/>
      <c r="L16" s="2">
        <f t="shared" si="0"/>
        <v>6870.8</v>
      </c>
      <c r="M16" s="2"/>
      <c r="N16" s="19">
        <f t="shared" si="1"/>
        <v>27.479902411710594</v>
      </c>
      <c r="O16" s="11"/>
      <c r="P16" s="2">
        <f>--21057.51</f>
        <v>21057.51</v>
      </c>
      <c r="Q16" s="2"/>
      <c r="R16" s="19"/>
      <c r="S16" s="2"/>
      <c r="T16" s="2">
        <f>--1565.43</f>
        <v>1565.43</v>
      </c>
      <c r="U16" s="2"/>
      <c r="V16" s="19"/>
      <c r="W16" s="2"/>
      <c r="X16" s="2">
        <f t="shared" si="2"/>
        <v>19492.079999999998</v>
      </c>
      <c r="Y16" s="2"/>
      <c r="Z16" s="19">
        <f t="shared" si="3"/>
        <v>12.451581993445888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--5859.56</f>
        <v>5859.56</v>
      </c>
      <c r="E17" s="2"/>
      <c r="F17" s="19"/>
      <c r="G17" s="2"/>
      <c r="H17" s="2">
        <f>--13770.85</f>
        <v>13770.85</v>
      </c>
      <c r="I17" s="2"/>
      <c r="J17" s="19"/>
      <c r="K17" s="2"/>
      <c r="L17" s="2">
        <f t="shared" si="0"/>
        <v>-7911.29</v>
      </c>
      <c r="M17" s="2"/>
      <c r="N17" s="19">
        <f t="shared" si="1"/>
        <v>-0.57449540151842482</v>
      </c>
      <c r="O17" s="11"/>
      <c r="P17" s="2">
        <f>--50056.71</f>
        <v>50056.71</v>
      </c>
      <c r="Q17" s="2"/>
      <c r="R17" s="19"/>
      <c r="S17" s="2"/>
      <c r="T17" s="2">
        <f>--55873.41</f>
        <v>55873.41</v>
      </c>
      <c r="U17" s="2"/>
      <c r="V17" s="19"/>
      <c r="W17" s="2"/>
      <c r="X17" s="2">
        <f t="shared" si="2"/>
        <v>-5816.7000000000044</v>
      </c>
      <c r="Y17" s="2"/>
      <c r="Z17" s="19">
        <f t="shared" si="3"/>
        <v>-0.10410497587313901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--8722.22</f>
        <v>8722.2199999999993</v>
      </c>
      <c r="E18" s="2"/>
      <c r="F18" s="19"/>
      <c r="G18" s="2"/>
      <c r="H18" s="2">
        <f>--7632.93</f>
        <v>7632.93</v>
      </c>
      <c r="I18" s="2"/>
      <c r="J18" s="19"/>
      <c r="K18" s="2"/>
      <c r="L18" s="2">
        <f t="shared" si="0"/>
        <v>1089.2899999999991</v>
      </c>
      <c r="M18" s="2"/>
      <c r="N18" s="19">
        <f t="shared" si="1"/>
        <v>0.142709287259283</v>
      </c>
      <c r="O18" s="11"/>
      <c r="P18" s="2">
        <f>--69270.43</f>
        <v>69270.429999999993</v>
      </c>
      <c r="Q18" s="2"/>
      <c r="R18" s="19"/>
      <c r="S18" s="2"/>
      <c r="T18" s="2">
        <f>--74953.57</f>
        <v>74953.570000000007</v>
      </c>
      <c r="U18" s="2"/>
      <c r="V18" s="19"/>
      <c r="W18" s="2"/>
      <c r="X18" s="2">
        <f t="shared" si="2"/>
        <v>-5683.140000000014</v>
      </c>
      <c r="Y18" s="2"/>
      <c r="Z18" s="19">
        <f t="shared" si="3"/>
        <v>-7.5822138958824961E-2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--3758.83</f>
        <v>3758.83</v>
      </c>
      <c r="E19" s="2"/>
      <c r="F19" s="19"/>
      <c r="G19" s="2"/>
      <c r="H19" s="2">
        <f>--3145.88</f>
        <v>3145.88</v>
      </c>
      <c r="I19" s="2"/>
      <c r="J19" s="19"/>
      <c r="K19" s="2"/>
      <c r="L19" s="2">
        <f t="shared" si="0"/>
        <v>612.94999999999982</v>
      </c>
      <c r="M19" s="2"/>
      <c r="N19" s="19">
        <f t="shared" si="1"/>
        <v>0.19484214273907455</v>
      </c>
      <c r="O19" s="11"/>
      <c r="P19" s="2">
        <f>--42582.67</f>
        <v>42582.67</v>
      </c>
      <c r="Q19" s="2"/>
      <c r="R19" s="19"/>
      <c r="S19" s="2"/>
      <c r="T19" s="2">
        <f>--23533.95</f>
        <v>23533.95</v>
      </c>
      <c r="U19" s="2"/>
      <c r="V19" s="19"/>
      <c r="W19" s="2"/>
      <c r="X19" s="2">
        <f t="shared" si="2"/>
        <v>19048.719999999998</v>
      </c>
      <c r="Y19" s="2"/>
      <c r="Z19" s="19">
        <f t="shared" si="3"/>
        <v>0.80941448418136341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--1020.72</f>
        <v>1020.72</v>
      </c>
      <c r="E20" s="2"/>
      <c r="F20" s="19"/>
      <c r="G20" s="2"/>
      <c r="H20" s="2">
        <f>--275.4</f>
        <v>275.39999999999998</v>
      </c>
      <c r="I20" s="2"/>
      <c r="J20" s="19"/>
      <c r="K20" s="2"/>
      <c r="L20" s="2">
        <f t="shared" si="0"/>
        <v>745.32</v>
      </c>
      <c r="M20" s="2"/>
      <c r="N20" s="19">
        <f t="shared" si="1"/>
        <v>2.7063180827886715</v>
      </c>
      <c r="O20" s="11"/>
      <c r="P20" s="2">
        <f>--3397.85</f>
        <v>3397.85</v>
      </c>
      <c r="Q20" s="2"/>
      <c r="R20" s="19"/>
      <c r="S20" s="2"/>
      <c r="T20" s="2">
        <f>--2460.28</f>
        <v>2460.2800000000002</v>
      </c>
      <c r="U20" s="2"/>
      <c r="V20" s="19"/>
      <c r="W20" s="2"/>
      <c r="X20" s="2">
        <f t="shared" si="2"/>
        <v>937.56999999999971</v>
      </c>
      <c r="Y20" s="2"/>
      <c r="Z20" s="19">
        <f t="shared" si="3"/>
        <v>0.38108264100021122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--274.82</f>
        <v>274.82</v>
      </c>
      <c r="E21" s="2"/>
      <c r="F21" s="19"/>
      <c r="G21" s="2"/>
      <c r="H21" s="2">
        <f>--311.15</f>
        <v>311.14999999999998</v>
      </c>
      <c r="I21" s="2"/>
      <c r="J21" s="19"/>
      <c r="K21" s="2"/>
      <c r="L21" s="2">
        <f t="shared" si="0"/>
        <v>-36.329999999999984</v>
      </c>
      <c r="M21" s="2"/>
      <c r="N21" s="19">
        <f t="shared" si="1"/>
        <v>-0.11676040494938128</v>
      </c>
      <c r="O21" s="11"/>
      <c r="P21" s="2">
        <f>--3712.28</f>
        <v>3712.28</v>
      </c>
      <c r="Q21" s="2"/>
      <c r="R21" s="19"/>
      <c r="S21" s="2"/>
      <c r="T21" s="2">
        <f>--4407.93</f>
        <v>4407.93</v>
      </c>
      <c r="U21" s="2"/>
      <c r="V21" s="19"/>
      <c r="W21" s="2"/>
      <c r="X21" s="2">
        <f t="shared" si="2"/>
        <v>-695.65000000000009</v>
      </c>
      <c r="Y21" s="2"/>
      <c r="Z21" s="19">
        <f t="shared" si="3"/>
        <v>-0.15781784193487647</v>
      </c>
    </row>
    <row r="22" spans="1:26" s="24" customFormat="1" hidden="1" outlineLevel="1" x14ac:dyDescent="0.25">
      <c r="A22" s="44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--374.48</f>
        <v>374.48</v>
      </c>
      <c r="E22" s="2"/>
      <c r="F22" s="19"/>
      <c r="G22" s="2"/>
      <c r="H22" s="2">
        <f>--39.85</f>
        <v>39.85</v>
      </c>
      <c r="I22" s="2"/>
      <c r="J22" s="19"/>
      <c r="K22" s="2"/>
      <c r="L22" s="2">
        <f t="shared" si="0"/>
        <v>334.63</v>
      </c>
      <c r="M22" s="2"/>
      <c r="N22" s="19">
        <f t="shared" si="1"/>
        <v>8.3972396486825591</v>
      </c>
      <c r="O22" s="11"/>
      <c r="P22" s="2">
        <f>--967.33</f>
        <v>967.33</v>
      </c>
      <c r="Q22" s="2"/>
      <c r="R22" s="19"/>
      <c r="S22" s="2"/>
      <c r="T22" s="2">
        <f>--400.39</f>
        <v>400.39</v>
      </c>
      <c r="U22" s="2"/>
      <c r="V22" s="19"/>
      <c r="W22" s="2"/>
      <c r="X22" s="2">
        <f t="shared" si="2"/>
        <v>566.94000000000005</v>
      </c>
      <c r="Y22" s="2"/>
      <c r="Z22" s="19">
        <f t="shared" si="3"/>
        <v>1.4159694298059393</v>
      </c>
    </row>
    <row r="23" spans="1:26" s="24" customFormat="1" hidden="1" outlineLevel="1" x14ac:dyDescent="0.25">
      <c r="A23" s="44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0</f>
        <v>0</v>
      </c>
      <c r="E23" s="2"/>
      <c r="F23" s="19"/>
      <c r="G23" s="2"/>
      <c r="H23" s="2">
        <f>--79.8</f>
        <v>79.8</v>
      </c>
      <c r="I23" s="2"/>
      <c r="J23" s="19"/>
      <c r="K23" s="2"/>
      <c r="L23" s="2">
        <f t="shared" si="0"/>
        <v>-79.8</v>
      </c>
      <c r="M23" s="2"/>
      <c r="N23" s="19">
        <f t="shared" si="1"/>
        <v>-1</v>
      </c>
      <c r="O23" s="11"/>
      <c r="P23" s="2">
        <f>--140</f>
        <v>140</v>
      </c>
      <c r="Q23" s="2"/>
      <c r="R23" s="19"/>
      <c r="S23" s="2"/>
      <c r="T23" s="2">
        <f>--1827.2</f>
        <v>1827.2</v>
      </c>
      <c r="U23" s="2"/>
      <c r="V23" s="19"/>
      <c r="W23" s="2"/>
      <c r="X23" s="2">
        <f t="shared" si="2"/>
        <v>-1687.2</v>
      </c>
      <c r="Y23" s="2"/>
      <c r="Z23" s="19">
        <f t="shared" si="3"/>
        <v>-0.92338003502626975</v>
      </c>
    </row>
    <row r="24" spans="1:26" s="24" customFormat="1" hidden="1" outlineLevel="1" x14ac:dyDescent="0.25">
      <c r="A24" s="44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-7536.86</f>
        <v>-7536.86</v>
      </c>
      <c r="E24" s="2"/>
      <c r="F24" s="19"/>
      <c r="G24" s="2"/>
      <c r="H24" s="2">
        <f>-7628.65</f>
        <v>-7628.65</v>
      </c>
      <c r="I24" s="2"/>
      <c r="J24" s="19"/>
      <c r="K24" s="2"/>
      <c r="L24" s="2">
        <f t="shared" si="0"/>
        <v>91.789999999999964</v>
      </c>
      <c r="M24" s="2"/>
      <c r="N24" s="19">
        <f t="shared" si="1"/>
        <v>-1.2032273075839102E-2</v>
      </c>
      <c r="O24" s="11"/>
      <c r="P24" s="2">
        <f>-48407.64</f>
        <v>-48407.64</v>
      </c>
      <c r="Q24" s="2"/>
      <c r="R24" s="19"/>
      <c r="S24" s="2"/>
      <c r="T24" s="2">
        <f>-44542.25</f>
        <v>-44542.25</v>
      </c>
      <c r="U24" s="2"/>
      <c r="V24" s="19"/>
      <c r="W24" s="2"/>
      <c r="X24" s="2">
        <f t="shared" si="2"/>
        <v>-3865.3899999999994</v>
      </c>
      <c r="Y24" s="2"/>
      <c r="Z24" s="19">
        <f t="shared" si="3"/>
        <v>8.6780304093304658E-2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-459.1</f>
        <v>-459.1</v>
      </c>
      <c r="E25" s="2"/>
      <c r="F25" s="19"/>
      <c r="G25" s="2"/>
      <c r="H25" s="2">
        <f>-593.9</f>
        <v>-593.9</v>
      </c>
      <c r="I25" s="2"/>
      <c r="J25" s="19"/>
      <c r="K25" s="2"/>
      <c r="L25" s="2">
        <f t="shared" si="0"/>
        <v>134.79999999999995</v>
      </c>
      <c r="M25" s="2"/>
      <c r="N25" s="19">
        <f t="shared" si="1"/>
        <v>-0.22697423808722</v>
      </c>
      <c r="O25" s="11"/>
      <c r="P25" s="2">
        <f>-3004.11</f>
        <v>-3004.11</v>
      </c>
      <c r="Q25" s="2"/>
      <c r="R25" s="19"/>
      <c r="S25" s="2"/>
      <c r="T25" s="2">
        <f>-3896.27</f>
        <v>-3896.27</v>
      </c>
      <c r="U25" s="2"/>
      <c r="V25" s="19"/>
      <c r="W25" s="2"/>
      <c r="X25" s="2">
        <f t="shared" si="2"/>
        <v>892.15999999999985</v>
      </c>
      <c r="Y25" s="2"/>
      <c r="Z25" s="19">
        <f t="shared" si="3"/>
        <v>-0.22897797123915947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-650.06</f>
        <v>-650.05999999999995</v>
      </c>
      <c r="E26" s="2"/>
      <c r="F26" s="19"/>
      <c r="G26" s="2"/>
      <c r="H26" s="2">
        <f>-169.27</f>
        <v>-169.27</v>
      </c>
      <c r="I26" s="2"/>
      <c r="J26" s="19"/>
      <c r="K26" s="2"/>
      <c r="L26" s="2">
        <f t="shared" si="0"/>
        <v>-480.78999999999996</v>
      </c>
      <c r="M26" s="2"/>
      <c r="N26" s="19">
        <f t="shared" si="1"/>
        <v>2.8403733679919649</v>
      </c>
      <c r="O26" s="11"/>
      <c r="P26" s="2">
        <f>-2664.82</f>
        <v>-2664.82</v>
      </c>
      <c r="Q26" s="2"/>
      <c r="R26" s="19"/>
      <c r="S26" s="2"/>
      <c r="T26" s="2">
        <f>-1598.88</f>
        <v>-1598.88</v>
      </c>
      <c r="U26" s="2"/>
      <c r="V26" s="19"/>
      <c r="W26" s="2"/>
      <c r="X26" s="2">
        <f t="shared" si="2"/>
        <v>-1065.94</v>
      </c>
      <c r="Y26" s="2"/>
      <c r="Z26" s="19">
        <f t="shared" si="3"/>
        <v>0.66667917542279598</v>
      </c>
    </row>
    <row r="27" spans="1:26" s="24" customFormat="1" hidden="1" outlineLevel="1" x14ac:dyDescent="0.25">
      <c r="A27" s="44"/>
      <c r="B27" s="11" t="str">
        <f>CONCATENATE("          ", "4243", " - ", "SALES RETURN TAXABLE-CARDS")</f>
        <v xml:space="preserve">          4243 - SALES RETURN TAXABLE-CARDS</v>
      </c>
      <c r="C27" s="11"/>
      <c r="D27" s="2">
        <f>-344.74</f>
        <v>-344.74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-344.74</v>
      </c>
      <c r="M27" s="2"/>
      <c r="N27" s="19">
        <f t="shared" si="1"/>
        <v>0</v>
      </c>
      <c r="O27" s="11"/>
      <c r="P27" s="2">
        <f>-1224.21</f>
        <v>-1224.21</v>
      </c>
      <c r="Q27" s="2"/>
      <c r="R27" s="19"/>
      <c r="S27" s="2"/>
      <c r="T27" s="2">
        <f>-25.94</f>
        <v>-25.94</v>
      </c>
      <c r="U27" s="2"/>
      <c r="V27" s="19"/>
      <c r="W27" s="2"/>
      <c r="X27" s="2">
        <f t="shared" si="2"/>
        <v>-1198.27</v>
      </c>
      <c r="Y27" s="2"/>
      <c r="Z27" s="19">
        <f t="shared" si="3"/>
        <v>46.193909020817266</v>
      </c>
    </row>
    <row r="28" spans="1:26" s="24" customFormat="1" hidden="1" outlineLevel="1" x14ac:dyDescent="0.25">
      <c r="A28" s="44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-370.28</f>
        <v>-370.28</v>
      </c>
      <c r="E28" s="2"/>
      <c r="F28" s="19"/>
      <c r="G28" s="2"/>
      <c r="H28" s="2">
        <f>-268.5</f>
        <v>-268.5</v>
      </c>
      <c r="I28" s="2"/>
      <c r="J28" s="19"/>
      <c r="K28" s="2"/>
      <c r="L28" s="2">
        <f t="shared" si="0"/>
        <v>-101.77999999999997</v>
      </c>
      <c r="M28" s="2"/>
      <c r="N28" s="19">
        <f t="shared" si="1"/>
        <v>0.3790689013035381</v>
      </c>
      <c r="O28" s="11"/>
      <c r="P28" s="2">
        <f>-1971.25</f>
        <v>-1971.25</v>
      </c>
      <c r="Q28" s="2"/>
      <c r="R28" s="19"/>
      <c r="S28" s="2"/>
      <c r="T28" s="2">
        <f>-2812.97</f>
        <v>-2812.97</v>
      </c>
      <c r="U28" s="2"/>
      <c r="V28" s="19"/>
      <c r="W28" s="2"/>
      <c r="X28" s="2">
        <f t="shared" si="2"/>
        <v>841.7199999999998</v>
      </c>
      <c r="Y28" s="2"/>
      <c r="Z28" s="19">
        <f t="shared" si="3"/>
        <v>-0.29922821786225939</v>
      </c>
    </row>
    <row r="29" spans="1:26" s="24" customFormat="1" hidden="1" outlineLevel="1" x14ac:dyDescent="0.25">
      <c r="A29" s="44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-1623.09</f>
        <v>-1623.09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-1623.09</v>
      </c>
      <c r="M29" s="2"/>
      <c r="N29" s="19">
        <f t="shared" si="1"/>
        <v>0</v>
      </c>
      <c r="O29" s="11"/>
      <c r="P29" s="2">
        <f>-1705.06</f>
        <v>-1705.06</v>
      </c>
      <c r="Q29" s="2"/>
      <c r="R29" s="19"/>
      <c r="S29" s="2"/>
      <c r="T29" s="2">
        <f>-185.8</f>
        <v>-185.8</v>
      </c>
      <c r="U29" s="2"/>
      <c r="V29" s="19"/>
      <c r="W29" s="2"/>
      <c r="X29" s="2">
        <f t="shared" si="2"/>
        <v>-1519.26</v>
      </c>
      <c r="Y29" s="2"/>
      <c r="Z29" s="19">
        <f t="shared" si="3"/>
        <v>8.176856835306781</v>
      </c>
    </row>
    <row r="30" spans="1:26" s="24" customFormat="1" hidden="1" outlineLevel="1" x14ac:dyDescent="0.25">
      <c r="A30" s="44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>-216.75</f>
        <v>-216.75</v>
      </c>
      <c r="E30" s="2"/>
      <c r="F30" s="19"/>
      <c r="G30" s="2"/>
      <c r="H30" s="2">
        <f>-194.09</f>
        <v>-194.09</v>
      </c>
      <c r="I30" s="2"/>
      <c r="J30" s="19"/>
      <c r="K30" s="2"/>
      <c r="L30" s="2">
        <f t="shared" si="0"/>
        <v>-22.659999999999997</v>
      </c>
      <c r="M30" s="2"/>
      <c r="N30" s="19">
        <f t="shared" si="1"/>
        <v>0.1167499613581328</v>
      </c>
      <c r="O30" s="11"/>
      <c r="P30" s="2">
        <f>-931.65</f>
        <v>-931.65</v>
      </c>
      <c r="Q30" s="2"/>
      <c r="R30" s="19"/>
      <c r="S30" s="2"/>
      <c r="T30" s="2">
        <f>-495.68</f>
        <v>-495.68</v>
      </c>
      <c r="U30" s="2"/>
      <c r="V30" s="19"/>
      <c r="W30" s="2"/>
      <c r="X30" s="2">
        <f t="shared" si="2"/>
        <v>-435.96999999999997</v>
      </c>
      <c r="Y30" s="2"/>
      <c r="Z30" s="19">
        <f t="shared" si="3"/>
        <v>0.8795392188508715</v>
      </c>
    </row>
    <row r="31" spans="1:26" s="24" customFormat="1" hidden="1" outlineLevel="1" x14ac:dyDescent="0.25">
      <c r="A31" s="44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-9.95</f>
        <v>-9.9499999999999993</v>
      </c>
      <c r="E31" s="2"/>
      <c r="F31" s="19"/>
      <c r="G31" s="2"/>
      <c r="H31" s="2">
        <f>-23.9</f>
        <v>-23.9</v>
      </c>
      <c r="I31" s="2"/>
      <c r="J31" s="19"/>
      <c r="K31" s="2"/>
      <c r="L31" s="2">
        <f t="shared" si="0"/>
        <v>13.95</v>
      </c>
      <c r="M31" s="2"/>
      <c r="N31" s="19">
        <f t="shared" si="1"/>
        <v>-0.58368200836820083</v>
      </c>
      <c r="O31" s="11"/>
      <c r="P31" s="2">
        <f>-30.8</f>
        <v>-30.8</v>
      </c>
      <c r="Q31" s="2"/>
      <c r="R31" s="19"/>
      <c r="S31" s="2"/>
      <c r="T31" s="2">
        <f>-134.6</f>
        <v>-134.6</v>
      </c>
      <c r="U31" s="2"/>
      <c r="V31" s="19"/>
      <c r="W31" s="2"/>
      <c r="X31" s="2">
        <f t="shared" si="2"/>
        <v>103.8</v>
      </c>
      <c r="Y31" s="2"/>
      <c r="Z31" s="19">
        <f t="shared" si="3"/>
        <v>-0.77117384843982173</v>
      </c>
    </row>
    <row r="32" spans="1:26" s="24" customFormat="1" hidden="1" outlineLevel="1" x14ac:dyDescent="0.25">
      <c r="A32" s="44"/>
      <c r="B32" s="11" t="str">
        <f>CONCATENATE("          ", "4342", " - ", "SALES RETURN NON TAXABLE-EVERY")</f>
        <v xml:space="preserve">          4342 - SALES RETURN NON TAXABLE-EVERY</v>
      </c>
      <c r="C32" s="11"/>
      <c r="D32" s="2">
        <f>0</f>
        <v>0</v>
      </c>
      <c r="E32" s="2"/>
      <c r="F32" s="19"/>
      <c r="G32" s="2"/>
      <c r="H32" s="2">
        <f>-14.95</f>
        <v>-14.95</v>
      </c>
      <c r="I32" s="2"/>
      <c r="J32" s="19"/>
      <c r="K32" s="2"/>
      <c r="L32" s="2">
        <f t="shared" si="0"/>
        <v>14.95</v>
      </c>
      <c r="M32" s="2"/>
      <c r="N32" s="19">
        <f t="shared" si="1"/>
        <v>-1</v>
      </c>
      <c r="O32" s="11"/>
      <c r="P32" s="2">
        <f>-109.8</f>
        <v>-109.8</v>
      </c>
      <c r="Q32" s="2"/>
      <c r="R32" s="19"/>
      <c r="S32" s="2"/>
      <c r="T32" s="2">
        <f>-83.7</f>
        <v>-83.7</v>
      </c>
      <c r="U32" s="2"/>
      <c r="V32" s="19"/>
      <c r="W32" s="2"/>
      <c r="X32" s="2">
        <f t="shared" si="2"/>
        <v>-26.099999999999994</v>
      </c>
      <c r="Y32" s="2"/>
      <c r="Z32" s="19">
        <f t="shared" si="3"/>
        <v>0.31182795698924726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91101.719999999987</v>
      </c>
      <c r="E34" s="4"/>
      <c r="F34" s="12">
        <f t="shared" ref="F34:F49" si="4">IF(D$12=0,0,D34/D$12)</f>
        <v>0.46735828230451804</v>
      </c>
      <c r="G34" s="4"/>
      <c r="H34" s="4">
        <f>SUM(OSRRefH16x_0)</f>
        <v>84891.99</v>
      </c>
      <c r="I34" s="4"/>
      <c r="J34" s="12">
        <f t="shared" ref="J34:J49" si="5">IF(H$12=0,0,H34/H$12)</f>
        <v>0.42740685616220997</v>
      </c>
      <c r="K34" s="4"/>
      <c r="L34" s="4">
        <f t="shared" ref="L34:L49" si="6">+D34-H34</f>
        <v>6209.7299999999814</v>
      </c>
      <c r="M34" s="4"/>
      <c r="N34" s="12">
        <f t="shared" ref="N34:N49" si="7">IF(H34=0,0,L34/H34)</f>
        <v>7.3148597411840405E-2</v>
      </c>
      <c r="O34" s="10"/>
      <c r="P34" s="4">
        <f>SUM(OSRRefP16x_0)</f>
        <v>775594.13</v>
      </c>
      <c r="Q34" s="4"/>
      <c r="R34" s="12">
        <f t="shared" ref="R34:R49" si="8">IF(P$12=0,0,P34/P$12)</f>
        <v>0.46669839268964269</v>
      </c>
      <c r="S34" s="4"/>
      <c r="T34" s="4">
        <f>SUM(OSRRefT16x_0)</f>
        <v>706955.49000000022</v>
      </c>
      <c r="U34" s="4"/>
      <c r="V34" s="12">
        <f t="shared" ref="V34:V49" si="9">IF(T$12=0,0,T34/T$12)</f>
        <v>0.45812834687229975</v>
      </c>
      <c r="W34" s="4"/>
      <c r="X34" s="4">
        <f t="shared" ref="X34:X49" si="10">+P34-T34</f>
        <v>68638.639999999781</v>
      </c>
      <c r="Y34" s="4"/>
      <c r="Z34" s="12">
        <f t="shared" ref="Z34:Z49" si="11">IF(T34=0,0,X34/T34)</f>
        <v>9.709046887803327E-2</v>
      </c>
    </row>
    <row r="35" spans="1:26" s="24" customFormat="1" hidden="1" outlineLevel="1" x14ac:dyDescent="0.25">
      <c r="A35" s="44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75681.440000000002</v>
      </c>
      <c r="E35" s="2"/>
      <c r="F35" s="19">
        <f t="shared" si="4"/>
        <v>0.38825115267562949</v>
      </c>
      <c r="G35" s="2"/>
      <c r="H35" s="2">
        <v>92514.7</v>
      </c>
      <c r="I35" s="2"/>
      <c r="J35" s="19">
        <f t="shared" si="5"/>
        <v>0.46578501783018639</v>
      </c>
      <c r="K35" s="2"/>
      <c r="L35" s="2">
        <f t="shared" si="6"/>
        <v>-16833.259999999995</v>
      </c>
      <c r="M35" s="2"/>
      <c r="N35" s="19">
        <f t="shared" si="7"/>
        <v>-0.18195227353058482</v>
      </c>
      <c r="O35" s="11"/>
      <c r="P35" s="2">
        <v>635872.93000000005</v>
      </c>
      <c r="Q35" s="2"/>
      <c r="R35" s="19">
        <f t="shared" si="8"/>
        <v>0.38262393036142978</v>
      </c>
      <c r="S35" s="2"/>
      <c r="T35" s="2">
        <v>577822.76</v>
      </c>
      <c r="U35" s="2"/>
      <c r="V35" s="19">
        <f t="shared" si="9"/>
        <v>0.37444646737800924</v>
      </c>
      <c r="W35" s="2"/>
      <c r="X35" s="2">
        <f t="shared" si="10"/>
        <v>58050.170000000042</v>
      </c>
      <c r="Y35" s="2"/>
      <c r="Z35" s="19">
        <f t="shared" si="11"/>
        <v>0.10046362659719399</v>
      </c>
    </row>
    <row r="36" spans="1:26" s="24" customFormat="1" hidden="1" outlineLevel="1" x14ac:dyDescent="0.25">
      <c r="A36" s="44"/>
      <c r="B36" s="11" t="str">
        <f>CONCATENATE("          ", "5041", " - ", "PURCHASES @ COST-LOGO GIFTS")</f>
        <v xml:space="preserve">          5041 - PURCHASES @ COST-LOGO GIFTS</v>
      </c>
      <c r="C36" s="11"/>
      <c r="D36" s="2">
        <v>13138.03</v>
      </c>
      <c r="E36" s="2"/>
      <c r="F36" s="19">
        <f t="shared" si="4"/>
        <v>6.7399025327570417E-2</v>
      </c>
      <c r="G36" s="2"/>
      <c r="H36" s="2">
        <v>9002.0400000000009</v>
      </c>
      <c r="I36" s="2"/>
      <c r="J36" s="19">
        <f t="shared" si="5"/>
        <v>4.5322693171010134E-2</v>
      </c>
      <c r="K36" s="2"/>
      <c r="L36" s="2">
        <f t="shared" si="6"/>
        <v>4135.99</v>
      </c>
      <c r="M36" s="2"/>
      <c r="N36" s="19">
        <f t="shared" si="7"/>
        <v>0.45945030237590584</v>
      </c>
      <c r="O36" s="11"/>
      <c r="P36" s="2">
        <v>102762.23</v>
      </c>
      <c r="Q36" s="2"/>
      <c r="R36" s="19">
        <f t="shared" si="8"/>
        <v>6.1835134789124023E-2</v>
      </c>
      <c r="S36" s="2"/>
      <c r="T36" s="2">
        <v>95498.51</v>
      </c>
      <c r="U36" s="2"/>
      <c r="V36" s="19">
        <f t="shared" si="9"/>
        <v>6.1885896826500024E-2</v>
      </c>
      <c r="W36" s="2"/>
      <c r="X36" s="2">
        <f t="shared" si="10"/>
        <v>7263.7200000000012</v>
      </c>
      <c r="Y36" s="2"/>
      <c r="Z36" s="19">
        <f t="shared" si="11"/>
        <v>7.6061082000127553E-2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2072.5500000000002</v>
      </c>
      <c r="E37" s="2"/>
      <c r="F37" s="19">
        <f t="shared" si="4"/>
        <v>1.0632328434526033E-2</v>
      </c>
      <c r="G37" s="2"/>
      <c r="H37" s="2">
        <v>20472.099999999999</v>
      </c>
      <c r="I37" s="2"/>
      <c r="J37" s="19">
        <f t="shared" si="5"/>
        <v>0.10307116018882792</v>
      </c>
      <c r="K37" s="2"/>
      <c r="L37" s="2">
        <f t="shared" si="6"/>
        <v>-18399.55</v>
      </c>
      <c r="M37" s="2"/>
      <c r="N37" s="19">
        <f t="shared" si="7"/>
        <v>-0.89876221784770494</v>
      </c>
      <c r="O37" s="11"/>
      <c r="P37" s="2">
        <v>73897.62</v>
      </c>
      <c r="Q37" s="2"/>
      <c r="R37" s="19">
        <f t="shared" si="8"/>
        <v>4.4466427920992632E-2</v>
      </c>
      <c r="S37" s="2"/>
      <c r="T37" s="2">
        <v>88167.17</v>
      </c>
      <c r="U37" s="2"/>
      <c r="V37" s="19">
        <f t="shared" si="9"/>
        <v>5.7134968766575402E-2</v>
      </c>
      <c r="W37" s="2"/>
      <c r="X37" s="2">
        <f t="shared" si="10"/>
        <v>-14269.550000000003</v>
      </c>
      <c r="Y37" s="2"/>
      <c r="Z37" s="19">
        <f t="shared" si="11"/>
        <v>-0.16184652405197994</v>
      </c>
    </row>
    <row r="38" spans="1:26" s="24" customFormat="1" hidden="1" outlineLevel="1" x14ac:dyDescent="0.25">
      <c r="A38" s="44"/>
      <c r="B38" s="11" t="str">
        <f>CONCATENATE("          ", "5043", " - ", "PURCHASES @ COST-CARDS")</f>
        <v xml:space="preserve">          5043 - PURCHASES @ COST-CARDS</v>
      </c>
      <c r="C38" s="11"/>
      <c r="D38" s="2">
        <v>3880.37</v>
      </c>
      <c r="E38" s="2"/>
      <c r="F38" s="19">
        <f t="shared" si="4"/>
        <v>1.9906573200879005E-2</v>
      </c>
      <c r="G38" s="2"/>
      <c r="H38" s="2">
        <v>122.25</v>
      </c>
      <c r="I38" s="2"/>
      <c r="J38" s="19">
        <f t="shared" si="5"/>
        <v>6.1549373699250267E-4</v>
      </c>
      <c r="K38" s="2"/>
      <c r="L38" s="2">
        <f t="shared" si="6"/>
        <v>3758.12</v>
      </c>
      <c r="M38" s="2"/>
      <c r="N38" s="19">
        <f t="shared" si="7"/>
        <v>30.741267893660531</v>
      </c>
      <c r="O38" s="11"/>
      <c r="P38" s="2">
        <v>10325.94</v>
      </c>
      <c r="Q38" s="2"/>
      <c r="R38" s="19">
        <f t="shared" si="8"/>
        <v>6.2134296980944003E-3</v>
      </c>
      <c r="S38" s="2"/>
      <c r="T38" s="2">
        <v>2521.31</v>
      </c>
      <c r="U38" s="2"/>
      <c r="V38" s="19">
        <f t="shared" si="9"/>
        <v>1.6338844504236011E-3</v>
      </c>
      <c r="W38" s="2"/>
      <c r="X38" s="2">
        <f t="shared" si="10"/>
        <v>7804.630000000001</v>
      </c>
      <c r="Y38" s="2"/>
      <c r="Z38" s="19">
        <f t="shared" si="11"/>
        <v>3.0954662457214708</v>
      </c>
    </row>
    <row r="39" spans="1:26" s="24" customFormat="1" hidden="1" outlineLevel="1" x14ac:dyDescent="0.25">
      <c r="A39" s="44"/>
      <c r="B39" s="11" t="str">
        <f>CONCATENATE("          ", "5044", " - ", "PURCHASES @ COST-ACCESSORIES")</f>
        <v xml:space="preserve">          5044 - PURCHASES @ COST-ACCESSORIES</v>
      </c>
      <c r="C39" s="11"/>
      <c r="D39" s="2">
        <v>1874.4</v>
      </c>
      <c r="E39" s="2"/>
      <c r="F39" s="19">
        <f t="shared" si="4"/>
        <v>9.6158048865772096E-3</v>
      </c>
      <c r="G39" s="2"/>
      <c r="H39" s="2">
        <v>4614.92</v>
      </c>
      <c r="I39" s="2"/>
      <c r="J39" s="19">
        <f t="shared" si="5"/>
        <v>2.3234800463979063E-2</v>
      </c>
      <c r="K39" s="2"/>
      <c r="L39" s="2">
        <f t="shared" si="6"/>
        <v>-2740.52</v>
      </c>
      <c r="M39" s="2"/>
      <c r="N39" s="19">
        <f t="shared" si="7"/>
        <v>-0.59383911313738913</v>
      </c>
      <c r="O39" s="11"/>
      <c r="P39" s="2">
        <v>25516.400000000001</v>
      </c>
      <c r="Q39" s="2"/>
      <c r="R39" s="19">
        <f t="shared" si="8"/>
        <v>1.5353987874077902E-2</v>
      </c>
      <c r="S39" s="2"/>
      <c r="T39" s="2">
        <v>23407.38</v>
      </c>
      <c r="U39" s="2"/>
      <c r="V39" s="19">
        <f t="shared" si="9"/>
        <v>1.5168683821964136E-2</v>
      </c>
      <c r="W39" s="2"/>
      <c r="X39" s="2">
        <f t="shared" si="10"/>
        <v>2109.0200000000004</v>
      </c>
      <c r="Y39" s="2"/>
      <c r="Z39" s="19">
        <f t="shared" si="11"/>
        <v>9.0100643472272438E-2</v>
      </c>
    </row>
    <row r="40" spans="1:26" s="24" customFormat="1" hidden="1" outlineLevel="1" x14ac:dyDescent="0.25">
      <c r="A40" s="44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6862.4</v>
      </c>
      <c r="E40" s="2"/>
      <c r="F40" s="19">
        <f t="shared" si="4"/>
        <v>3.5204598513469611E-2</v>
      </c>
      <c r="G40" s="2"/>
      <c r="H40" s="2">
        <v>4160.3100000000004</v>
      </c>
      <c r="I40" s="2"/>
      <c r="J40" s="19">
        <f t="shared" si="5"/>
        <v>2.0945969316542159E-2</v>
      </c>
      <c r="K40" s="2"/>
      <c r="L40" s="2">
        <f t="shared" si="6"/>
        <v>2702.0899999999992</v>
      </c>
      <c r="M40" s="2"/>
      <c r="N40" s="19">
        <f t="shared" si="7"/>
        <v>0.64949246570568031</v>
      </c>
      <c r="O40" s="11"/>
      <c r="P40" s="2">
        <v>49014.43</v>
      </c>
      <c r="Q40" s="2"/>
      <c r="R40" s="19">
        <f t="shared" si="8"/>
        <v>2.9493461611937423E-2</v>
      </c>
      <c r="S40" s="2"/>
      <c r="T40" s="2">
        <v>55328.24</v>
      </c>
      <c r="U40" s="2"/>
      <c r="V40" s="19">
        <f t="shared" si="9"/>
        <v>3.585435785575955E-2</v>
      </c>
      <c r="W40" s="2"/>
      <c r="X40" s="2">
        <f t="shared" si="10"/>
        <v>-6313.8099999999977</v>
      </c>
      <c r="Y40" s="2"/>
      <c r="Z40" s="19">
        <f t="shared" si="11"/>
        <v>-0.11411550412592192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-104949</v>
      </c>
      <c r="E41" s="2"/>
      <c r="F41" s="19">
        <f t="shared" si="4"/>
        <v>-0.5383958104147416</v>
      </c>
      <c r="G41" s="2"/>
      <c r="H41" s="2">
        <v>-133083</v>
      </c>
      <c r="I41" s="2"/>
      <c r="J41" s="19">
        <f t="shared" si="5"/>
        <v>-0.67003478936747018</v>
      </c>
      <c r="K41" s="2"/>
      <c r="L41" s="2">
        <f t="shared" si="6"/>
        <v>28134</v>
      </c>
      <c r="M41" s="2"/>
      <c r="N41" s="19">
        <f t="shared" si="7"/>
        <v>-0.21140190708054371</v>
      </c>
      <c r="O41" s="11"/>
      <c r="P41" s="2">
        <v>-929771</v>
      </c>
      <c r="Q41" s="2"/>
      <c r="R41" s="19">
        <f t="shared" si="8"/>
        <v>-0.55947126787749379</v>
      </c>
      <c r="S41" s="2"/>
      <c r="T41" s="2">
        <v>-869055</v>
      </c>
      <c r="U41" s="2"/>
      <c r="V41" s="19">
        <f t="shared" si="9"/>
        <v>-0.56317368790941325</v>
      </c>
      <c r="W41" s="2"/>
      <c r="X41" s="2">
        <f t="shared" si="10"/>
        <v>-60716</v>
      </c>
      <c r="Y41" s="2"/>
      <c r="Z41" s="19">
        <f t="shared" si="11"/>
        <v>6.9864392932553171E-2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91102</v>
      </c>
      <c r="E42" s="2"/>
      <c r="F42" s="19">
        <f t="shared" si="4"/>
        <v>0.46735971872436882</v>
      </c>
      <c r="G42" s="2"/>
      <c r="H42" s="2">
        <v>84892</v>
      </c>
      <c r="I42" s="2"/>
      <c r="J42" s="19">
        <f t="shared" si="5"/>
        <v>0.42740690650934593</v>
      </c>
      <c r="K42" s="2"/>
      <c r="L42" s="2">
        <f t="shared" si="6"/>
        <v>6210</v>
      </c>
      <c r="M42" s="2"/>
      <c r="N42" s="19">
        <f t="shared" si="7"/>
        <v>7.3151769306884037E-2</v>
      </c>
      <c r="O42" s="11"/>
      <c r="P42" s="2">
        <v>775567</v>
      </c>
      <c r="Q42" s="2"/>
      <c r="R42" s="19">
        <f t="shared" si="8"/>
        <v>0.46668206774995591</v>
      </c>
      <c r="S42" s="2"/>
      <c r="T42" s="2">
        <v>706954</v>
      </c>
      <c r="U42" s="2"/>
      <c r="V42" s="19">
        <f t="shared" si="9"/>
        <v>0.4581273813076403</v>
      </c>
      <c r="W42" s="2"/>
      <c r="X42" s="2">
        <f t="shared" si="10"/>
        <v>68613</v>
      </c>
      <c r="Y42" s="2"/>
      <c r="Z42" s="19">
        <f t="shared" si="11"/>
        <v>9.7054405237115851E-2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29.23</v>
      </c>
      <c r="Q43" s="2"/>
      <c r="R43" s="19">
        <f t="shared" si="8"/>
        <v>1.7588573057300287E-5</v>
      </c>
      <c r="S43" s="2"/>
      <c r="T43" s="2"/>
      <c r="U43" s="2"/>
      <c r="V43" s="19">
        <f t="shared" si="9"/>
        <v>0</v>
      </c>
      <c r="W43" s="2"/>
      <c r="X43" s="2">
        <f t="shared" si="10"/>
        <v>29.23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>
        <v>1400.5</v>
      </c>
      <c r="E44" s="2"/>
      <c r="F44" s="19">
        <f t="shared" si="4"/>
        <v>7.1846642891866099E-3</v>
      </c>
      <c r="G44" s="2"/>
      <c r="H44" s="2">
        <v>1692.94</v>
      </c>
      <c r="I44" s="2"/>
      <c r="J44" s="19">
        <f t="shared" si="5"/>
        <v>8.5234680335712684E-3</v>
      </c>
      <c r="K44" s="2"/>
      <c r="L44" s="2">
        <f t="shared" si="6"/>
        <v>-292.44000000000005</v>
      </c>
      <c r="M44" s="2"/>
      <c r="N44" s="19">
        <f t="shared" si="7"/>
        <v>-0.17274091225914684</v>
      </c>
      <c r="O44" s="11"/>
      <c r="P44" s="2">
        <v>25677.89</v>
      </c>
      <c r="Q44" s="2"/>
      <c r="R44" s="19">
        <f t="shared" si="8"/>
        <v>1.5451161280270969E-2</v>
      </c>
      <c r="S44" s="2"/>
      <c r="T44" s="2">
        <v>17933.310000000001</v>
      </c>
      <c r="U44" s="2"/>
      <c r="V44" s="19">
        <f t="shared" si="9"/>
        <v>1.1621322389403157E-2</v>
      </c>
      <c r="W44" s="2"/>
      <c r="X44" s="2">
        <f t="shared" si="10"/>
        <v>7744.5799999999981</v>
      </c>
      <c r="Y44" s="2"/>
      <c r="Z44" s="19">
        <f t="shared" si="11"/>
        <v>0.43185446523815169</v>
      </c>
    </row>
    <row r="45" spans="1:26" s="24" customFormat="1" hidden="1" outlineLevel="1" x14ac:dyDescent="0.25">
      <c r="A45" s="44"/>
      <c r="B45" s="11" t="str">
        <f>CONCATENATE("          ", "5541", " - ", "FREIGHT-IN-LOGO GIFTS")</f>
        <v xml:space="preserve">          5541 - FREIGHT-IN-LOGO GIFTS</v>
      </c>
      <c r="C45" s="11"/>
      <c r="D45" s="2">
        <v>24.8</v>
      </c>
      <c r="E45" s="2"/>
      <c r="F45" s="19">
        <f t="shared" si="4"/>
        <v>1.2722575820908814E-4</v>
      </c>
      <c r="G45" s="2"/>
      <c r="H45" s="2">
        <v>72.37</v>
      </c>
      <c r="I45" s="2"/>
      <c r="J45" s="19">
        <f t="shared" si="5"/>
        <v>3.6436222287237156E-4</v>
      </c>
      <c r="K45" s="2"/>
      <c r="L45" s="2">
        <f t="shared" si="6"/>
        <v>-47.570000000000007</v>
      </c>
      <c r="M45" s="2"/>
      <c r="N45" s="19">
        <f t="shared" si="7"/>
        <v>-0.65731656763852431</v>
      </c>
      <c r="O45" s="11"/>
      <c r="P45" s="2">
        <v>3587.57</v>
      </c>
      <c r="Q45" s="2"/>
      <c r="R45" s="19">
        <f t="shared" si="8"/>
        <v>2.1587491290858294E-3</v>
      </c>
      <c r="S45" s="2"/>
      <c r="T45" s="2">
        <v>4828.58</v>
      </c>
      <c r="U45" s="2"/>
      <c r="V45" s="19">
        <f t="shared" si="9"/>
        <v>3.1290645654942838E-3</v>
      </c>
      <c r="W45" s="2"/>
      <c r="X45" s="2">
        <f t="shared" si="10"/>
        <v>-1241.0099999999998</v>
      </c>
      <c r="Y45" s="2"/>
      <c r="Z45" s="19">
        <f t="shared" si="11"/>
        <v>-0.25701344908855189</v>
      </c>
    </row>
    <row r="46" spans="1:26" s="24" customFormat="1" hidden="1" outlineLevel="1" x14ac:dyDescent="0.25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/>
      <c r="E46" s="2"/>
      <c r="F46" s="19">
        <f t="shared" si="4"/>
        <v>0</v>
      </c>
      <c r="G46" s="2"/>
      <c r="H46" s="2">
        <v>120.49</v>
      </c>
      <c r="I46" s="2"/>
      <c r="J46" s="19">
        <f t="shared" si="5"/>
        <v>6.0663264106524859E-4</v>
      </c>
      <c r="K46" s="2"/>
      <c r="L46" s="2">
        <f t="shared" si="6"/>
        <v>-120.49</v>
      </c>
      <c r="M46" s="2"/>
      <c r="N46" s="19">
        <f t="shared" si="7"/>
        <v>-1</v>
      </c>
      <c r="O46" s="11"/>
      <c r="P46" s="2">
        <v>1708.33</v>
      </c>
      <c r="Q46" s="2"/>
      <c r="R46" s="19">
        <f t="shared" si="8"/>
        <v>1.0279537123153539E-3</v>
      </c>
      <c r="S46" s="2"/>
      <c r="T46" s="2">
        <v>1312.91</v>
      </c>
      <c r="U46" s="2"/>
      <c r="V46" s="19">
        <f t="shared" si="9"/>
        <v>8.5080503143431408E-4</v>
      </c>
      <c r="W46" s="2"/>
      <c r="X46" s="2">
        <f t="shared" si="10"/>
        <v>395.41999999999985</v>
      </c>
      <c r="Y46" s="2"/>
      <c r="Z46" s="19">
        <f t="shared" si="11"/>
        <v>0.30117829858863121</v>
      </c>
    </row>
    <row r="47" spans="1:26" s="24" customFormat="1" hidden="1" outlineLevel="1" x14ac:dyDescent="0.25">
      <c r="A47" s="44"/>
      <c r="B47" s="11" t="str">
        <f>CONCATENATE("          ", "5543", " - ", "FREIGHT-IN-CARDS")</f>
        <v xml:space="preserve">          5543 - FREIGHT-IN-CARDS</v>
      </c>
      <c r="C47" s="11"/>
      <c r="D47" s="2"/>
      <c r="E47" s="2"/>
      <c r="F47" s="19">
        <f t="shared" si="4"/>
        <v>0</v>
      </c>
      <c r="G47" s="2"/>
      <c r="H47" s="2">
        <v>44.71</v>
      </c>
      <c r="I47" s="2"/>
      <c r="J47" s="19">
        <f t="shared" si="5"/>
        <v>2.2510204483382245E-4</v>
      </c>
      <c r="K47" s="2"/>
      <c r="L47" s="2">
        <f t="shared" si="6"/>
        <v>-44.71</v>
      </c>
      <c r="M47" s="2"/>
      <c r="N47" s="19">
        <f t="shared" si="7"/>
        <v>-1</v>
      </c>
      <c r="O47" s="11"/>
      <c r="P47" s="2">
        <v>121.35</v>
      </c>
      <c r="Q47" s="2"/>
      <c r="R47" s="19">
        <f t="shared" si="8"/>
        <v>7.3019956910824139E-5</v>
      </c>
      <c r="S47" s="2"/>
      <c r="T47" s="2">
        <v>57.18</v>
      </c>
      <c r="U47" s="2"/>
      <c r="V47" s="19">
        <f t="shared" si="9"/>
        <v>3.705435383797372E-5</v>
      </c>
      <c r="W47" s="2"/>
      <c r="X47" s="2">
        <f t="shared" si="10"/>
        <v>64.169999999999987</v>
      </c>
      <c r="Y47" s="2"/>
      <c r="Z47" s="19">
        <f t="shared" si="11"/>
        <v>1.1222455403987406</v>
      </c>
    </row>
    <row r="48" spans="1:26" s="24" customFormat="1" hidden="1" outlineLevel="1" x14ac:dyDescent="0.25">
      <c r="A48" s="44"/>
      <c r="B48" s="11" t="str">
        <f>CONCATENATE("          ", "5544", " - ", "FREIGHT-IN-ACCESSORIES")</f>
        <v xml:space="preserve">          5544 - FREIGHT-IN-ACCESSORIES</v>
      </c>
      <c r="C48" s="11"/>
      <c r="D48" s="2"/>
      <c r="E48" s="2"/>
      <c r="F48" s="19">
        <f t="shared" si="4"/>
        <v>0</v>
      </c>
      <c r="G48" s="2"/>
      <c r="H48" s="2">
        <v>145.19999999999999</v>
      </c>
      <c r="I48" s="2"/>
      <c r="J48" s="19">
        <f t="shared" si="5"/>
        <v>7.3104041399845712E-4</v>
      </c>
      <c r="K48" s="2"/>
      <c r="L48" s="2">
        <f t="shared" si="6"/>
        <v>-145.19999999999999</v>
      </c>
      <c r="M48" s="2"/>
      <c r="N48" s="19">
        <f t="shared" si="7"/>
        <v>-1</v>
      </c>
      <c r="O48" s="11"/>
      <c r="P48" s="2">
        <v>442.31</v>
      </c>
      <c r="Q48" s="2"/>
      <c r="R48" s="19">
        <f t="shared" si="8"/>
        <v>2.6615127434055728E-4</v>
      </c>
      <c r="S48" s="2"/>
      <c r="T48" s="2">
        <v>735.65</v>
      </c>
      <c r="U48" s="2"/>
      <c r="V48" s="19">
        <f t="shared" si="9"/>
        <v>4.7672324940373147E-4</v>
      </c>
      <c r="W48" s="2"/>
      <c r="X48" s="2">
        <f t="shared" si="10"/>
        <v>-293.33999999999997</v>
      </c>
      <c r="Y48" s="2"/>
      <c r="Z48" s="19">
        <f t="shared" si="11"/>
        <v>-0.39874940528784064</v>
      </c>
    </row>
    <row r="49" spans="1:26" s="24" customFormat="1" hidden="1" outlineLevel="1" x14ac:dyDescent="0.25">
      <c r="A49" s="44"/>
      <c r="B49" s="11" t="str">
        <f>CONCATENATE("          ", "5545", " - ", "FREIGHT-IN-SPECIAL ORDERS")</f>
        <v xml:space="preserve">          5545 - FREIGHT-IN-SPECIAL ORDERS</v>
      </c>
      <c r="C49" s="11"/>
      <c r="D49" s="2">
        <v>14.23</v>
      </c>
      <c r="E49" s="2"/>
      <c r="F49" s="19">
        <f t="shared" si="4"/>
        <v>7.3000908843359849E-5</v>
      </c>
      <c r="G49" s="2"/>
      <c r="H49" s="2">
        <v>120.96</v>
      </c>
      <c r="I49" s="2"/>
      <c r="J49" s="19">
        <f t="shared" si="5"/>
        <v>6.0899895645491302E-4</v>
      </c>
      <c r="K49" s="2"/>
      <c r="L49" s="2">
        <f t="shared" si="6"/>
        <v>-106.72999999999999</v>
      </c>
      <c r="M49" s="2"/>
      <c r="N49" s="19">
        <f t="shared" si="7"/>
        <v>-0.88235780423280419</v>
      </c>
      <c r="O49" s="11"/>
      <c r="P49" s="2">
        <v>841.9</v>
      </c>
      <c r="Q49" s="2"/>
      <c r="R49" s="19">
        <f t="shared" si="8"/>
        <v>5.0659663554365752E-4</v>
      </c>
      <c r="S49" s="2"/>
      <c r="T49" s="2">
        <v>1443.49</v>
      </c>
      <c r="U49" s="2"/>
      <c r="V49" s="19">
        <f t="shared" si="9"/>
        <v>9.3542478526716837E-4</v>
      </c>
      <c r="W49" s="2"/>
      <c r="X49" s="2">
        <f t="shared" si="10"/>
        <v>-601.59</v>
      </c>
      <c r="Y49" s="2"/>
      <c r="Z49" s="19">
        <f t="shared" si="11"/>
        <v>-0.41676076730701289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1">
        <f>D12-D34</f>
        <v>103827.36000000003</v>
      </c>
      <c r="E51" s="14"/>
      <c r="F51" s="22">
        <f>IF(D$12=0,0,D51/D$12)</f>
        <v>0.53264171769548196</v>
      </c>
      <c r="G51" s="14"/>
      <c r="H51" s="21">
        <f>H12-H34</f>
        <v>113729.04000000002</v>
      </c>
      <c r="I51" s="14"/>
      <c r="J51" s="22">
        <f>IF(H$12=0,0,H51/H$12)</f>
        <v>0.57259314383779003</v>
      </c>
      <c r="K51" s="16"/>
      <c r="L51" s="21">
        <f>+D51-H51</f>
        <v>-9901.679999999993</v>
      </c>
      <c r="M51" s="16"/>
      <c r="N51" s="22">
        <f>IF(H51=0,0,L51/H51)</f>
        <v>-8.7063778960940766E-2</v>
      </c>
      <c r="O51" s="29"/>
      <c r="P51" s="21">
        <f>P12-P34</f>
        <v>886280.30999999994</v>
      </c>
      <c r="Q51" s="14"/>
      <c r="R51" s="22">
        <f>IF(P$12=0,0,P51/P$12)</f>
        <v>0.53330160731035736</v>
      </c>
      <c r="S51" s="14"/>
      <c r="T51" s="21">
        <f>T12-T34</f>
        <v>836183.00999999954</v>
      </c>
      <c r="U51" s="14"/>
      <c r="V51" s="22">
        <f>IF(T$12=0,0,T51/T$12)</f>
        <v>0.54187165312770025</v>
      </c>
      <c r="W51" s="16"/>
      <c r="X51" s="21">
        <f>+P51-T51</f>
        <v>50097.300000000396</v>
      </c>
      <c r="Y51" s="16"/>
      <c r="Z51" s="22">
        <f>IF(T51=0,0,X51/T51)</f>
        <v>5.9911884600478096E-2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0">
        <f>SUM(OSRRefD22x_0)</f>
        <v>61051.05</v>
      </c>
      <c r="E53" s="20"/>
      <c r="F53" s="32">
        <f t="shared" ref="F53:F62" si="12">IF(D$12=0,0,D53/D$12)</f>
        <v>0.3131962147464093</v>
      </c>
      <c r="G53" s="20"/>
      <c r="H53" s="20">
        <f>SUM(OSRRefH22x_0)</f>
        <v>64780.25</v>
      </c>
      <c r="I53" s="20"/>
      <c r="J53" s="32">
        <f t="shared" ref="J53:J62" si="13">IF(H$12=0,0,H53/H$12)</f>
        <v>0.32615000536448729</v>
      </c>
      <c r="K53" s="4"/>
      <c r="L53" s="20">
        <f t="shared" ref="L53:L62" si="14">+D53-H53</f>
        <v>-3729.1999999999971</v>
      </c>
      <c r="M53" s="4"/>
      <c r="N53" s="32">
        <f t="shared" ref="N53:N62" si="15">IF(H53=0,0,L53/H53)</f>
        <v>-5.7566928191848554E-2</v>
      </c>
      <c r="O53" s="10"/>
      <c r="P53" s="20">
        <f>SUM(OSRRefP22x_0)</f>
        <v>421966.18999999994</v>
      </c>
      <c r="Q53" s="20"/>
      <c r="R53" s="32">
        <f t="shared" ref="R53:R62" si="16">IF(P$12=0,0,P53/P$12)</f>
        <v>0.25390978995982388</v>
      </c>
      <c r="S53" s="20"/>
      <c r="T53" s="20">
        <f>SUM(OSRRefT22x_0)</f>
        <v>368391.23000000016</v>
      </c>
      <c r="U53" s="20"/>
      <c r="V53" s="32">
        <f t="shared" ref="V53:V62" si="17">IF(T$12=0,0,T53/T$12)</f>
        <v>0.23872855871329773</v>
      </c>
      <c r="W53" s="4"/>
      <c r="X53" s="20">
        <f t="shared" ref="X53:X62" si="18">+P53-T53</f>
        <v>53574.959999999788</v>
      </c>
      <c r="Y53" s="4"/>
      <c r="Z53" s="32">
        <f t="shared" ref="Z53:Z62" si="19">IF(T53=0,0,X53/T53)</f>
        <v>0.14542952067561371</v>
      </c>
    </row>
    <row r="54" spans="1:26" s="26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4847.47</v>
      </c>
      <c r="E54" s="1"/>
      <c r="F54" s="5">
        <f t="shared" si="12"/>
        <v>2.4867864763943891E-2</v>
      </c>
      <c r="G54" s="1"/>
      <c r="H54" s="1">
        <f>SUM(OSRRefH22_0x_0)</f>
        <v>4994.93</v>
      </c>
      <c r="I54" s="1"/>
      <c r="J54" s="5">
        <f t="shared" si="13"/>
        <v>2.5148041977226681E-2</v>
      </c>
      <c r="K54" s="1"/>
      <c r="L54" s="1">
        <f t="shared" si="14"/>
        <v>-147.46000000000004</v>
      </c>
      <c r="M54" s="1"/>
      <c r="N54" s="5">
        <f t="shared" si="15"/>
        <v>-2.9521935242335734E-2</v>
      </c>
      <c r="O54" s="13"/>
      <c r="P54" s="1">
        <f>SUM(OSRRefP22_0x_0)</f>
        <v>45130.11</v>
      </c>
      <c r="Q54" s="1"/>
      <c r="R54" s="5">
        <f t="shared" si="16"/>
        <v>2.715614905299344E-2</v>
      </c>
      <c r="S54" s="1"/>
      <c r="T54" s="1">
        <f>SUM(OSRRefT22_0x_0)</f>
        <v>36748.370000000003</v>
      </c>
      <c r="U54" s="1"/>
      <c r="V54" s="5">
        <f t="shared" si="17"/>
        <v>2.3814045207218928E-2</v>
      </c>
      <c r="W54" s="1"/>
      <c r="X54" s="1">
        <f t="shared" si="18"/>
        <v>8381.739999999998</v>
      </c>
      <c r="Y54" s="1"/>
      <c r="Z54" s="5">
        <f t="shared" si="19"/>
        <v>0.22808467423180939</v>
      </c>
    </row>
    <row r="55" spans="1:26" s="24" customFormat="1" hidden="1" outlineLevel="2" x14ac:dyDescent="0.25">
      <c r="A55" s="25"/>
      <c r="B55" s="11" t="str">
        <f>CONCATENATE("          ", "6111", " - ", "F.I.C.A.")</f>
        <v xml:space="preserve">          6111 - F.I.C.A.</v>
      </c>
      <c r="C55" s="11"/>
      <c r="D55" s="6">
        <v>797.76</v>
      </c>
      <c r="E55" s="2"/>
      <c r="F55" s="7">
        <f t="shared" si="12"/>
        <v>4.0925653576162156E-3</v>
      </c>
      <c r="G55" s="2"/>
      <c r="H55" s="6">
        <v>823.93</v>
      </c>
      <c r="I55" s="2"/>
      <c r="J55" s="7">
        <f t="shared" si="13"/>
        <v>4.1482515723536414E-3</v>
      </c>
      <c r="K55" s="2"/>
      <c r="L55" s="6">
        <f t="shared" si="14"/>
        <v>-26.169999999999959</v>
      </c>
      <c r="M55" s="2"/>
      <c r="N55" s="7">
        <f t="shared" si="15"/>
        <v>-3.1762407000594663E-2</v>
      </c>
      <c r="O55" s="11"/>
      <c r="P55" s="6">
        <v>9375.93</v>
      </c>
      <c r="Q55" s="2"/>
      <c r="R55" s="7">
        <f t="shared" si="16"/>
        <v>5.6417800131759654E-3</v>
      </c>
      <c r="S55" s="2"/>
      <c r="T55" s="6">
        <v>8353.5400000000009</v>
      </c>
      <c r="U55" s="2"/>
      <c r="V55" s="7">
        <f t="shared" si="17"/>
        <v>5.4133442980004729E-3</v>
      </c>
      <c r="W55" s="2"/>
      <c r="X55" s="6">
        <f t="shared" si="18"/>
        <v>1022.3899999999994</v>
      </c>
      <c r="Y55" s="2"/>
      <c r="Z55" s="7">
        <f t="shared" si="19"/>
        <v>0.12239002865850876</v>
      </c>
    </row>
    <row r="56" spans="1:26" s="24" customFormat="1" hidden="1" outlineLevel="2" x14ac:dyDescent="0.25">
      <c r="A56" s="25"/>
      <c r="B56" s="11" t="str">
        <f>CONCATENATE("          ", "6112", " - ", "COMPENSATION INSURANCE")</f>
        <v xml:space="preserve">          6112 - COMPENSATION INSURANCE</v>
      </c>
      <c r="C56" s="11"/>
      <c r="D56" s="6">
        <v>375.63</v>
      </c>
      <c r="E56" s="2"/>
      <c r="F56" s="7">
        <f t="shared" si="12"/>
        <v>1.9270085304870877E-3</v>
      </c>
      <c r="G56" s="2"/>
      <c r="H56" s="6">
        <v>177.7</v>
      </c>
      <c r="I56" s="2"/>
      <c r="J56" s="7">
        <f t="shared" si="13"/>
        <v>8.9466860583695476E-4</v>
      </c>
      <c r="K56" s="2"/>
      <c r="L56" s="6">
        <f t="shared" si="14"/>
        <v>197.93</v>
      </c>
      <c r="M56" s="2"/>
      <c r="N56" s="7">
        <f t="shared" si="15"/>
        <v>1.1138435565559934</v>
      </c>
      <c r="O56" s="11"/>
      <c r="P56" s="6">
        <v>3023.42</v>
      </c>
      <c r="Q56" s="2"/>
      <c r="R56" s="7">
        <f t="shared" si="16"/>
        <v>1.819283050047993E-3</v>
      </c>
      <c r="S56" s="2"/>
      <c r="T56" s="6">
        <v>1808.61</v>
      </c>
      <c r="U56" s="2"/>
      <c r="V56" s="7">
        <f t="shared" si="17"/>
        <v>1.1720334888929284E-3</v>
      </c>
      <c r="W56" s="2"/>
      <c r="X56" s="6">
        <f t="shared" si="18"/>
        <v>1214.8100000000002</v>
      </c>
      <c r="Y56" s="2"/>
      <c r="Z56" s="7">
        <f t="shared" si="19"/>
        <v>0.67168156761269715</v>
      </c>
    </row>
    <row r="57" spans="1:26" s="24" customFormat="1" hidden="1" outlineLevel="2" x14ac:dyDescent="0.25">
      <c r="A57" s="25"/>
      <c r="B57" s="11" t="str">
        <f>CONCATENATE("          ", "6113", " - ", "GROUP INSURANCE")</f>
        <v xml:space="preserve">          6113 - GROUP INSURANCE</v>
      </c>
      <c r="C57" s="11"/>
      <c r="D57" s="6">
        <v>1427.92</v>
      </c>
      <c r="E57" s="2"/>
      <c r="F57" s="7">
        <f t="shared" si="12"/>
        <v>7.3253308331419813E-3</v>
      </c>
      <c r="G57" s="2"/>
      <c r="H57" s="6">
        <v>2002.98</v>
      </c>
      <c r="I57" s="2"/>
      <c r="J57" s="7">
        <f t="shared" si="13"/>
        <v>1.0084430636574585E-2</v>
      </c>
      <c r="K57" s="2"/>
      <c r="L57" s="6">
        <f t="shared" si="14"/>
        <v>-575.05999999999995</v>
      </c>
      <c r="M57" s="2"/>
      <c r="N57" s="7">
        <f t="shared" si="15"/>
        <v>-0.28710221769563349</v>
      </c>
      <c r="O57" s="11"/>
      <c r="P57" s="6">
        <v>15208.12</v>
      </c>
      <c r="Q57" s="2"/>
      <c r="R57" s="7">
        <f t="shared" si="16"/>
        <v>9.1511847308994067E-3</v>
      </c>
      <c r="S57" s="2"/>
      <c r="T57" s="6">
        <v>11315.78</v>
      </c>
      <c r="U57" s="2"/>
      <c r="V57" s="7">
        <f t="shared" si="17"/>
        <v>7.3329646042788786E-3</v>
      </c>
      <c r="W57" s="2"/>
      <c r="X57" s="6">
        <f t="shared" si="18"/>
        <v>3892.34</v>
      </c>
      <c r="Y57" s="2"/>
      <c r="Z57" s="7">
        <f t="shared" si="19"/>
        <v>0.34397452053680788</v>
      </c>
    </row>
    <row r="58" spans="1:26" s="24" customFormat="1" hidden="1" outlineLevel="2" x14ac:dyDescent="0.25">
      <c r="A58" s="25"/>
      <c r="B58" s="11" t="str">
        <f>CONCATENATE("          ", "6114", " - ", "STATE UNEMPLOYMENT INSURANCE")</f>
        <v xml:space="preserve">          6114 - STATE UNEMPLOYMENT INSURANCE</v>
      </c>
      <c r="C58" s="11"/>
      <c r="D58" s="6">
        <v>51.4</v>
      </c>
      <c r="E58" s="2"/>
      <c r="F58" s="7">
        <f t="shared" si="12"/>
        <v>2.6368564403012621E-4</v>
      </c>
      <c r="G58" s="2"/>
      <c r="H58" s="6">
        <v>38.83</v>
      </c>
      <c r="I58" s="2"/>
      <c r="J58" s="7">
        <f t="shared" si="13"/>
        <v>1.9549792889504196E-4</v>
      </c>
      <c r="K58" s="2"/>
      <c r="L58" s="6">
        <f t="shared" si="14"/>
        <v>12.57</v>
      </c>
      <c r="M58" s="2"/>
      <c r="N58" s="7">
        <f t="shared" si="15"/>
        <v>0.32371877414370337</v>
      </c>
      <c r="O58" s="11"/>
      <c r="P58" s="6">
        <v>466.32</v>
      </c>
      <c r="Q58" s="2"/>
      <c r="R58" s="7">
        <f t="shared" si="16"/>
        <v>2.8059881587684808E-4</v>
      </c>
      <c r="S58" s="2"/>
      <c r="T58" s="6">
        <v>395.16</v>
      </c>
      <c r="U58" s="2"/>
      <c r="V58" s="7">
        <f t="shared" si="17"/>
        <v>2.5607552400513635E-4</v>
      </c>
      <c r="W58" s="2"/>
      <c r="X58" s="6">
        <f t="shared" si="18"/>
        <v>71.159999999999968</v>
      </c>
      <c r="Y58" s="2"/>
      <c r="Z58" s="7">
        <f t="shared" si="19"/>
        <v>0.18007895535985413</v>
      </c>
    </row>
    <row r="59" spans="1:26" s="24" customFormat="1" hidden="1" outlineLevel="2" x14ac:dyDescent="0.25">
      <c r="A59" s="25"/>
      <c r="B59" s="11" t="str">
        <f>CONCATENATE("          ", "6115", " - ", "P.E.R.S.")</f>
        <v xml:space="preserve">          6115 - P.E.R.S.</v>
      </c>
      <c r="C59" s="11"/>
      <c r="D59" s="6">
        <v>932.78</v>
      </c>
      <c r="E59" s="2"/>
      <c r="F59" s="7">
        <f t="shared" si="12"/>
        <v>4.7852275299303717E-3</v>
      </c>
      <c r="G59" s="2"/>
      <c r="H59" s="6">
        <v>925.11</v>
      </c>
      <c r="I59" s="2"/>
      <c r="J59" s="7">
        <f t="shared" si="13"/>
        <v>4.6576638938988476E-3</v>
      </c>
      <c r="K59" s="2"/>
      <c r="L59" s="6">
        <f t="shared" si="14"/>
        <v>7.6699999999999591</v>
      </c>
      <c r="M59" s="2"/>
      <c r="N59" s="7">
        <f t="shared" si="15"/>
        <v>8.2909059463198535E-3</v>
      </c>
      <c r="O59" s="11"/>
      <c r="P59" s="6">
        <v>6153.92</v>
      </c>
      <c r="Q59" s="2"/>
      <c r="R59" s="7">
        <f t="shared" si="16"/>
        <v>3.7029993673890309E-3</v>
      </c>
      <c r="S59" s="2"/>
      <c r="T59" s="6">
        <v>5466.77</v>
      </c>
      <c r="U59" s="2"/>
      <c r="V59" s="7">
        <f t="shared" si="17"/>
        <v>3.5426308137603986E-3</v>
      </c>
      <c r="W59" s="2"/>
      <c r="X59" s="6">
        <f t="shared" si="18"/>
        <v>687.14999999999964</v>
      </c>
      <c r="Y59" s="2"/>
      <c r="Z59" s="7">
        <f t="shared" si="19"/>
        <v>0.1256957947746109</v>
      </c>
    </row>
    <row r="60" spans="1:26" s="24" customFormat="1" hidden="1" outlineLevel="2" x14ac:dyDescent="0.25">
      <c r="A60" s="25"/>
      <c r="B60" s="11" t="str">
        <f>CONCATENATE("          ", "6118", " - ", "VACATION")</f>
        <v xml:space="preserve">          6118 - VACATION</v>
      </c>
      <c r="C60" s="11"/>
      <c r="D60" s="6">
        <v>565.20000000000005</v>
      </c>
      <c r="E60" s="2"/>
      <c r="F60" s="7">
        <f t="shared" si="12"/>
        <v>2.8995160701522833E-3</v>
      </c>
      <c r="G60" s="2"/>
      <c r="H60" s="6">
        <v>548.74</v>
      </c>
      <c r="I60" s="2"/>
      <c r="J60" s="7">
        <f t="shared" si="13"/>
        <v>2.7627487381371445E-3</v>
      </c>
      <c r="K60" s="2"/>
      <c r="L60" s="6">
        <f t="shared" si="14"/>
        <v>16.460000000000036</v>
      </c>
      <c r="M60" s="2"/>
      <c r="N60" s="7">
        <f t="shared" si="15"/>
        <v>2.9995990815322442E-2</v>
      </c>
      <c r="O60" s="11"/>
      <c r="P60" s="6">
        <v>5081.93</v>
      </c>
      <c r="Q60" s="2"/>
      <c r="R60" s="7">
        <f t="shared" si="16"/>
        <v>3.0579506355486162E-3</v>
      </c>
      <c r="S60" s="2"/>
      <c r="T60" s="6">
        <v>4621.46</v>
      </c>
      <c r="U60" s="2"/>
      <c r="V60" s="7">
        <f t="shared" si="17"/>
        <v>2.9948445975523266E-3</v>
      </c>
      <c r="W60" s="2"/>
      <c r="X60" s="6">
        <f t="shared" si="18"/>
        <v>460.47000000000025</v>
      </c>
      <c r="Y60" s="2"/>
      <c r="Z60" s="7">
        <f t="shared" si="19"/>
        <v>9.9637344042791731E-2</v>
      </c>
    </row>
    <row r="61" spans="1:26" s="24" customFormat="1" hidden="1" outlineLevel="2" x14ac:dyDescent="0.25">
      <c r="A61" s="25"/>
      <c r="B61" s="11" t="str">
        <f>CONCATENATE("          ", "6119", " - ", "SICK LEAVE")</f>
        <v xml:space="preserve">          6119 - SICK LEAVE</v>
      </c>
      <c r="C61" s="11"/>
      <c r="D61" s="6">
        <v>369.18</v>
      </c>
      <c r="E61" s="2"/>
      <c r="F61" s="7">
        <f t="shared" si="12"/>
        <v>1.8939195732109338E-3</v>
      </c>
      <c r="G61" s="2"/>
      <c r="H61" s="6">
        <v>339.1</v>
      </c>
      <c r="I61" s="2"/>
      <c r="J61" s="7">
        <f t="shared" si="13"/>
        <v>1.7072713800749093E-3</v>
      </c>
      <c r="K61" s="2"/>
      <c r="L61" s="6">
        <f t="shared" si="14"/>
        <v>30.079999999999984</v>
      </c>
      <c r="M61" s="2"/>
      <c r="N61" s="7">
        <f t="shared" si="15"/>
        <v>8.8705396638159781E-2</v>
      </c>
      <c r="O61" s="11"/>
      <c r="P61" s="6">
        <v>4567.71</v>
      </c>
      <c r="Q61" s="2"/>
      <c r="R61" s="7">
        <f t="shared" si="16"/>
        <v>2.7485289442203591E-3</v>
      </c>
      <c r="S61" s="2"/>
      <c r="T61" s="6">
        <v>3871.89</v>
      </c>
      <c r="U61" s="2"/>
      <c r="V61" s="7">
        <f t="shared" si="17"/>
        <v>2.5091007709288574E-3</v>
      </c>
      <c r="W61" s="2"/>
      <c r="X61" s="6">
        <f t="shared" si="18"/>
        <v>695.82000000000016</v>
      </c>
      <c r="Y61" s="2"/>
      <c r="Z61" s="7">
        <f t="shared" si="19"/>
        <v>0.17971068392955383</v>
      </c>
    </row>
    <row r="62" spans="1:26" s="24" customFormat="1" hidden="1" outlineLevel="2" x14ac:dyDescent="0.25">
      <c r="A62" s="25"/>
      <c r="B62" s="11" t="str">
        <f>CONCATENATE("          ", "6156", " - ", "EMPLOYEE MEALS")</f>
        <v xml:space="preserve">          6156 - EMPLOYEE MEALS</v>
      </c>
      <c r="C62" s="11"/>
      <c r="D62" s="6">
        <v>327.60000000000002</v>
      </c>
      <c r="E62" s="2"/>
      <c r="F62" s="7">
        <f t="shared" si="12"/>
        <v>1.6806112253748902E-3</v>
      </c>
      <c r="G62" s="2"/>
      <c r="H62" s="6">
        <v>138.54</v>
      </c>
      <c r="I62" s="2"/>
      <c r="J62" s="7">
        <f t="shared" si="13"/>
        <v>6.975092214555527E-4</v>
      </c>
      <c r="K62" s="2"/>
      <c r="L62" s="6">
        <f t="shared" si="14"/>
        <v>189.06000000000003</v>
      </c>
      <c r="M62" s="2"/>
      <c r="N62" s="7">
        <f t="shared" si="15"/>
        <v>1.3646600259852752</v>
      </c>
      <c r="O62" s="11"/>
      <c r="P62" s="6">
        <v>1252.76</v>
      </c>
      <c r="Q62" s="2"/>
      <c r="R62" s="7">
        <f t="shared" si="16"/>
        <v>7.538234958352209E-4</v>
      </c>
      <c r="S62" s="2"/>
      <c r="T62" s="6">
        <v>915.16</v>
      </c>
      <c r="U62" s="2"/>
      <c r="V62" s="7">
        <f t="shared" si="17"/>
        <v>5.9305110979993058E-4</v>
      </c>
      <c r="W62" s="2"/>
      <c r="X62" s="6">
        <f t="shared" si="18"/>
        <v>337.6</v>
      </c>
      <c r="Y62" s="2"/>
      <c r="Z62" s="7">
        <f t="shared" si="19"/>
        <v>0.36889724201232577</v>
      </c>
    </row>
    <row r="63" spans="1:26" s="26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24897.08</v>
      </c>
      <c r="E63" s="1"/>
      <c r="F63" s="5">
        <f t="shared" ref="F63:F69" si="20">IF(D$12=0,0,D63/D$12)</f>
        <v>0.12772378549162597</v>
      </c>
      <c r="G63" s="1"/>
      <c r="H63" s="1">
        <f>SUM(OSRRefH22_1x_0)</f>
        <v>22780.400000000001</v>
      </c>
      <c r="I63" s="1"/>
      <c r="J63" s="5">
        <f t="shared" ref="J63:J69" si="21">IF(H$12=0,0,H63/H$12)</f>
        <v>0.11469278958023729</v>
      </c>
      <c r="K63" s="1"/>
      <c r="L63" s="1">
        <f t="shared" ref="L63:L69" si="22">+D63-H63</f>
        <v>2116.6800000000003</v>
      </c>
      <c r="M63" s="1"/>
      <c r="N63" s="5">
        <f t="shared" ref="N63:N69" si="23">IF(H63=0,0,L63/H63)</f>
        <v>9.2916717880283051E-2</v>
      </c>
      <c r="O63" s="13"/>
      <c r="P63" s="1">
        <f>SUM(OSRRefP22_1x_0)</f>
        <v>171743.74</v>
      </c>
      <c r="Q63" s="1"/>
      <c r="R63" s="5">
        <f t="shared" ref="R63:R69" si="24">IF(P$12=0,0,P63/P$12)</f>
        <v>0.10334339097242509</v>
      </c>
      <c r="S63" s="1"/>
      <c r="T63" s="1">
        <f>SUM(OSRRefT22_1x_0)</f>
        <v>137982.33000000002</v>
      </c>
      <c r="U63" s="1"/>
      <c r="V63" s="5">
        <f t="shared" ref="V63:V69" si="25">IF(T$12=0,0,T63/T$12)</f>
        <v>8.941668554053965E-2</v>
      </c>
      <c r="W63" s="1"/>
      <c r="X63" s="1">
        <f t="shared" ref="X63:X69" si="26">+P63-T63</f>
        <v>33761.409999999974</v>
      </c>
      <c r="Y63" s="1"/>
      <c r="Z63" s="5">
        <f t="shared" ref="Z63:Z69" si="27">IF(T63=0,0,X63/T63)</f>
        <v>0.24467922813015239</v>
      </c>
    </row>
    <row r="64" spans="1:26" s="24" customFormat="1" hidden="1" outlineLevel="2" x14ac:dyDescent="0.25">
      <c r="A64" s="25"/>
      <c r="B64" s="11" t="str">
        <f>CONCATENATE("          ", "6002", " - ", "STAFF SALARIES")</f>
        <v xml:space="preserve">          6002 - STAFF SALARIES</v>
      </c>
      <c r="C64" s="11"/>
      <c r="D64" s="6">
        <v>6996.68</v>
      </c>
      <c r="E64" s="2"/>
      <c r="F64" s="7">
        <f t="shared" si="20"/>
        <v>3.589346443332108E-2</v>
      </c>
      <c r="G64" s="2"/>
      <c r="H64" s="6">
        <v>8086.81</v>
      </c>
      <c r="I64" s="2"/>
      <c r="J64" s="7">
        <f t="shared" si="21"/>
        <v>4.0714772247430191E-2</v>
      </c>
      <c r="K64" s="2"/>
      <c r="L64" s="6">
        <f t="shared" si="22"/>
        <v>-1090.1300000000001</v>
      </c>
      <c r="M64" s="2"/>
      <c r="N64" s="7">
        <f t="shared" si="23"/>
        <v>-0.1348034639122225</v>
      </c>
      <c r="O64" s="11"/>
      <c r="P64" s="6">
        <v>57144.32</v>
      </c>
      <c r="Q64" s="2"/>
      <c r="R64" s="7">
        <f t="shared" si="24"/>
        <v>3.4385461756063836E-2</v>
      </c>
      <c r="S64" s="2"/>
      <c r="T64" s="6">
        <v>50218.82</v>
      </c>
      <c r="U64" s="2"/>
      <c r="V64" s="7">
        <f t="shared" si="25"/>
        <v>3.2543300552737173E-2</v>
      </c>
      <c r="W64" s="2"/>
      <c r="X64" s="6">
        <f t="shared" si="26"/>
        <v>6925.5</v>
      </c>
      <c r="Y64" s="2"/>
      <c r="Z64" s="7">
        <f t="shared" si="27"/>
        <v>0.137906466141578</v>
      </c>
    </row>
    <row r="65" spans="1:26" s="24" customFormat="1" hidden="1" outlineLevel="2" x14ac:dyDescent="0.25">
      <c r="A65" s="25"/>
      <c r="B65" s="11" t="str">
        <f>CONCATENATE("          ", "6004", " - ", "STAFF HOURLY")</f>
        <v xml:space="preserve">          6004 - STAFF HOURLY</v>
      </c>
      <c r="C65" s="11"/>
      <c r="D65" s="6">
        <v>1557</v>
      </c>
      <c r="E65" s="2"/>
      <c r="F65" s="7">
        <f t="shared" si="20"/>
        <v>7.9875203843367028E-3</v>
      </c>
      <c r="G65" s="2"/>
      <c r="H65" s="6"/>
      <c r="I65" s="2"/>
      <c r="J65" s="7">
        <f t="shared" si="21"/>
        <v>0</v>
      </c>
      <c r="K65" s="2"/>
      <c r="L65" s="6">
        <f t="shared" si="22"/>
        <v>1557</v>
      </c>
      <c r="M65" s="2"/>
      <c r="N65" s="7">
        <f t="shared" si="23"/>
        <v>0</v>
      </c>
      <c r="O65" s="11"/>
      <c r="P65" s="6">
        <v>644.39</v>
      </c>
      <c r="Q65" s="2"/>
      <c r="R65" s="7">
        <f t="shared" si="24"/>
        <v>3.8774890839526964E-4</v>
      </c>
      <c r="S65" s="2"/>
      <c r="T65" s="6"/>
      <c r="U65" s="2"/>
      <c r="V65" s="7">
        <f t="shared" si="25"/>
        <v>0</v>
      </c>
      <c r="W65" s="2"/>
      <c r="X65" s="6">
        <f t="shared" si="26"/>
        <v>644.39</v>
      </c>
      <c r="Y65" s="2"/>
      <c r="Z65" s="7">
        <f t="shared" si="27"/>
        <v>0</v>
      </c>
    </row>
    <row r="66" spans="1:26" s="24" customFormat="1" hidden="1" outlineLevel="2" x14ac:dyDescent="0.25">
      <c r="A66" s="25"/>
      <c r="B66" s="11" t="str">
        <f>CONCATENATE("          ", "6005", " - ", "TEMPORARY WAGES-HOURLY")</f>
        <v xml:space="preserve">          6005 - TEMPORARY WAGES-HOURLY</v>
      </c>
      <c r="C66" s="11"/>
      <c r="D66" s="6">
        <v>2728.88</v>
      </c>
      <c r="E66" s="2"/>
      <c r="F66" s="7">
        <f t="shared" si="20"/>
        <v>1.399934786538776E-2</v>
      </c>
      <c r="G66" s="2"/>
      <c r="H66" s="6">
        <v>3316.58</v>
      </c>
      <c r="I66" s="2"/>
      <c r="J66" s="7">
        <f t="shared" si="21"/>
        <v>1.6698030415006906E-2</v>
      </c>
      <c r="K66" s="2"/>
      <c r="L66" s="6">
        <f t="shared" si="22"/>
        <v>-587.69999999999982</v>
      </c>
      <c r="M66" s="2"/>
      <c r="N66" s="7">
        <f t="shared" si="23"/>
        <v>-0.17720061026720291</v>
      </c>
      <c r="O66" s="11"/>
      <c r="P66" s="6">
        <v>24562.06</v>
      </c>
      <c r="Q66" s="2"/>
      <c r="R66" s="7">
        <f t="shared" si="24"/>
        <v>1.4779732697495487E-2</v>
      </c>
      <c r="S66" s="2"/>
      <c r="T66" s="6">
        <v>28675.670000000002</v>
      </c>
      <c r="U66" s="2"/>
      <c r="V66" s="7">
        <f t="shared" si="25"/>
        <v>1.8582693646746553E-2</v>
      </c>
      <c r="W66" s="2"/>
      <c r="X66" s="6">
        <f t="shared" si="26"/>
        <v>-4113.6100000000006</v>
      </c>
      <c r="Y66" s="2"/>
      <c r="Z66" s="7">
        <f t="shared" si="27"/>
        <v>-0.14345296901519652</v>
      </c>
    </row>
    <row r="67" spans="1:26" s="24" customFormat="1" hidden="1" outlineLevel="2" x14ac:dyDescent="0.25">
      <c r="A67" s="25"/>
      <c r="B67" s="11" t="str">
        <f>CONCATENATE("          ", "6006", " - ", "TEMPORARY PART TIME")</f>
        <v xml:space="preserve">          6006 - TEMPORARY PART TIME</v>
      </c>
      <c r="C67" s="11"/>
      <c r="D67" s="6"/>
      <c r="E67" s="2"/>
      <c r="F67" s="7">
        <f t="shared" si="20"/>
        <v>0</v>
      </c>
      <c r="G67" s="2"/>
      <c r="H67" s="6">
        <v>102</v>
      </c>
      <c r="I67" s="2"/>
      <c r="J67" s="7">
        <f t="shared" si="21"/>
        <v>5.1354078669313104E-4</v>
      </c>
      <c r="K67" s="2"/>
      <c r="L67" s="6">
        <f t="shared" si="22"/>
        <v>-102</v>
      </c>
      <c r="M67" s="2"/>
      <c r="N67" s="7">
        <f t="shared" si="23"/>
        <v>-1</v>
      </c>
      <c r="O67" s="11"/>
      <c r="P67" s="6">
        <v>66.5</v>
      </c>
      <c r="Q67" s="2"/>
      <c r="R67" s="7">
        <f t="shared" si="24"/>
        <v>4.001505673316692E-5</v>
      </c>
      <c r="S67" s="2"/>
      <c r="T67" s="6">
        <v>5689.91</v>
      </c>
      <c r="U67" s="2"/>
      <c r="V67" s="7">
        <f t="shared" si="25"/>
        <v>3.6872322218647262E-3</v>
      </c>
      <c r="W67" s="2"/>
      <c r="X67" s="6">
        <f t="shared" si="26"/>
        <v>-5623.41</v>
      </c>
      <c r="Y67" s="2"/>
      <c r="Z67" s="7">
        <f t="shared" si="27"/>
        <v>-0.98831264466397539</v>
      </c>
    </row>
    <row r="68" spans="1:26" s="24" customFormat="1" hidden="1" outlineLevel="2" x14ac:dyDescent="0.25">
      <c r="A68" s="25"/>
      <c r="B68" s="11" t="str">
        <f>CONCATENATE("          ", "6007", " - ", "STUDENT HOURLY")</f>
        <v xml:space="preserve">          6007 - STUDENT HOURLY</v>
      </c>
      <c r="C68" s="11"/>
      <c r="D68" s="6">
        <v>13614.52</v>
      </c>
      <c r="E68" s="2"/>
      <c r="F68" s="7">
        <f t="shared" si="20"/>
        <v>6.9843452808580425E-2</v>
      </c>
      <c r="G68" s="2"/>
      <c r="H68" s="6">
        <v>11275.01</v>
      </c>
      <c r="I68" s="2"/>
      <c r="J68" s="7">
        <f t="shared" si="21"/>
        <v>5.6766446131107054E-2</v>
      </c>
      <c r="K68" s="2"/>
      <c r="L68" s="6">
        <f t="shared" si="22"/>
        <v>2339.5100000000002</v>
      </c>
      <c r="M68" s="2"/>
      <c r="N68" s="7">
        <f t="shared" si="23"/>
        <v>0.20749515964952583</v>
      </c>
      <c r="O68" s="11"/>
      <c r="P68" s="6">
        <v>89131.47</v>
      </c>
      <c r="Q68" s="2"/>
      <c r="R68" s="7">
        <f t="shared" si="24"/>
        <v>5.3633095169331811E-2</v>
      </c>
      <c r="S68" s="2"/>
      <c r="T68" s="6">
        <v>53257.68</v>
      </c>
      <c r="U68" s="2"/>
      <c r="V68" s="7">
        <f t="shared" si="25"/>
        <v>3.4512572915522496E-2</v>
      </c>
      <c r="W68" s="2"/>
      <c r="X68" s="6">
        <f t="shared" si="26"/>
        <v>35873.79</v>
      </c>
      <c r="Y68" s="2"/>
      <c r="Z68" s="7">
        <f t="shared" si="27"/>
        <v>0.67358904856539004</v>
      </c>
    </row>
    <row r="69" spans="1:26" s="24" customFormat="1" hidden="1" outlineLevel="2" x14ac:dyDescent="0.25">
      <c r="A69" s="25"/>
      <c r="B69" s="11" t="str">
        <f>CONCATENATE("          ", "6008", " - ", "STUDENT HOURLY-FICA EXEMPT")</f>
        <v xml:space="preserve">          6008 - STUDENT HOURLY-FICA EXEMPT</v>
      </c>
      <c r="C69" s="11"/>
      <c r="D69" s="6"/>
      <c r="E69" s="2"/>
      <c r="F69" s="7">
        <f t="shared" si="20"/>
        <v>0</v>
      </c>
      <c r="G69" s="2"/>
      <c r="H69" s="6"/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>
        <v>195</v>
      </c>
      <c r="Q69" s="2"/>
      <c r="R69" s="7">
        <f t="shared" si="24"/>
        <v>1.1733738440552705E-4</v>
      </c>
      <c r="S69" s="2"/>
      <c r="T69" s="6">
        <v>140.25</v>
      </c>
      <c r="U69" s="2"/>
      <c r="V69" s="7">
        <f t="shared" si="25"/>
        <v>9.0886203668692097E-5</v>
      </c>
      <c r="W69" s="2"/>
      <c r="X69" s="6">
        <f t="shared" si="26"/>
        <v>54.75</v>
      </c>
      <c r="Y69" s="2"/>
      <c r="Z69" s="7">
        <f t="shared" si="27"/>
        <v>0.39037433155080214</v>
      </c>
    </row>
    <row r="70" spans="1:26" s="26" customFormat="1" outlineLevel="1" collapsed="1" x14ac:dyDescent="0.25">
      <c r="A70" s="27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5671.87</v>
      </c>
      <c r="E70" s="1"/>
      <c r="F70" s="5">
        <f t="shared" ref="F70:F74" si="28">IF(D$12=0,0,D70/D$12)</f>
        <v>2.9097095210216965E-2</v>
      </c>
      <c r="G70" s="1"/>
      <c r="H70" s="1">
        <f>SUM(OSRRefH22_2x_0)</f>
        <v>852.43</v>
      </c>
      <c r="I70" s="1"/>
      <c r="J70" s="5">
        <f t="shared" ref="J70:J74" si="29">IF(H$12=0,0,H70/H$12)</f>
        <v>4.2917409098120161E-3</v>
      </c>
      <c r="K70" s="1"/>
      <c r="L70" s="1">
        <f t="shared" ref="L70:L74" si="30">+D70-H70</f>
        <v>4819.4399999999996</v>
      </c>
      <c r="M70" s="1"/>
      <c r="N70" s="5">
        <f t="shared" ref="N70:N74" si="31">IF(H70=0,0,L70/H70)</f>
        <v>5.653766291660312</v>
      </c>
      <c r="O70" s="13"/>
      <c r="P70" s="1">
        <f>SUM(OSRRefP22_2x_0)</f>
        <v>17166.510000000002</v>
      </c>
      <c r="Q70" s="1"/>
      <c r="R70" s="5">
        <f t="shared" ref="R70:R74" si="32">IF(P$12=0,0,P70/P$12)</f>
        <v>1.0329607091134996E-2</v>
      </c>
      <c r="S70" s="1"/>
      <c r="T70" s="1">
        <f>SUM(OSRRefT22_2x_0)</f>
        <v>3465.17</v>
      </c>
      <c r="U70" s="1"/>
      <c r="V70" s="5">
        <f t="shared" ref="V70:V74" si="33">IF(T$12=0,0,T70/T$12)</f>
        <v>2.2455340204395138E-3</v>
      </c>
      <c r="W70" s="1"/>
      <c r="X70" s="1">
        <f t="shared" ref="X70:X74" si="34">+P70-T70</f>
        <v>13701.340000000002</v>
      </c>
      <c r="Y70" s="1"/>
      <c r="Z70" s="5">
        <f t="shared" ref="Z70:Z74" si="35">IF(T70=0,0,X70/T70)</f>
        <v>3.9540166860500356</v>
      </c>
    </row>
    <row r="71" spans="1:26" s="24" customFormat="1" hidden="1" outlineLevel="2" x14ac:dyDescent="0.25">
      <c r="A71" s="25"/>
      <c r="B71" s="11" t="str">
        <f>CONCATENATE("          ", "6362", " - ", "ADVERTISING EXPENSE")</f>
        <v xml:space="preserve">          6362 - ADVERTISING EXPENSE</v>
      </c>
      <c r="C71" s="11"/>
      <c r="D71" s="6">
        <v>5671.87</v>
      </c>
      <c r="E71" s="2"/>
      <c r="F71" s="7">
        <f t="shared" si="28"/>
        <v>2.9097095210216965E-2</v>
      </c>
      <c r="G71" s="2"/>
      <c r="H71" s="6">
        <v>852.43</v>
      </c>
      <c r="I71" s="2"/>
      <c r="J71" s="7">
        <f t="shared" si="29"/>
        <v>4.2917409098120161E-3</v>
      </c>
      <c r="K71" s="2"/>
      <c r="L71" s="6">
        <f t="shared" si="30"/>
        <v>4819.4399999999996</v>
      </c>
      <c r="M71" s="2"/>
      <c r="N71" s="7">
        <f t="shared" si="31"/>
        <v>5.653766291660312</v>
      </c>
      <c r="O71" s="11"/>
      <c r="P71" s="6">
        <v>17166.510000000002</v>
      </c>
      <c r="Q71" s="2"/>
      <c r="R71" s="7">
        <f t="shared" si="32"/>
        <v>1.0329607091134996E-2</v>
      </c>
      <c r="S71" s="2"/>
      <c r="T71" s="6">
        <v>3465.17</v>
      </c>
      <c r="U71" s="2"/>
      <c r="V71" s="7">
        <f t="shared" si="33"/>
        <v>2.2455340204395138E-3</v>
      </c>
      <c r="W71" s="2"/>
      <c r="X71" s="6">
        <f t="shared" si="34"/>
        <v>13701.340000000002</v>
      </c>
      <c r="Y71" s="2"/>
      <c r="Z71" s="7">
        <f t="shared" si="35"/>
        <v>3.9540166860500356</v>
      </c>
    </row>
    <row r="72" spans="1:26" s="26" customFormat="1" outlineLevel="1" collapsed="1" x14ac:dyDescent="0.25">
      <c r="A72" s="27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SUM(OSRRefD22_3x_0)</f>
        <v>20600.53</v>
      </c>
      <c r="E72" s="1"/>
      <c r="F72" s="5">
        <f t="shared" si="28"/>
        <v>0.10568217938544622</v>
      </c>
      <c r="G72" s="1"/>
      <c r="H72" s="1">
        <f>SUM(OSRRefH22_3x_0)</f>
        <v>23976.550000000003</v>
      </c>
      <c r="I72" s="1"/>
      <c r="J72" s="5">
        <f t="shared" si="29"/>
        <v>0.12071506224693326</v>
      </c>
      <c r="K72" s="1"/>
      <c r="L72" s="1">
        <f t="shared" si="30"/>
        <v>-3376.0200000000041</v>
      </c>
      <c r="M72" s="1"/>
      <c r="N72" s="5">
        <f t="shared" si="31"/>
        <v>-0.14080507829525113</v>
      </c>
      <c r="O72" s="13"/>
      <c r="P72" s="1">
        <f>SUM(OSRRefP22_3x_0)</f>
        <v>151279.49</v>
      </c>
      <c r="Q72" s="1"/>
      <c r="R72" s="5">
        <f t="shared" si="32"/>
        <v>9.1029434209241464E-2</v>
      </c>
      <c r="S72" s="1"/>
      <c r="T72" s="1">
        <f>SUM(OSRRefT22_3x_0)</f>
        <v>136056.18</v>
      </c>
      <c r="U72" s="1"/>
      <c r="V72" s="5">
        <f t="shared" si="33"/>
        <v>8.8168482608657631E-2</v>
      </c>
      <c r="W72" s="1"/>
      <c r="X72" s="1">
        <f t="shared" si="34"/>
        <v>15223.309999999998</v>
      </c>
      <c r="Y72" s="1"/>
      <c r="Z72" s="5">
        <f t="shared" si="35"/>
        <v>0.11188988254704783</v>
      </c>
    </row>
    <row r="73" spans="1:26" s="24" customFormat="1" hidden="1" outlineLevel="2" x14ac:dyDescent="0.25">
      <c r="A73" s="25"/>
      <c r="B73" s="11" t="str">
        <f>CONCATENATE("          ", "6382", " - ", "DISCOUNTS/MARK DOWNS")</f>
        <v xml:space="preserve">          6382 - DISCOUNTS/MARK DOWNS</v>
      </c>
      <c r="C73" s="11"/>
      <c r="D73" s="6">
        <v>20600.53</v>
      </c>
      <c r="E73" s="2"/>
      <c r="F73" s="7">
        <f t="shared" si="28"/>
        <v>0.10568217938544622</v>
      </c>
      <c r="G73" s="2"/>
      <c r="H73" s="6">
        <v>23976.550000000003</v>
      </c>
      <c r="I73" s="2"/>
      <c r="J73" s="7">
        <f t="shared" si="29"/>
        <v>0.12071506224693326</v>
      </c>
      <c r="K73" s="2"/>
      <c r="L73" s="6">
        <f t="shared" si="30"/>
        <v>-3376.0200000000041</v>
      </c>
      <c r="M73" s="2"/>
      <c r="N73" s="7">
        <f t="shared" si="31"/>
        <v>-0.14080507829525113</v>
      </c>
      <c r="O73" s="11"/>
      <c r="P73" s="6">
        <v>151298.88</v>
      </c>
      <c r="Q73" s="2"/>
      <c r="R73" s="7">
        <f t="shared" si="32"/>
        <v>9.1041101757362616E-2</v>
      </c>
      <c r="S73" s="2"/>
      <c r="T73" s="6">
        <v>136056.18</v>
      </c>
      <c r="U73" s="2"/>
      <c r="V73" s="7">
        <f t="shared" si="33"/>
        <v>8.8168482608657631E-2</v>
      </c>
      <c r="W73" s="2"/>
      <c r="X73" s="6">
        <f t="shared" si="34"/>
        <v>15242.700000000012</v>
      </c>
      <c r="Y73" s="2"/>
      <c r="Z73" s="7">
        <f t="shared" si="35"/>
        <v>0.11203239720533101</v>
      </c>
    </row>
    <row r="74" spans="1:26" s="24" customFormat="1" hidden="1" outlineLevel="2" x14ac:dyDescent="0.25">
      <c r="A74" s="25"/>
      <c r="B74" s="11" t="str">
        <f>CONCATENATE("          ", "9175", " - ", "EARNED DISCOUNTS")</f>
        <v xml:space="preserve">          9175 - EARNED DISCOUNTS</v>
      </c>
      <c r="C74" s="11"/>
      <c r="D74" s="6"/>
      <c r="E74" s="2"/>
      <c r="F74" s="7">
        <f t="shared" si="28"/>
        <v>0</v>
      </c>
      <c r="G74" s="2"/>
      <c r="H74" s="6"/>
      <c r="I74" s="2"/>
      <c r="J74" s="7">
        <f t="shared" si="29"/>
        <v>0</v>
      </c>
      <c r="K74" s="2"/>
      <c r="L74" s="6">
        <f t="shared" si="30"/>
        <v>0</v>
      </c>
      <c r="M74" s="2"/>
      <c r="N74" s="7">
        <f t="shared" si="31"/>
        <v>0</v>
      </c>
      <c r="O74" s="11"/>
      <c r="P74" s="6">
        <v>-19.39</v>
      </c>
      <c r="Q74" s="2"/>
      <c r="R74" s="7">
        <f t="shared" si="32"/>
        <v>-1.1667548121144459E-5</v>
      </c>
      <c r="S74" s="2"/>
      <c r="T74" s="6">
        <v>0</v>
      </c>
      <c r="U74" s="2"/>
      <c r="V74" s="7">
        <f t="shared" si="33"/>
        <v>0</v>
      </c>
      <c r="W74" s="2"/>
      <c r="X74" s="6">
        <f t="shared" si="34"/>
        <v>-19.39</v>
      </c>
      <c r="Y74" s="2"/>
      <c r="Z74" s="7">
        <f t="shared" si="35"/>
        <v>0</v>
      </c>
    </row>
    <row r="75" spans="1:26" s="26" customFormat="1" outlineLevel="1" collapsed="1" x14ac:dyDescent="0.25">
      <c r="A75" s="27"/>
      <c r="B75" s="13" t="str">
        <f>CONCATENATE("     ","Employees' Appreciation                           ")</f>
        <v xml:space="preserve">     Employees' Appreciation                           </v>
      </c>
      <c r="C75" s="13"/>
      <c r="D75" s="1">
        <f>SUM(OSRRefD22_4x_0)</f>
        <v>0</v>
      </c>
      <c r="E75" s="1"/>
      <c r="F75" s="5">
        <f t="shared" ref="F75:F79" si="36">IF(D$12=0,0,D75/D$12)</f>
        <v>0</v>
      </c>
      <c r="G75" s="1"/>
      <c r="H75" s="1">
        <f>SUM(OSRRefH22_4x_0)</f>
        <v>230.37</v>
      </c>
      <c r="I75" s="1"/>
      <c r="J75" s="5">
        <f t="shared" ref="J75:J79" si="37">IF(H$12=0,0,H75/H$12)</f>
        <v>1.1598469708872217E-3</v>
      </c>
      <c r="K75" s="1"/>
      <c r="L75" s="1">
        <f t="shared" ref="L75:L79" si="38">+D75-H75</f>
        <v>-230.37</v>
      </c>
      <c r="M75" s="1"/>
      <c r="N75" s="5">
        <f t="shared" ref="N75:N79" si="39">IF(H75=0,0,L75/H75)</f>
        <v>-1</v>
      </c>
      <c r="O75" s="13"/>
      <c r="P75" s="1">
        <f>SUM(OSRRefP22_4x_0)</f>
        <v>209.48</v>
      </c>
      <c r="Q75" s="1"/>
      <c r="R75" s="5">
        <f t="shared" ref="R75:R79" si="40">IF(P$12=0,0,P75/P$12)</f>
        <v>1.2605043736035797E-4</v>
      </c>
      <c r="S75" s="1"/>
      <c r="T75" s="1">
        <f>SUM(OSRRefT22_4x_0)</f>
        <v>529.11</v>
      </c>
      <c r="U75" s="1"/>
      <c r="V75" s="5">
        <f t="shared" ref="V75:V79" si="41">IF(T$12=0,0,T75/T$12)</f>
        <v>3.4287913884592996E-4</v>
      </c>
      <c r="W75" s="1"/>
      <c r="X75" s="1">
        <f t="shared" ref="X75:X79" si="42">+P75-T75</f>
        <v>-319.63</v>
      </c>
      <c r="Y75" s="1"/>
      <c r="Z75" s="5">
        <f t="shared" ref="Z75:Z79" si="43">IF(T75=0,0,X75/T75)</f>
        <v>-0.60408988679102638</v>
      </c>
    </row>
    <row r="76" spans="1:26" s="24" customFormat="1" hidden="1" outlineLevel="2" x14ac:dyDescent="0.25">
      <c r="A76" s="25"/>
      <c r="B76" s="11" t="str">
        <f>CONCATENATE("          ", "6277", " - ", "EMPLOYEE APPRECIATION")</f>
        <v xml:space="preserve">          6277 - EMPLOYEE APPRECIATION</v>
      </c>
      <c r="C76" s="11"/>
      <c r="D76" s="6"/>
      <c r="E76" s="2"/>
      <c r="F76" s="7">
        <f t="shared" si="36"/>
        <v>0</v>
      </c>
      <c r="G76" s="2"/>
      <c r="H76" s="6">
        <v>230.37</v>
      </c>
      <c r="I76" s="2"/>
      <c r="J76" s="7">
        <f t="shared" si="37"/>
        <v>1.1598469708872217E-3</v>
      </c>
      <c r="K76" s="2"/>
      <c r="L76" s="6">
        <f t="shared" si="38"/>
        <v>-230.37</v>
      </c>
      <c r="M76" s="2"/>
      <c r="N76" s="7">
        <f t="shared" si="39"/>
        <v>-1</v>
      </c>
      <c r="O76" s="11"/>
      <c r="P76" s="6">
        <v>209.48</v>
      </c>
      <c r="Q76" s="2"/>
      <c r="R76" s="7">
        <f t="shared" si="40"/>
        <v>1.2605043736035797E-4</v>
      </c>
      <c r="S76" s="2"/>
      <c r="T76" s="6">
        <v>529.11</v>
      </c>
      <c r="U76" s="2"/>
      <c r="V76" s="7">
        <f t="shared" si="41"/>
        <v>3.4287913884592996E-4</v>
      </c>
      <c r="W76" s="2"/>
      <c r="X76" s="6">
        <f t="shared" si="42"/>
        <v>-319.63</v>
      </c>
      <c r="Y76" s="2"/>
      <c r="Z76" s="7">
        <f t="shared" si="43"/>
        <v>-0.60408988679102638</v>
      </c>
    </row>
    <row r="77" spans="1:26" s="26" customFormat="1" outlineLevel="1" collapsed="1" x14ac:dyDescent="0.25">
      <c r="A77" s="27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SUM(OSRRefD22_5x_0)</f>
        <v>10.68</v>
      </c>
      <c r="E77" s="1"/>
      <c r="F77" s="5">
        <f t="shared" si="36"/>
        <v>5.4789157164236344E-5</v>
      </c>
      <c r="G77" s="1"/>
      <c r="H77" s="1">
        <f>SUM(OSRRefH22_5x_0)</f>
        <v>0</v>
      </c>
      <c r="I77" s="1"/>
      <c r="J77" s="5">
        <f t="shared" si="37"/>
        <v>0</v>
      </c>
      <c r="K77" s="1"/>
      <c r="L77" s="1">
        <f t="shared" si="38"/>
        <v>10.68</v>
      </c>
      <c r="M77" s="1"/>
      <c r="N77" s="5">
        <f t="shared" si="39"/>
        <v>0</v>
      </c>
      <c r="O77" s="13"/>
      <c r="P77" s="1">
        <f>SUM(OSRRefP22_5x_0)</f>
        <v>81.180000000000007</v>
      </c>
      <c r="Q77" s="1"/>
      <c r="R77" s="5">
        <f t="shared" si="40"/>
        <v>4.8848455723285576E-5</v>
      </c>
      <c r="S77" s="1"/>
      <c r="T77" s="1">
        <f>SUM(OSRRefT22_5x_0)</f>
        <v>27.31</v>
      </c>
      <c r="U77" s="1"/>
      <c r="V77" s="5">
        <f t="shared" si="41"/>
        <v>1.769769855395352E-5</v>
      </c>
      <c r="W77" s="1"/>
      <c r="X77" s="1">
        <f t="shared" si="42"/>
        <v>53.870000000000005</v>
      </c>
      <c r="Y77" s="1"/>
      <c r="Z77" s="5">
        <f t="shared" si="43"/>
        <v>1.9725375320395462</v>
      </c>
    </row>
    <row r="78" spans="1:26" s="24" customFormat="1" hidden="1" outlineLevel="2" x14ac:dyDescent="0.25">
      <c r="A78" s="25"/>
      <c r="B78" s="11" t="str">
        <f>CONCATENATE("          ", "6305", " - ", "FREIGHT OUT")</f>
        <v xml:space="preserve">          6305 - FREIGHT OUT</v>
      </c>
      <c r="C78" s="11"/>
      <c r="D78" s="6">
        <v>10.68</v>
      </c>
      <c r="E78" s="2"/>
      <c r="F78" s="7">
        <f t="shared" si="36"/>
        <v>5.4789157164236344E-5</v>
      </c>
      <c r="G78" s="2"/>
      <c r="H78" s="6"/>
      <c r="I78" s="2"/>
      <c r="J78" s="7">
        <f t="shared" si="37"/>
        <v>0</v>
      </c>
      <c r="K78" s="2"/>
      <c r="L78" s="6">
        <f t="shared" si="38"/>
        <v>10.68</v>
      </c>
      <c r="M78" s="2"/>
      <c r="N78" s="7">
        <f t="shared" si="39"/>
        <v>0</v>
      </c>
      <c r="O78" s="11"/>
      <c r="P78" s="6">
        <v>80.680000000000007</v>
      </c>
      <c r="Q78" s="2"/>
      <c r="R78" s="7">
        <f t="shared" si="40"/>
        <v>4.8547590635066274E-5</v>
      </c>
      <c r="S78" s="2"/>
      <c r="T78" s="6">
        <v>27.31</v>
      </c>
      <c r="U78" s="2"/>
      <c r="V78" s="7">
        <f t="shared" si="41"/>
        <v>1.769769855395352E-5</v>
      </c>
      <c r="W78" s="2"/>
      <c r="X78" s="6">
        <f t="shared" si="42"/>
        <v>53.370000000000005</v>
      </c>
      <c r="Y78" s="2"/>
      <c r="Z78" s="7">
        <f t="shared" si="43"/>
        <v>1.9542292200659102</v>
      </c>
    </row>
    <row r="79" spans="1:26" s="24" customFormat="1" hidden="1" outlineLevel="2" x14ac:dyDescent="0.25">
      <c r="A79" s="25"/>
      <c r="B79" s="11" t="str">
        <f>CONCATENATE("          ", "6307", " - ", "POSTAGE")</f>
        <v xml:space="preserve">          6307 - POSTAGE</v>
      </c>
      <c r="C79" s="11"/>
      <c r="D79" s="6"/>
      <c r="E79" s="2"/>
      <c r="F79" s="7">
        <f t="shared" si="36"/>
        <v>0</v>
      </c>
      <c r="G79" s="2"/>
      <c r="H79" s="6"/>
      <c r="I79" s="2"/>
      <c r="J79" s="7">
        <f t="shared" si="37"/>
        <v>0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>
        <v>0.5</v>
      </c>
      <c r="Q79" s="2"/>
      <c r="R79" s="7">
        <f t="shared" si="40"/>
        <v>3.0086508821930015E-7</v>
      </c>
      <c r="S79" s="2"/>
      <c r="T79" s="6"/>
      <c r="U79" s="2"/>
      <c r="V79" s="7">
        <f t="shared" si="41"/>
        <v>0</v>
      </c>
      <c r="W79" s="2"/>
      <c r="X79" s="6">
        <f t="shared" si="42"/>
        <v>0.5</v>
      </c>
      <c r="Y79" s="2"/>
      <c r="Z79" s="7">
        <f t="shared" si="43"/>
        <v>0</v>
      </c>
    </row>
    <row r="80" spans="1:26" s="26" customFormat="1" outlineLevel="1" collapsed="1" x14ac:dyDescent="0.25">
      <c r="A80" s="27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SUM(OSRRefD22_6x_0)</f>
        <v>0</v>
      </c>
      <c r="E80" s="1"/>
      <c r="F80" s="5">
        <f t="shared" ref="F80:F86" si="44">IF(D$12=0,0,D80/D$12)</f>
        <v>0</v>
      </c>
      <c r="G80" s="1"/>
      <c r="H80" s="1">
        <f>SUM(OSRRefH22_6x_0)</f>
        <v>0</v>
      </c>
      <c r="I80" s="1"/>
      <c r="J80" s="5">
        <f t="shared" ref="J80:J86" si="45">IF(H$12=0,0,H80/H$12)</f>
        <v>0</v>
      </c>
      <c r="K80" s="1"/>
      <c r="L80" s="1">
        <f t="shared" ref="L80:L86" si="46">+D80-H80</f>
        <v>0</v>
      </c>
      <c r="M80" s="1"/>
      <c r="N80" s="5">
        <f t="shared" ref="N80:N86" si="47">IF(H80=0,0,L80/H80)</f>
        <v>0</v>
      </c>
      <c r="O80" s="13"/>
      <c r="P80" s="1">
        <f>SUM(OSRRefP22_6x_0)</f>
        <v>0</v>
      </c>
      <c r="Q80" s="1"/>
      <c r="R80" s="5">
        <f t="shared" ref="R80:R86" si="48">IF(P$12=0,0,P80/P$12)</f>
        <v>0</v>
      </c>
      <c r="S80" s="1"/>
      <c r="T80" s="1">
        <f>SUM(OSRRefT22_6x_0)</f>
        <v>33.06</v>
      </c>
      <c r="U80" s="1"/>
      <c r="V80" s="5">
        <f t="shared" ref="V80:V86" si="49">IF(T$12=0,0,T80/T$12)</f>
        <v>2.1423870896876728E-5</v>
      </c>
      <c r="W80" s="1"/>
      <c r="X80" s="1">
        <f t="shared" ref="X80:X86" si="50">+P80-T80</f>
        <v>-33.06</v>
      </c>
      <c r="Y80" s="1"/>
      <c r="Z80" s="5">
        <f t="shared" ref="Z80:Z86" si="51">IF(T80=0,0,X80/T80)</f>
        <v>-1</v>
      </c>
    </row>
    <row r="81" spans="1:26" s="24" customFormat="1" hidden="1" outlineLevel="2" x14ac:dyDescent="0.25">
      <c r="A81" s="25"/>
      <c r="B81" s="11" t="str">
        <f>CONCATENATE("          ", "6279", " - ", "GENERAL EXPENSE")</f>
        <v xml:space="preserve">          6279 - GENERAL EXPENSE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/>
      <c r="Q81" s="2"/>
      <c r="R81" s="7">
        <f t="shared" si="48"/>
        <v>0</v>
      </c>
      <c r="S81" s="2"/>
      <c r="T81" s="6">
        <v>33.06</v>
      </c>
      <c r="U81" s="2"/>
      <c r="V81" s="7">
        <f t="shared" si="49"/>
        <v>2.1423870896876728E-5</v>
      </c>
      <c r="W81" s="2"/>
      <c r="X81" s="6">
        <f t="shared" si="50"/>
        <v>-33.06</v>
      </c>
      <c r="Y81" s="2"/>
      <c r="Z81" s="7">
        <f t="shared" si="51"/>
        <v>-1</v>
      </c>
    </row>
    <row r="82" spans="1:26" s="26" customFormat="1" outlineLevel="1" collapsed="1" x14ac:dyDescent="0.25">
      <c r="A82" s="27"/>
      <c r="B82" s="13" t="str">
        <f>CONCATENATE("     ","Inventory Adjustment                              ")</f>
        <v xml:space="preserve">     Inventory Adjustment                              </v>
      </c>
      <c r="C82" s="13"/>
      <c r="D82" s="1">
        <f>SUM(OSRRefD22_7x_0)</f>
        <v>2850</v>
      </c>
      <c r="E82" s="1"/>
      <c r="F82" s="5">
        <f t="shared" si="44"/>
        <v>1.4620702052254081E-2</v>
      </c>
      <c r="G82" s="1"/>
      <c r="H82" s="1">
        <f>SUM(OSRRefH22_7x_0)</f>
        <v>1000</v>
      </c>
      <c r="I82" s="1"/>
      <c r="J82" s="5">
        <f t="shared" si="45"/>
        <v>5.0347135950306963E-3</v>
      </c>
      <c r="K82" s="1"/>
      <c r="L82" s="1">
        <f t="shared" si="46"/>
        <v>1850</v>
      </c>
      <c r="M82" s="1"/>
      <c r="N82" s="5">
        <f t="shared" si="47"/>
        <v>1.85</v>
      </c>
      <c r="O82" s="13"/>
      <c r="P82" s="1">
        <f>SUM(OSRRefP22_7x_0)</f>
        <v>19950</v>
      </c>
      <c r="Q82" s="1"/>
      <c r="R82" s="5">
        <f t="shared" si="48"/>
        <v>1.2004517019950076E-2</v>
      </c>
      <c r="S82" s="1"/>
      <c r="T82" s="1">
        <f>SUM(OSRRefT22_7x_0)</f>
        <v>7000</v>
      </c>
      <c r="U82" s="1"/>
      <c r="V82" s="5">
        <f t="shared" si="49"/>
        <v>4.5362098087760759E-3</v>
      </c>
      <c r="W82" s="1"/>
      <c r="X82" s="1">
        <f t="shared" si="50"/>
        <v>12950</v>
      </c>
      <c r="Y82" s="1"/>
      <c r="Z82" s="5">
        <f t="shared" si="51"/>
        <v>1.85</v>
      </c>
    </row>
    <row r="83" spans="1:26" s="24" customFormat="1" hidden="1" outlineLevel="2" x14ac:dyDescent="0.25">
      <c r="A83" s="25"/>
      <c r="B83" s="11" t="str">
        <f>CONCATENATE("          ", "6408", " - ", "INVENTORY ADJUSTMENT")</f>
        <v xml:space="preserve">          6408 - INVENTORY ADJUSTMENT</v>
      </c>
      <c r="C83" s="11"/>
      <c r="D83" s="6">
        <v>2850</v>
      </c>
      <c r="E83" s="2"/>
      <c r="F83" s="7">
        <f t="shared" si="44"/>
        <v>1.4620702052254081E-2</v>
      </c>
      <c r="G83" s="2"/>
      <c r="H83" s="6">
        <v>1000</v>
      </c>
      <c r="I83" s="2"/>
      <c r="J83" s="7">
        <f t="shared" si="45"/>
        <v>5.0347135950306963E-3</v>
      </c>
      <c r="K83" s="2"/>
      <c r="L83" s="6">
        <f t="shared" si="46"/>
        <v>1850</v>
      </c>
      <c r="M83" s="2"/>
      <c r="N83" s="7">
        <f t="shared" si="47"/>
        <v>1.85</v>
      </c>
      <c r="O83" s="11"/>
      <c r="P83" s="6">
        <v>19950</v>
      </c>
      <c r="Q83" s="2"/>
      <c r="R83" s="7">
        <f t="shared" si="48"/>
        <v>1.2004517019950076E-2</v>
      </c>
      <c r="S83" s="2"/>
      <c r="T83" s="6">
        <v>7000</v>
      </c>
      <c r="U83" s="2"/>
      <c r="V83" s="7">
        <f t="shared" si="49"/>
        <v>4.5362098087760759E-3</v>
      </c>
      <c r="W83" s="2"/>
      <c r="X83" s="6">
        <f t="shared" si="50"/>
        <v>12950</v>
      </c>
      <c r="Y83" s="2"/>
      <c r="Z83" s="7">
        <f t="shared" si="51"/>
        <v>1.85</v>
      </c>
    </row>
    <row r="84" spans="1:26" s="26" customFormat="1" outlineLevel="1" collapsed="1" x14ac:dyDescent="0.25">
      <c r="A84" s="27"/>
      <c r="B84" s="13" t="str">
        <f>CONCATENATE("     ","Repair and Maintenance                            ")</f>
        <v xml:space="preserve">     Repair and Maintenance                            </v>
      </c>
      <c r="C84" s="13"/>
      <c r="D84" s="1">
        <f>SUM(OSRRefD22_8x_0)</f>
        <v>0</v>
      </c>
      <c r="E84" s="1"/>
      <c r="F84" s="5">
        <f t="shared" si="44"/>
        <v>0</v>
      </c>
      <c r="G84" s="1"/>
      <c r="H84" s="1">
        <f>SUM(OSRRefH22_8x_0)</f>
        <v>0</v>
      </c>
      <c r="I84" s="1"/>
      <c r="J84" s="5">
        <f t="shared" si="45"/>
        <v>0</v>
      </c>
      <c r="K84" s="1"/>
      <c r="L84" s="1">
        <f t="shared" si="46"/>
        <v>0</v>
      </c>
      <c r="M84" s="1"/>
      <c r="N84" s="5">
        <f t="shared" si="47"/>
        <v>0</v>
      </c>
      <c r="O84" s="13"/>
      <c r="P84" s="1">
        <f>SUM(OSRRefP22_8x_0)</f>
        <v>0</v>
      </c>
      <c r="Q84" s="1"/>
      <c r="R84" s="5">
        <f t="shared" si="48"/>
        <v>0</v>
      </c>
      <c r="S84" s="1"/>
      <c r="T84" s="1">
        <f>SUM(OSRRefT22_8x_0)</f>
        <v>208.67000000000002</v>
      </c>
      <c r="U84" s="1"/>
      <c r="V84" s="5">
        <f t="shared" si="49"/>
        <v>1.3522441439961483E-4</v>
      </c>
      <c r="W84" s="1"/>
      <c r="X84" s="1">
        <f t="shared" si="50"/>
        <v>-208.67000000000002</v>
      </c>
      <c r="Y84" s="1"/>
      <c r="Z84" s="5">
        <f t="shared" si="51"/>
        <v>-1</v>
      </c>
    </row>
    <row r="85" spans="1:26" s="24" customFormat="1" hidden="1" outlineLevel="2" x14ac:dyDescent="0.25">
      <c r="A85" s="25"/>
      <c r="B85" s="11" t="str">
        <f>CONCATENATE("          ", "6371", " - ", "COMPUTER SOFTWARE MAINTENANCE")</f>
        <v xml:space="preserve">          6371 - COMPUTER SOFTWARE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186.58</v>
      </c>
      <c r="U85" s="2"/>
      <c r="V85" s="7">
        <f t="shared" si="49"/>
        <v>1.2090943230306291E-4</v>
      </c>
      <c r="W85" s="2"/>
      <c r="X85" s="6">
        <f t="shared" si="50"/>
        <v>-186.58</v>
      </c>
      <c r="Y85" s="2"/>
      <c r="Z85" s="7">
        <f t="shared" si="51"/>
        <v>-1</v>
      </c>
    </row>
    <row r="86" spans="1:26" s="24" customFormat="1" hidden="1" outlineLevel="2" x14ac:dyDescent="0.25">
      <c r="A86" s="25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44"/>
        <v>0</v>
      </c>
      <c r="G86" s="2"/>
      <c r="H86" s="6"/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/>
      <c r="Q86" s="2"/>
      <c r="R86" s="7">
        <f t="shared" si="48"/>
        <v>0</v>
      </c>
      <c r="S86" s="2"/>
      <c r="T86" s="6">
        <v>22.09</v>
      </c>
      <c r="U86" s="2"/>
      <c r="V86" s="7">
        <f t="shared" si="49"/>
        <v>1.4314982096551932E-5</v>
      </c>
      <c r="W86" s="2"/>
      <c r="X86" s="6">
        <f t="shared" si="50"/>
        <v>-22.09</v>
      </c>
      <c r="Y86" s="2"/>
      <c r="Z86" s="7">
        <f t="shared" si="51"/>
        <v>-1</v>
      </c>
    </row>
    <row r="87" spans="1:26" s="26" customFormat="1" outlineLevel="1" collapsed="1" x14ac:dyDescent="0.25">
      <c r="A87" s="27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SUM(OSRRefD22_9x_0)</f>
        <v>760.81</v>
      </c>
      <c r="E87" s="1"/>
      <c r="F87" s="5">
        <f t="shared" ref="F87:F89" si="52">IF(D$12=0,0,D87/D$12)</f>
        <v>3.9030092380264651E-3</v>
      </c>
      <c r="G87" s="1"/>
      <c r="H87" s="1">
        <f>SUM(OSRRefH22_9x_0)</f>
        <v>9784.25</v>
      </c>
      <c r="I87" s="1"/>
      <c r="J87" s="5">
        <f t="shared" ref="J87:J89" si="53">IF(H$12=0,0,H87/H$12)</f>
        <v>4.9260896492179095E-2</v>
      </c>
      <c r="K87" s="1"/>
      <c r="L87" s="1">
        <f t="shared" ref="L87:L89" si="54">+D87-H87</f>
        <v>-9023.44</v>
      </c>
      <c r="M87" s="1"/>
      <c r="N87" s="5">
        <f t="shared" ref="N87:N89" si="55">IF(H87=0,0,L87/H87)</f>
        <v>-0.92224135728338918</v>
      </c>
      <c r="O87" s="13"/>
      <c r="P87" s="1">
        <f>SUM(OSRRefP22_9x_0)</f>
        <v>7691.6</v>
      </c>
      <c r="Q87" s="1"/>
      <c r="R87" s="5">
        <f t="shared" ref="R87:R89" si="56">IF(P$12=0,0,P87/P$12)</f>
        <v>4.6282678250951382E-3</v>
      </c>
      <c r="S87" s="1"/>
      <c r="T87" s="1">
        <f>SUM(OSRRefT22_9x_0)</f>
        <v>38933.979999999996</v>
      </c>
      <c r="U87" s="1"/>
      <c r="V87" s="5">
        <f t="shared" ref="V87:V89" si="57">IF(T$12=0,0,T87/T$12)</f>
        <v>2.5230385995813079E-2</v>
      </c>
      <c r="W87" s="1"/>
      <c r="X87" s="1">
        <f t="shared" ref="X87:X89" si="58">+P87-T87</f>
        <v>-31242.379999999997</v>
      </c>
      <c r="Y87" s="1"/>
      <c r="Z87" s="5">
        <f t="shared" ref="Z87:Z89" si="59">IF(T87=0,0,X87/T87)</f>
        <v>-0.80244506212824895</v>
      </c>
    </row>
    <row r="88" spans="1:26" s="24" customFormat="1" hidden="1" outlineLevel="2" x14ac:dyDescent="0.25">
      <c r="A88" s="25"/>
      <c r="B88" s="11" t="str">
        <f>CONCATENATE("          ", "6253", " - ", "ROYALTY DUE ATHLETICS-LRG")</f>
        <v xml:space="preserve">          6253 - ROYALTY DUE ATHLETICS-LRG</v>
      </c>
      <c r="C88" s="11"/>
      <c r="D88" s="6"/>
      <c r="E88" s="2"/>
      <c r="F88" s="7">
        <f t="shared" si="52"/>
        <v>0</v>
      </c>
      <c r="G88" s="2"/>
      <c r="H88" s="6">
        <v>9007.2199999999993</v>
      </c>
      <c r="I88" s="2"/>
      <c r="J88" s="7">
        <f t="shared" si="53"/>
        <v>4.5348772987432388E-2</v>
      </c>
      <c r="K88" s="2"/>
      <c r="L88" s="6">
        <f t="shared" si="54"/>
        <v>-9007.2199999999993</v>
      </c>
      <c r="M88" s="2"/>
      <c r="N88" s="7">
        <f t="shared" si="55"/>
        <v>-1</v>
      </c>
      <c r="O88" s="11"/>
      <c r="P88" s="6">
        <v>4366.95</v>
      </c>
      <c r="Q88" s="2"/>
      <c r="R88" s="7">
        <f t="shared" si="56"/>
        <v>2.6277255939985453E-3</v>
      </c>
      <c r="S88" s="2"/>
      <c r="T88" s="6">
        <v>35179.64</v>
      </c>
      <c r="U88" s="2"/>
      <c r="V88" s="7">
        <f t="shared" si="57"/>
        <v>2.2797461148173027E-2</v>
      </c>
      <c r="W88" s="2"/>
      <c r="X88" s="6">
        <f t="shared" si="58"/>
        <v>-30812.69</v>
      </c>
      <c r="Y88" s="2"/>
      <c r="Z88" s="7">
        <f t="shared" si="59"/>
        <v>-0.87586712086877516</v>
      </c>
    </row>
    <row r="89" spans="1:26" s="24" customFormat="1" hidden="1" outlineLevel="2" x14ac:dyDescent="0.25">
      <c r="A89" s="25"/>
      <c r="B89" s="11" t="str">
        <f>CONCATENATE("          ", "6254", " - ", "ROYALTY &amp; COMMISSIONS")</f>
        <v xml:space="preserve">          6254 - ROYALTY &amp; COMMISSIONS</v>
      </c>
      <c r="C89" s="11"/>
      <c r="D89" s="6">
        <v>760.81</v>
      </c>
      <c r="E89" s="2"/>
      <c r="F89" s="7">
        <f t="shared" si="52"/>
        <v>3.9030092380264651E-3</v>
      </c>
      <c r="G89" s="2"/>
      <c r="H89" s="6">
        <v>777.03</v>
      </c>
      <c r="I89" s="2"/>
      <c r="J89" s="7">
        <f t="shared" si="53"/>
        <v>3.9121235047467019E-3</v>
      </c>
      <c r="K89" s="2"/>
      <c r="L89" s="6">
        <f t="shared" si="54"/>
        <v>-16.220000000000027</v>
      </c>
      <c r="M89" s="2"/>
      <c r="N89" s="7">
        <f t="shared" si="55"/>
        <v>-2.0874354915511664E-2</v>
      </c>
      <c r="O89" s="11"/>
      <c r="P89" s="6">
        <v>3324.65</v>
      </c>
      <c r="Q89" s="2"/>
      <c r="R89" s="7">
        <f t="shared" si="56"/>
        <v>2.0005422310965925E-3</v>
      </c>
      <c r="S89" s="2"/>
      <c r="T89" s="6">
        <v>3754.34</v>
      </c>
      <c r="U89" s="2"/>
      <c r="V89" s="7">
        <f t="shared" si="57"/>
        <v>2.4329248476400536E-3</v>
      </c>
      <c r="W89" s="2"/>
      <c r="X89" s="6">
        <f t="shared" si="58"/>
        <v>-429.69000000000005</v>
      </c>
      <c r="Y89" s="2"/>
      <c r="Z89" s="7">
        <f t="shared" si="59"/>
        <v>-0.11445154141606781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SUM(OSRRefD22_10x_0)</f>
        <v>0</v>
      </c>
      <c r="E90" s="1"/>
      <c r="F90" s="5">
        <f t="shared" ref="F90:F92" si="60">IF(D$12=0,0,D90/D$12)</f>
        <v>0</v>
      </c>
      <c r="G90" s="1"/>
      <c r="H90" s="1">
        <f>SUM(OSRRefH22_10x_0)</f>
        <v>0</v>
      </c>
      <c r="I90" s="1"/>
      <c r="J90" s="5">
        <f t="shared" ref="J90:J92" si="61">IF(H$12=0,0,H90/H$12)</f>
        <v>0</v>
      </c>
      <c r="K90" s="1"/>
      <c r="L90" s="1">
        <f t="shared" ref="L90:L92" si="62">+D90-H90</f>
        <v>0</v>
      </c>
      <c r="M90" s="1"/>
      <c r="N90" s="5">
        <f t="shared" ref="N90:N92" si="63">IF(H90=0,0,L90/H90)</f>
        <v>0</v>
      </c>
      <c r="O90" s="13"/>
      <c r="P90" s="1">
        <f>SUM(OSRRefP22_10x_0)</f>
        <v>296.64</v>
      </c>
      <c r="Q90" s="1"/>
      <c r="R90" s="5">
        <f t="shared" ref="R90:R92" si="64">IF(P$12=0,0,P90/P$12)</f>
        <v>1.7849723953874638E-4</v>
      </c>
      <c r="S90" s="1"/>
      <c r="T90" s="1">
        <f>SUM(OSRRefT22_10x_0)</f>
        <v>334.98</v>
      </c>
      <c r="U90" s="1"/>
      <c r="V90" s="5">
        <f t="shared" ref="V90:V92" si="65">IF(T$12=0,0,T90/T$12)</f>
        <v>2.1707708024911574E-4</v>
      </c>
      <c r="W90" s="1"/>
      <c r="X90" s="1">
        <f t="shared" ref="X90:X92" si="66">+P90-T90</f>
        <v>-38.340000000000032</v>
      </c>
      <c r="Y90" s="1"/>
      <c r="Z90" s="5">
        <f t="shared" ref="Z90:Z92" si="67">IF(T90=0,0,X90/T90)</f>
        <v>-0.11445459430413765</v>
      </c>
    </row>
    <row r="91" spans="1:26" s="24" customFormat="1" hidden="1" outlineLevel="2" x14ac:dyDescent="0.25">
      <c r="A91" s="25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60"/>
        <v>0</v>
      </c>
      <c r="G91" s="2"/>
      <c r="H91" s="6"/>
      <c r="I91" s="2"/>
      <c r="J91" s="7">
        <f t="shared" si="61"/>
        <v>0</v>
      </c>
      <c r="K91" s="2"/>
      <c r="L91" s="6">
        <f t="shared" si="62"/>
        <v>0</v>
      </c>
      <c r="M91" s="2"/>
      <c r="N91" s="7">
        <f t="shared" si="63"/>
        <v>0</v>
      </c>
      <c r="O91" s="11"/>
      <c r="P91" s="6"/>
      <c r="Q91" s="2"/>
      <c r="R91" s="7">
        <f t="shared" si="64"/>
        <v>0</v>
      </c>
      <c r="S91" s="2"/>
      <c r="T91" s="6">
        <v>51.48</v>
      </c>
      <c r="U91" s="2"/>
      <c r="V91" s="7">
        <f t="shared" si="65"/>
        <v>3.3360582993684625E-5</v>
      </c>
      <c r="W91" s="2"/>
      <c r="X91" s="6">
        <f t="shared" si="66"/>
        <v>-51.48</v>
      </c>
      <c r="Y91" s="2"/>
      <c r="Z91" s="7">
        <f t="shared" si="67"/>
        <v>-1</v>
      </c>
    </row>
    <row r="92" spans="1:26" s="24" customFormat="1" hidden="1" outlineLevel="2" x14ac:dyDescent="0.25">
      <c r="A92" s="25"/>
      <c r="B92" s="11" t="str">
        <f>CONCATENATE("          ", "6275", " - ", "SUBSCRIPTIONS")</f>
        <v xml:space="preserve">          6275 - SUBSCRIPTIONS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>
        <v>296.64</v>
      </c>
      <c r="Q92" s="2"/>
      <c r="R92" s="7">
        <f t="shared" si="64"/>
        <v>1.7849723953874638E-4</v>
      </c>
      <c r="S92" s="2"/>
      <c r="T92" s="6">
        <v>283.5</v>
      </c>
      <c r="U92" s="2"/>
      <c r="V92" s="7">
        <f t="shared" si="65"/>
        <v>1.8371649725543109E-4</v>
      </c>
      <c r="W92" s="2"/>
      <c r="X92" s="6">
        <f t="shared" si="66"/>
        <v>13.139999999999986</v>
      </c>
      <c r="Y92" s="2"/>
      <c r="Z92" s="7">
        <f t="shared" si="67"/>
        <v>4.63492063492063E-2</v>
      </c>
    </row>
    <row r="93" spans="1:26" s="26" customFormat="1" outlineLevel="1" collapsed="1" x14ac:dyDescent="0.25">
      <c r="A93" s="27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SUM(OSRRefD22_11x_0)</f>
        <v>1445.13</v>
      </c>
      <c r="E93" s="1"/>
      <c r="F93" s="5">
        <f t="shared" ref="F93:F98" si="68">IF(D$12=0,0,D93/D$12)</f>
        <v>7.4136193532540143E-3</v>
      </c>
      <c r="G93" s="1"/>
      <c r="H93" s="1">
        <f>SUM(OSRRefH22_11x_0)</f>
        <v>1573.73</v>
      </c>
      <c r="I93" s="1"/>
      <c r="J93" s="5">
        <f t="shared" ref="J93:J98" si="69">IF(H$12=0,0,H93/H$12)</f>
        <v>7.9232798259076583E-3</v>
      </c>
      <c r="K93" s="1"/>
      <c r="L93" s="1">
        <f t="shared" ref="L93:L98" si="70">+D93-H93</f>
        <v>-128.59999999999991</v>
      </c>
      <c r="M93" s="1"/>
      <c r="N93" s="5">
        <f t="shared" ref="N93:N98" si="71">IF(H93=0,0,L93/H93)</f>
        <v>-8.1716685835562589E-2</v>
      </c>
      <c r="O93" s="13"/>
      <c r="P93" s="1">
        <f>SUM(OSRRefP22_11x_0)</f>
        <v>3252.3799999999997</v>
      </c>
      <c r="Q93" s="1"/>
      <c r="R93" s="5">
        <f t="shared" ref="R93:R98" si="72">IF(P$12=0,0,P93/P$12)</f>
        <v>1.9570551912453747E-3</v>
      </c>
      <c r="S93" s="1"/>
      <c r="T93" s="1">
        <f>SUM(OSRRefT22_11x_0)</f>
        <v>2802.4799999999996</v>
      </c>
      <c r="U93" s="1"/>
      <c r="V93" s="5">
        <f t="shared" ref="V93:V98" si="73">IF(T$12=0,0,T93/T$12)</f>
        <v>1.8160910378426823E-3</v>
      </c>
      <c r="W93" s="1"/>
      <c r="X93" s="1">
        <f t="shared" ref="X93:X98" si="74">+P93-T93</f>
        <v>449.90000000000009</v>
      </c>
      <c r="Y93" s="1"/>
      <c r="Z93" s="5">
        <f t="shared" ref="Z93:Z98" si="75">IF(T93=0,0,X93/T93)</f>
        <v>0.16053638206160264</v>
      </c>
    </row>
    <row r="94" spans="1:26" s="24" customFormat="1" hidden="1" outlineLevel="2" x14ac:dyDescent="0.25">
      <c r="A94" s="25"/>
      <c r="B94" s="11" t="str">
        <f>CONCATENATE("          ", "6234", " - ", "EXPENDABLE SUPPLIES &amp; EQUIPMEN")</f>
        <v xml:space="preserve">          6234 - EXPENDABLE SUPPLIES &amp; EQUIPMEN</v>
      </c>
      <c r="C94" s="11"/>
      <c r="D94" s="6">
        <v>511.92</v>
      </c>
      <c r="E94" s="2"/>
      <c r="F94" s="7">
        <f t="shared" si="68"/>
        <v>2.6261858928385644E-3</v>
      </c>
      <c r="G94" s="2"/>
      <c r="H94" s="6"/>
      <c r="I94" s="2"/>
      <c r="J94" s="7">
        <f t="shared" si="69"/>
        <v>0</v>
      </c>
      <c r="K94" s="2"/>
      <c r="L94" s="6">
        <f t="shared" si="70"/>
        <v>511.92</v>
      </c>
      <c r="M94" s="2"/>
      <c r="N94" s="7">
        <f t="shared" si="71"/>
        <v>0</v>
      </c>
      <c r="O94" s="11"/>
      <c r="P94" s="6">
        <v>532.28</v>
      </c>
      <c r="Q94" s="2"/>
      <c r="R94" s="7">
        <f t="shared" si="72"/>
        <v>3.2028893831473814E-4</v>
      </c>
      <c r="S94" s="2"/>
      <c r="T94" s="6">
        <v>165.95</v>
      </c>
      <c r="U94" s="2"/>
      <c r="V94" s="7">
        <f t="shared" si="73"/>
        <v>1.0754057396662712E-4</v>
      </c>
      <c r="W94" s="2"/>
      <c r="X94" s="6">
        <f t="shared" si="74"/>
        <v>366.33</v>
      </c>
      <c r="Y94" s="2"/>
      <c r="Z94" s="7">
        <f t="shared" si="75"/>
        <v>2.2074721301596867</v>
      </c>
    </row>
    <row r="95" spans="1:26" s="24" customFormat="1" hidden="1" outlineLevel="2" x14ac:dyDescent="0.25">
      <c r="A95" s="25"/>
      <c r="B95" s="11" t="str">
        <f>CONCATENATE("          ", "6241", " - ", "OFFICE EXPENSE")</f>
        <v xml:space="preserve">          6241 - OFFICE EXPENSE</v>
      </c>
      <c r="C95" s="11"/>
      <c r="D95" s="6">
        <v>403.82</v>
      </c>
      <c r="E95" s="2"/>
      <c r="F95" s="7">
        <f t="shared" si="68"/>
        <v>2.0716252290320148E-3</v>
      </c>
      <c r="G95" s="2"/>
      <c r="H95" s="6">
        <v>249.1</v>
      </c>
      <c r="I95" s="2"/>
      <c r="J95" s="7">
        <f t="shared" si="69"/>
        <v>1.2541471565221465E-3</v>
      </c>
      <c r="K95" s="2"/>
      <c r="L95" s="6">
        <f t="shared" si="70"/>
        <v>154.72</v>
      </c>
      <c r="M95" s="2"/>
      <c r="N95" s="7">
        <f t="shared" si="71"/>
        <v>0.62111601766358893</v>
      </c>
      <c r="O95" s="11"/>
      <c r="P95" s="6">
        <v>2486.04</v>
      </c>
      <c r="Q95" s="2"/>
      <c r="R95" s="7">
        <f t="shared" si="72"/>
        <v>1.4959252878334179E-3</v>
      </c>
      <c r="S95" s="2"/>
      <c r="T95" s="6">
        <v>754.56</v>
      </c>
      <c r="U95" s="2"/>
      <c r="V95" s="7">
        <f t="shared" si="73"/>
        <v>4.8897749618715368E-4</v>
      </c>
      <c r="W95" s="2"/>
      <c r="X95" s="6">
        <f t="shared" si="74"/>
        <v>1731.48</v>
      </c>
      <c r="Y95" s="2"/>
      <c r="Z95" s="7">
        <f t="shared" si="75"/>
        <v>2.2946882951653946</v>
      </c>
    </row>
    <row r="96" spans="1:26" s="24" customFormat="1" hidden="1" outlineLevel="2" x14ac:dyDescent="0.25">
      <c r="A96" s="25"/>
      <c r="B96" s="11" t="str">
        <f>CONCATENATE("          ", "6245", " - ", "PRINTING")</f>
        <v xml:space="preserve">          6245 - PRINTING</v>
      </c>
      <c r="C96" s="11"/>
      <c r="D96" s="6">
        <v>88.2</v>
      </c>
      <c r="E96" s="2"/>
      <c r="F96" s="7">
        <f t="shared" si="68"/>
        <v>4.5247225298554732E-4</v>
      </c>
      <c r="G96" s="2"/>
      <c r="H96" s="6"/>
      <c r="I96" s="2"/>
      <c r="J96" s="7">
        <f t="shared" si="69"/>
        <v>0</v>
      </c>
      <c r="K96" s="2"/>
      <c r="L96" s="6">
        <f t="shared" si="70"/>
        <v>88.2</v>
      </c>
      <c r="M96" s="2"/>
      <c r="N96" s="7">
        <f t="shared" si="71"/>
        <v>0</v>
      </c>
      <c r="O96" s="11"/>
      <c r="P96" s="6">
        <v>-528.98</v>
      </c>
      <c r="Q96" s="2"/>
      <c r="R96" s="7">
        <f t="shared" si="72"/>
        <v>-3.1830322873249077E-4</v>
      </c>
      <c r="S96" s="2"/>
      <c r="T96" s="6">
        <v>220.5</v>
      </c>
      <c r="U96" s="2"/>
      <c r="V96" s="7">
        <f t="shared" si="73"/>
        <v>1.428906089764464E-4</v>
      </c>
      <c r="W96" s="2"/>
      <c r="X96" s="6">
        <f t="shared" si="74"/>
        <v>-749.48</v>
      </c>
      <c r="Y96" s="2"/>
      <c r="Z96" s="7">
        <f t="shared" si="75"/>
        <v>-3.3990022675736964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6">
        <v>441.19</v>
      </c>
      <c r="E97" s="2"/>
      <c r="F97" s="7">
        <f t="shared" si="68"/>
        <v>2.263335978397887E-3</v>
      </c>
      <c r="G97" s="2"/>
      <c r="H97" s="6">
        <v>848.35</v>
      </c>
      <c r="I97" s="2"/>
      <c r="J97" s="7">
        <f t="shared" si="69"/>
        <v>4.2711992783442919E-3</v>
      </c>
      <c r="K97" s="2"/>
      <c r="L97" s="6">
        <f t="shared" si="70"/>
        <v>-407.16</v>
      </c>
      <c r="M97" s="2"/>
      <c r="N97" s="7">
        <f t="shared" si="71"/>
        <v>-0.47994341957918313</v>
      </c>
      <c r="O97" s="11"/>
      <c r="P97" s="6">
        <v>763.04</v>
      </c>
      <c r="Q97" s="2"/>
      <c r="R97" s="7">
        <f t="shared" si="72"/>
        <v>4.5914419382970953E-4</v>
      </c>
      <c r="S97" s="2"/>
      <c r="T97" s="6">
        <v>1086.19</v>
      </c>
      <c r="U97" s="2"/>
      <c r="V97" s="7">
        <f t="shared" si="73"/>
        <v>7.0388367602778376E-4</v>
      </c>
      <c r="W97" s="2"/>
      <c r="X97" s="6">
        <f t="shared" si="74"/>
        <v>-323.15000000000009</v>
      </c>
      <c r="Y97" s="2"/>
      <c r="Z97" s="7">
        <f t="shared" si="75"/>
        <v>-0.29750780250232473</v>
      </c>
    </row>
    <row r="98" spans="1:26" s="24" customFormat="1" hidden="1" outlineLevel="2" x14ac:dyDescent="0.25">
      <c r="A98" s="25"/>
      <c r="B98" s="11" t="str">
        <f>CONCATENATE("          ", "6248", " - ", "UNIFORMS")</f>
        <v xml:space="preserve">          6248 - UNIFORMS</v>
      </c>
      <c r="C98" s="11"/>
      <c r="D98" s="6"/>
      <c r="E98" s="2"/>
      <c r="F98" s="7">
        <f t="shared" si="68"/>
        <v>0</v>
      </c>
      <c r="G98" s="2"/>
      <c r="H98" s="6">
        <v>476.28</v>
      </c>
      <c r="I98" s="2"/>
      <c r="J98" s="7">
        <f t="shared" si="69"/>
        <v>2.3979333910412199E-3</v>
      </c>
      <c r="K98" s="2"/>
      <c r="L98" s="6">
        <f t="shared" si="70"/>
        <v>-476.28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575.28</v>
      </c>
      <c r="U98" s="2"/>
      <c r="V98" s="7">
        <f t="shared" si="73"/>
        <v>3.7279868268467157E-4</v>
      </c>
      <c r="W98" s="2"/>
      <c r="X98" s="6">
        <f t="shared" si="74"/>
        <v>-575.28</v>
      </c>
      <c r="Y98" s="2"/>
      <c r="Z98" s="7">
        <f t="shared" si="75"/>
        <v>-1</v>
      </c>
    </row>
    <row r="99" spans="1:26" s="26" customFormat="1" outlineLevel="1" collapsed="1" x14ac:dyDescent="0.25">
      <c r="A99" s="27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386.48</v>
      </c>
      <c r="E99" s="1"/>
      <c r="F99" s="5">
        <f t="shared" ref="F99:F105" si="76">IF(D$12=0,0,D99/D$12)</f>
        <v>1.9826697997035641E-3</v>
      </c>
      <c r="G99" s="1"/>
      <c r="H99" s="1">
        <f>SUM(OSRRefH22_12x_0)</f>
        <v>240.09</v>
      </c>
      <c r="I99" s="1"/>
      <c r="J99" s="5">
        <f t="shared" ref="J99:J105" si="77">IF(H$12=0,0,H99/H$12)</f>
        <v>1.20878438703092E-3</v>
      </c>
      <c r="K99" s="1"/>
      <c r="L99" s="1">
        <f t="shared" ref="L99:L105" si="78">+D99-H99</f>
        <v>146.39000000000001</v>
      </c>
      <c r="M99" s="1"/>
      <c r="N99" s="5">
        <f t="shared" ref="N99:N105" si="79">IF(H99=0,0,L99/H99)</f>
        <v>0.6097296847015703</v>
      </c>
      <c r="O99" s="13"/>
      <c r="P99" s="1">
        <f>SUM(OSRRefP22_12x_0)</f>
        <v>3885.04</v>
      </c>
      <c r="Q99" s="1"/>
      <c r="R99" s="5">
        <f t="shared" ref="R99:R105" si="80">IF(P$12=0,0,P99/P$12)</f>
        <v>2.3377458046710195E-3</v>
      </c>
      <c r="S99" s="1"/>
      <c r="T99" s="1">
        <f>SUM(OSRRefT22_12x_0)</f>
        <v>3346.96</v>
      </c>
      <c r="U99" s="1"/>
      <c r="V99" s="5">
        <f t="shared" ref="V99:V105" si="81">IF(T$12=0,0,T99/T$12)</f>
        <v>2.1689303973687394E-3</v>
      </c>
      <c r="W99" s="1"/>
      <c r="X99" s="1">
        <f t="shared" ref="X99:X105" si="82">+P99-T99</f>
        <v>538.07999999999993</v>
      </c>
      <c r="Y99" s="1"/>
      <c r="Z99" s="5">
        <f t="shared" ref="Z99:Z105" si="83">IF(T99=0,0,X99/T99)</f>
        <v>0.16076678538136097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6">
        <v>386.48</v>
      </c>
      <c r="E100" s="2"/>
      <c r="F100" s="7">
        <f t="shared" si="76"/>
        <v>1.9826697997035641E-3</v>
      </c>
      <c r="G100" s="2"/>
      <c r="H100" s="6">
        <v>240.09</v>
      </c>
      <c r="I100" s="2"/>
      <c r="J100" s="7">
        <f t="shared" si="77"/>
        <v>1.20878438703092E-3</v>
      </c>
      <c r="K100" s="2"/>
      <c r="L100" s="6">
        <f t="shared" si="78"/>
        <v>146.39000000000001</v>
      </c>
      <c r="M100" s="2"/>
      <c r="N100" s="7">
        <f t="shared" si="79"/>
        <v>0.6097296847015703</v>
      </c>
      <c r="O100" s="11"/>
      <c r="P100" s="6">
        <v>3885.04</v>
      </c>
      <c r="Q100" s="2"/>
      <c r="R100" s="7">
        <f t="shared" si="80"/>
        <v>2.3377458046710195E-3</v>
      </c>
      <c r="S100" s="2"/>
      <c r="T100" s="6">
        <v>3346.96</v>
      </c>
      <c r="U100" s="2"/>
      <c r="V100" s="7">
        <f t="shared" si="81"/>
        <v>2.1689303973687394E-3</v>
      </c>
      <c r="W100" s="2"/>
      <c r="X100" s="6">
        <f t="shared" si="82"/>
        <v>538.07999999999993</v>
      </c>
      <c r="Y100" s="2"/>
      <c r="Z100" s="7">
        <f t="shared" si="83"/>
        <v>0.16076678538136097</v>
      </c>
    </row>
    <row r="101" spans="1:26" s="26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0</v>
      </c>
      <c r="E101" s="1"/>
      <c r="F101" s="5">
        <f t="shared" si="76"/>
        <v>0</v>
      </c>
      <c r="G101" s="1"/>
      <c r="H101" s="1">
        <f>SUM(OSRRefH22_13x_0)</f>
        <v>-652.5</v>
      </c>
      <c r="I101" s="1"/>
      <c r="J101" s="5">
        <f t="shared" si="77"/>
        <v>-3.2851506207575297E-3</v>
      </c>
      <c r="K101" s="1"/>
      <c r="L101" s="1">
        <f t="shared" si="78"/>
        <v>652.5</v>
      </c>
      <c r="M101" s="1"/>
      <c r="N101" s="5">
        <f t="shared" si="79"/>
        <v>-1</v>
      </c>
      <c r="O101" s="13"/>
      <c r="P101" s="1">
        <f>SUM(OSRRefP22_13x_0)</f>
        <v>1379.18</v>
      </c>
      <c r="Q101" s="1"/>
      <c r="R101" s="5">
        <f t="shared" si="80"/>
        <v>8.2989422474058874E-4</v>
      </c>
      <c r="S101" s="1"/>
      <c r="T101" s="1">
        <f>SUM(OSRRefT22_13x_0)</f>
        <v>843.28</v>
      </c>
      <c r="U101" s="1"/>
      <c r="V101" s="5">
        <f t="shared" si="81"/>
        <v>5.4647071536352706E-4</v>
      </c>
      <c r="W101" s="1"/>
      <c r="X101" s="1">
        <f t="shared" si="82"/>
        <v>535.90000000000009</v>
      </c>
      <c r="Y101" s="1"/>
      <c r="Z101" s="5">
        <f t="shared" si="83"/>
        <v>0.6354947348448915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76"/>
        <v>0</v>
      </c>
      <c r="G102" s="2"/>
      <c r="H102" s="6">
        <v>-652.5</v>
      </c>
      <c r="I102" s="2"/>
      <c r="J102" s="7">
        <f t="shared" si="77"/>
        <v>-3.2851506207575297E-3</v>
      </c>
      <c r="K102" s="2"/>
      <c r="L102" s="6">
        <f t="shared" si="78"/>
        <v>652.5</v>
      </c>
      <c r="M102" s="2"/>
      <c r="N102" s="7">
        <f t="shared" si="79"/>
        <v>-1</v>
      </c>
      <c r="O102" s="11"/>
      <c r="P102" s="6">
        <v>1379.18</v>
      </c>
      <c r="Q102" s="2"/>
      <c r="R102" s="7">
        <f t="shared" si="80"/>
        <v>8.2989422474058874E-4</v>
      </c>
      <c r="S102" s="2"/>
      <c r="T102" s="6">
        <v>843.28</v>
      </c>
      <c r="U102" s="2"/>
      <c r="V102" s="7">
        <f t="shared" si="81"/>
        <v>5.4647071536352706E-4</v>
      </c>
      <c r="W102" s="2"/>
      <c r="X102" s="6">
        <f t="shared" si="82"/>
        <v>535.90000000000009</v>
      </c>
      <c r="Y102" s="2"/>
      <c r="Z102" s="7">
        <f t="shared" si="83"/>
        <v>0.6354947348448915</v>
      </c>
    </row>
    <row r="103" spans="1:26" s="26" customFormat="1" outlineLevel="1" collapsed="1" x14ac:dyDescent="0.25">
      <c r="A103" s="27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SUM(OSRRefD22_14x_0)</f>
        <v>-419</v>
      </c>
      <c r="E103" s="1"/>
      <c r="F103" s="5">
        <f t="shared" si="76"/>
        <v>-2.1494997052261262E-3</v>
      </c>
      <c r="G103" s="1"/>
      <c r="H103" s="1">
        <f>SUM(OSRRefH22_14x_0)</f>
        <v>0</v>
      </c>
      <c r="I103" s="1"/>
      <c r="J103" s="5">
        <f t="shared" si="77"/>
        <v>0</v>
      </c>
      <c r="K103" s="1"/>
      <c r="L103" s="1">
        <f t="shared" si="78"/>
        <v>-419</v>
      </c>
      <c r="M103" s="1"/>
      <c r="N103" s="5">
        <f t="shared" si="79"/>
        <v>0</v>
      </c>
      <c r="O103" s="13"/>
      <c r="P103" s="1">
        <f>SUM(OSRRefP22_14x_0)</f>
        <v>-99.159999999999982</v>
      </c>
      <c r="Q103" s="1"/>
      <c r="R103" s="5">
        <f t="shared" si="80"/>
        <v>-5.9667564295651591E-5</v>
      </c>
      <c r="S103" s="1"/>
      <c r="T103" s="1">
        <f>SUM(OSRRefT22_14x_0)</f>
        <v>79.349999999999994</v>
      </c>
      <c r="U103" s="1"/>
      <c r="V103" s="5">
        <f t="shared" si="81"/>
        <v>5.1421178332340229E-5</v>
      </c>
      <c r="W103" s="1"/>
      <c r="X103" s="1">
        <f t="shared" si="82"/>
        <v>-178.51</v>
      </c>
      <c r="Y103" s="1"/>
      <c r="Z103" s="5">
        <f t="shared" si="83"/>
        <v>-2.249653434152489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76"/>
        <v>0</v>
      </c>
      <c r="G104" s="2"/>
      <c r="H104" s="6"/>
      <c r="I104" s="2"/>
      <c r="J104" s="7">
        <f t="shared" si="77"/>
        <v>0</v>
      </c>
      <c r="K104" s="2"/>
      <c r="L104" s="6">
        <f t="shared" si="78"/>
        <v>0</v>
      </c>
      <c r="M104" s="2"/>
      <c r="N104" s="7">
        <f t="shared" si="79"/>
        <v>0</v>
      </c>
      <c r="O104" s="11"/>
      <c r="P104" s="6">
        <v>107.04</v>
      </c>
      <c r="Q104" s="2"/>
      <c r="R104" s="7">
        <f t="shared" si="80"/>
        <v>6.4409198085987784E-5</v>
      </c>
      <c r="S104" s="2"/>
      <c r="T104" s="6"/>
      <c r="U104" s="2"/>
      <c r="V104" s="7">
        <f t="shared" si="81"/>
        <v>0</v>
      </c>
      <c r="W104" s="2"/>
      <c r="X104" s="6">
        <f t="shared" si="82"/>
        <v>107.04</v>
      </c>
      <c r="Y104" s="2"/>
      <c r="Z104" s="7">
        <f t="shared" si="83"/>
        <v>0</v>
      </c>
    </row>
    <row r="105" spans="1:26" s="24" customFormat="1" hidden="1" outlineLevel="2" x14ac:dyDescent="0.25">
      <c r="A105" s="25"/>
      <c r="B105" s="11" t="str">
        <f>CONCATENATE("          ", "6294", " - ", "TRAVEL OPERATIONAL")</f>
        <v xml:space="preserve">          6294 - TRAVEL OPERATIONAL</v>
      </c>
      <c r="C105" s="11"/>
      <c r="D105" s="6">
        <v>-419</v>
      </c>
      <c r="E105" s="2"/>
      <c r="F105" s="7">
        <f t="shared" si="76"/>
        <v>-2.1494997052261262E-3</v>
      </c>
      <c r="G105" s="2"/>
      <c r="H105" s="6"/>
      <c r="I105" s="2"/>
      <c r="J105" s="7">
        <f t="shared" si="77"/>
        <v>0</v>
      </c>
      <c r="K105" s="2"/>
      <c r="L105" s="6">
        <f t="shared" si="78"/>
        <v>-419</v>
      </c>
      <c r="M105" s="2"/>
      <c r="N105" s="7">
        <f t="shared" si="79"/>
        <v>0</v>
      </c>
      <c r="O105" s="11"/>
      <c r="P105" s="6">
        <v>-206.2</v>
      </c>
      <c r="Q105" s="2"/>
      <c r="R105" s="7">
        <f t="shared" si="80"/>
        <v>-1.2407676238163938E-4</v>
      </c>
      <c r="S105" s="2"/>
      <c r="T105" s="6">
        <v>79.349999999999994</v>
      </c>
      <c r="U105" s="2"/>
      <c r="V105" s="7">
        <f t="shared" si="81"/>
        <v>5.1421178332340229E-5</v>
      </c>
      <c r="W105" s="2"/>
      <c r="X105" s="6">
        <f t="shared" si="82"/>
        <v>-285.54999999999995</v>
      </c>
      <c r="Y105" s="2"/>
      <c r="Z105" s="7">
        <f t="shared" si="83"/>
        <v>-3.5986137366099555</v>
      </c>
    </row>
    <row r="106" spans="1:26" s="59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9" t="s">
        <v>0</v>
      </c>
      <c r="C107" s="10"/>
      <c r="D107" s="4">
        <f>SUM(OSRRefD25x_0)</f>
        <v>0</v>
      </c>
      <c r="E107" s="4"/>
      <c r="F107" s="12">
        <f t="shared" ref="F107:F108" si="84">IF(D$12=0,0,D107/D$12)</f>
        <v>0</v>
      </c>
      <c r="G107" s="4"/>
      <c r="H107" s="4">
        <f>SUM(OSRRefH25x_0)</f>
        <v>18170.349999999999</v>
      </c>
      <c r="I107" s="4"/>
      <c r="J107" s="12">
        <f t="shared" ref="J107:J108" si="85">IF(H$12=0,0,H107/H$12)</f>
        <v>9.1482508171466012E-2</v>
      </c>
      <c r="K107" s="4"/>
      <c r="L107" s="4">
        <f t="shared" ref="L107:L108" si="86">+D107-H107</f>
        <v>-18170.349999999999</v>
      </c>
      <c r="M107" s="4"/>
      <c r="N107" s="12">
        <f t="shared" ref="N107:N108" si="87">IF(H107=0,0,L107/H107)</f>
        <v>-1</v>
      </c>
      <c r="O107" s="10"/>
      <c r="P107" s="4">
        <f>SUM(OSRRefP25x_0)</f>
        <v>14830.16</v>
      </c>
      <c r="Q107" s="4"/>
      <c r="R107" s="12">
        <f t="shared" ref="R107:R108" si="88">IF(P$12=0,0,P107/P$12)</f>
        <v>8.9237547934126714E-3</v>
      </c>
      <c r="S107" s="4"/>
      <c r="T107" s="4">
        <f>SUM(OSRRefT25x_0)</f>
        <v>63621.65</v>
      </c>
      <c r="U107" s="4"/>
      <c r="V107" s="12">
        <f t="shared" ref="V107:V108" si="89">IF(T$12=0,0,T107/T$12)</f>
        <v>4.1228736111502635E-2</v>
      </c>
      <c r="W107" s="4"/>
      <c r="X107" s="4">
        <f t="shared" ref="X107:X108" si="90">+P107-T107</f>
        <v>-48791.490000000005</v>
      </c>
      <c r="Y107" s="4"/>
      <c r="Z107" s="12">
        <f t="shared" ref="Z107:Z108" si="91">IF(T107=0,0,X107/T107)</f>
        <v>-0.76690073269083725</v>
      </c>
    </row>
    <row r="108" spans="1:26" s="24" customFormat="1" hidden="1" outlineLevel="1" x14ac:dyDescent="0.25">
      <c r="A108" s="44"/>
      <c r="B108" s="11" t="str">
        <f>CONCATENATE("          ", "9150", " - ", "MISC. INCOME")</f>
        <v xml:space="preserve">          9150 - MISC. INCOME</v>
      </c>
      <c r="C108" s="11"/>
      <c r="D108" s="2">
        <f>0</f>
        <v>0</v>
      </c>
      <c r="E108" s="2"/>
      <c r="F108" s="19">
        <f t="shared" si="84"/>
        <v>0</v>
      </c>
      <c r="G108" s="2"/>
      <c r="H108" s="2">
        <f>--18170.35</f>
        <v>18170.349999999999</v>
      </c>
      <c r="I108" s="2"/>
      <c r="J108" s="19">
        <f t="shared" si="85"/>
        <v>9.1482508171466012E-2</v>
      </c>
      <c r="K108" s="2"/>
      <c r="L108" s="2">
        <f t="shared" si="86"/>
        <v>-18170.349999999999</v>
      </c>
      <c r="M108" s="2"/>
      <c r="N108" s="19">
        <f t="shared" si="87"/>
        <v>-1</v>
      </c>
      <c r="O108" s="11"/>
      <c r="P108" s="2">
        <f>--14830.16</f>
        <v>14830.16</v>
      </c>
      <c r="Q108" s="2"/>
      <c r="R108" s="19">
        <f t="shared" si="88"/>
        <v>8.9237547934126714E-3</v>
      </c>
      <c r="S108" s="2"/>
      <c r="T108" s="2">
        <f>--63621.65</f>
        <v>63621.65</v>
      </c>
      <c r="U108" s="2"/>
      <c r="V108" s="19">
        <f t="shared" si="89"/>
        <v>4.1228736111502635E-2</v>
      </c>
      <c r="W108" s="2"/>
      <c r="X108" s="2">
        <f t="shared" si="90"/>
        <v>-48791.490000000005</v>
      </c>
      <c r="Y108" s="2"/>
      <c r="Z108" s="19">
        <f t="shared" si="91"/>
        <v>-0.76690073269083725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8" t="s">
        <v>3</v>
      </c>
      <c r="C110" s="28"/>
      <c r="D110" s="21">
        <f>+D51-D53+D107</f>
        <v>42776.310000000027</v>
      </c>
      <c r="E110" s="14"/>
      <c r="F110" s="22">
        <f>IF(D$12=0,0,D110/D$12)</f>
        <v>0.21944550294907267</v>
      </c>
      <c r="G110" s="14"/>
      <c r="H110" s="21">
        <f>+H51-H53+H107</f>
        <v>67119.140000000014</v>
      </c>
      <c r="I110" s="14"/>
      <c r="J110" s="22">
        <f>IF(H$12=0,0,H110/H$12)</f>
        <v>0.33792564664476871</v>
      </c>
      <c r="K110" s="16"/>
      <c r="L110" s="21">
        <f>+D110-H110</f>
        <v>-24342.829999999987</v>
      </c>
      <c r="M110" s="16"/>
      <c r="N110" s="22">
        <f>IF(H110=0,0,L110/H110)</f>
        <v>-0.36268089847396706</v>
      </c>
      <c r="O110" s="29"/>
      <c r="P110" s="21">
        <f>+P51-P53+P107</f>
        <v>479144.27999999997</v>
      </c>
      <c r="Q110" s="14"/>
      <c r="R110" s="22">
        <f>IF(P$12=0,0,P110/P$12)</f>
        <v>0.2883155721439461</v>
      </c>
      <c r="S110" s="14"/>
      <c r="T110" s="21">
        <f>+T51-T53+T107</f>
        <v>531413.42999999935</v>
      </c>
      <c r="U110" s="14"/>
      <c r="V110" s="22">
        <f>IF(T$12=0,0,T110/T$12)</f>
        <v>0.34437183052590514</v>
      </c>
      <c r="W110" s="16"/>
      <c r="X110" s="21">
        <f>+P110-T110</f>
        <v>-52269.149999999383</v>
      </c>
      <c r="Y110" s="16"/>
      <c r="Z110" s="22">
        <f>IF(T110=0,0,X110/T110)</f>
        <v>-9.8358729849938958E-2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14868.569999999998</v>
      </c>
      <c r="E112" s="4"/>
      <c r="F112" s="12">
        <f>IF(D$12=0,0,D112/D$12)</f>
        <v>7.627681821511699E-2</v>
      </c>
      <c r="G112" s="4"/>
      <c r="H112" s="4">
        <v>11921.3</v>
      </c>
      <c r="I112" s="4"/>
      <c r="J112" s="12">
        <f>IF(H$12=0,0,H112/H$12)</f>
        <v>6.0020331180439444E-2</v>
      </c>
      <c r="K112" s="4"/>
      <c r="L112" s="4">
        <f>+D112-H112</f>
        <v>2947.2699999999986</v>
      </c>
      <c r="M112" s="4"/>
      <c r="N112" s="12">
        <f>IF(H112=0,0,L112/H112)</f>
        <v>0.24722723192940357</v>
      </c>
      <c r="O112" s="10"/>
      <c r="P112" s="4">
        <v>173309.97</v>
      </c>
      <c r="Q112" s="4"/>
      <c r="R112" s="12">
        <f>IF(P$12=0,0,P112/P$12)</f>
        <v>0.10428583882666852</v>
      </c>
      <c r="S112" s="4"/>
      <c r="T112" s="4">
        <v>157015.09</v>
      </c>
      <c r="U112" s="4"/>
      <c r="V112" s="12">
        <f>IF(T$12=0,0,T112/T$12)</f>
        <v>0.10175048448340834</v>
      </c>
      <c r="W112" s="4"/>
      <c r="X112" s="4">
        <f>+P112-T112</f>
        <v>16294.880000000005</v>
      </c>
      <c r="Y112" s="4"/>
      <c r="Z112" s="12">
        <f>IF(T112=0,0,X112/T112)</f>
        <v>0.10377906989703986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4</v>
      </c>
      <c r="C114" s="28"/>
      <c r="D114" s="34">
        <f>+D110-D112</f>
        <v>27907.740000000027</v>
      </c>
      <c r="E114" s="14"/>
      <c r="F114" s="31">
        <f>IF(D$12=0,0,D114/D$12)</f>
        <v>0.14316868473395566</v>
      </c>
      <c r="G114" s="14"/>
      <c r="H114" s="34">
        <f>+H110-H112</f>
        <v>55197.840000000011</v>
      </c>
      <c r="I114" s="14"/>
      <c r="J114" s="31">
        <f>IF(H$12=0,0,H114/H$12)</f>
        <v>0.27790531546432923</v>
      </c>
      <c r="K114" s="16"/>
      <c r="L114" s="34">
        <f>D114-H114</f>
        <v>-27290.099999999984</v>
      </c>
      <c r="M114" s="16"/>
      <c r="N114" s="31">
        <f>IF(H114=0,0,L114/H114)</f>
        <v>-0.49440521585627223</v>
      </c>
      <c r="O114" s="29"/>
      <c r="P114" s="34">
        <f>+P110-P112</f>
        <v>305834.30999999994</v>
      </c>
      <c r="Q114" s="14"/>
      <c r="R114" s="31">
        <f>IF(P$12=0,0,P114/P$12)</f>
        <v>0.18402973331727754</v>
      </c>
      <c r="S114" s="14"/>
      <c r="T114" s="34">
        <f>+T110-T112</f>
        <v>374398.33999999939</v>
      </c>
      <c r="U114" s="14"/>
      <c r="V114" s="31">
        <f>IF(T$12=0,0,T114/T$12)</f>
        <v>0.2426213460424968</v>
      </c>
      <c r="W114" s="16"/>
      <c r="X114" s="34">
        <f>P114-T114</f>
        <v>-68564.029999999446</v>
      </c>
      <c r="Y114" s="16"/>
      <c r="Z114" s="31">
        <f>IF(T114=0,0,X114/T114)</f>
        <v>-0.18313123396861097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8" t="s">
        <v>5</v>
      </c>
      <c r="C117" s="28"/>
      <c r="D117" s="30">
        <f>SUM(D114:D116)</f>
        <v>27907.740000000027</v>
      </c>
      <c r="E117" s="14"/>
      <c r="F117" s="33">
        <f>IF(D$12=0,0,D117/D$12)</f>
        <v>0.14316868473395566</v>
      </c>
      <c r="G117" s="14"/>
      <c r="H117" s="30">
        <f>SUM(H114:H116)</f>
        <v>55197.840000000011</v>
      </c>
      <c r="I117" s="14"/>
      <c r="J117" s="33">
        <f>IF(H$12=0,0,H117/H$12)</f>
        <v>0.27790531546432923</v>
      </c>
      <c r="K117" s="16"/>
      <c r="L117" s="30">
        <f>+D117-H117</f>
        <v>-27290.099999999984</v>
      </c>
      <c r="M117" s="16"/>
      <c r="N117" s="33">
        <f>IF(H117=0,0,L117/H117)</f>
        <v>-0.49440521585627223</v>
      </c>
      <c r="O117" s="29"/>
      <c r="P117" s="30">
        <f>SUM(P114:P116)</f>
        <v>305834.30999999994</v>
      </c>
      <c r="Q117" s="14"/>
      <c r="R117" s="33">
        <f>IF(P$12=0,0,P117/P$12)</f>
        <v>0.18402973331727754</v>
      </c>
      <c r="S117" s="14"/>
      <c r="T117" s="30">
        <f>SUM(T114:T116)</f>
        <v>374398.33999999939</v>
      </c>
      <c r="U117" s="14"/>
      <c r="V117" s="33">
        <f>IF(T$12=0,0,T117/T$12)</f>
        <v>0.2426213460424968</v>
      </c>
      <c r="W117" s="16"/>
      <c r="X117" s="30">
        <f>+P117-T117</f>
        <v>-68564.029999999446</v>
      </c>
      <c r="Y117" s="16"/>
      <c r="Z117" s="33">
        <f>IF(T117=0,0,X117/T117)</f>
        <v>-0.18313123396861097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1">
        <v>43879.553886805559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5" t="s">
        <v>313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8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","326", " - ", "2nd Street Store")</f>
        <v>Department 326 - 2nd Street 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75020.679999999993</v>
      </c>
      <c r="E12" s="4"/>
      <c r="F12" s="12"/>
      <c r="G12" s="4"/>
      <c r="H12" s="4">
        <f>SUM(OSRRefH13x_0)</f>
        <v>31986.819999999996</v>
      </c>
      <c r="I12" s="4"/>
      <c r="J12" s="12"/>
      <c r="K12" s="4"/>
      <c r="L12" s="4">
        <f t="shared" ref="L12:L35" si="0">+D12-H12</f>
        <v>43033.86</v>
      </c>
      <c r="M12" s="4"/>
      <c r="N12" s="12">
        <f t="shared" ref="N12:N35" si="1">IF(H12=0,0,L12/H12)</f>
        <v>1.3453622460751025</v>
      </c>
      <c r="O12" s="10"/>
      <c r="P12" s="4">
        <f>SUM(OSRRefP13x_0)</f>
        <v>359383.80000000005</v>
      </c>
      <c r="Q12" s="4"/>
      <c r="R12" s="12"/>
      <c r="S12" s="4"/>
      <c r="T12" s="4">
        <f>SUM(OSRRefT13x_0)</f>
        <v>294140.92999999993</v>
      </c>
      <c r="U12" s="4"/>
      <c r="V12" s="12"/>
      <c r="W12" s="4"/>
      <c r="X12" s="4">
        <f t="shared" ref="X12:X35" si="2">+P12-T12</f>
        <v>65242.870000000112</v>
      </c>
      <c r="Y12" s="4"/>
      <c r="Z12" s="12">
        <f t="shared" ref="Z12:Z35" si="3">IF(T12=0,0,X12/T12)</f>
        <v>0.22180819921933384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-426.09</f>
        <v>-426.09</v>
      </c>
      <c r="I13" s="2"/>
      <c r="J13" s="19"/>
      <c r="K13" s="2"/>
      <c r="L13" s="2">
        <f t="shared" si="0"/>
        <v>426.09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--13.62</f>
        <v>13.62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13.62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--14.49</f>
        <v>14.49</v>
      </c>
      <c r="U14" s="2"/>
      <c r="V14" s="19"/>
      <c r="W14" s="2"/>
      <c r="X14" s="2">
        <f t="shared" si="2"/>
        <v>-0.87000000000000099</v>
      </c>
      <c r="Y14" s="2"/>
      <c r="Z14" s="19">
        <f t="shared" si="3"/>
        <v>-6.0041407867494893E-2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--24.98</f>
        <v>24.98</v>
      </c>
      <c r="E15" s="2"/>
      <c r="F15" s="19"/>
      <c r="G15" s="2"/>
      <c r="H15" s="2">
        <f>--8.45</f>
        <v>8.4499999999999993</v>
      </c>
      <c r="I15" s="2"/>
      <c r="J15" s="19"/>
      <c r="K15" s="2"/>
      <c r="L15" s="2">
        <f t="shared" si="0"/>
        <v>16.53</v>
      </c>
      <c r="M15" s="2"/>
      <c r="N15" s="19">
        <f t="shared" si="1"/>
        <v>1.9562130177514796</v>
      </c>
      <c r="O15" s="11"/>
      <c r="P15" s="2">
        <f>--174.63</f>
        <v>174.63</v>
      </c>
      <c r="Q15" s="2"/>
      <c r="R15" s="19"/>
      <c r="S15" s="2"/>
      <c r="T15" s="2">
        <f>--404.26</f>
        <v>404.26</v>
      </c>
      <c r="U15" s="2"/>
      <c r="V15" s="19"/>
      <c r="W15" s="2"/>
      <c r="X15" s="2">
        <f t="shared" si="2"/>
        <v>-229.63</v>
      </c>
      <c r="Y15" s="2"/>
      <c r="Z15" s="19">
        <f t="shared" si="3"/>
        <v>-0.56802552812546381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--91.73</f>
        <v>91.73</v>
      </c>
      <c r="E16" s="2"/>
      <c r="F16" s="19"/>
      <c r="G16" s="2"/>
      <c r="H16" s="2">
        <f>--16.46</f>
        <v>16.46</v>
      </c>
      <c r="I16" s="2"/>
      <c r="J16" s="19"/>
      <c r="K16" s="2"/>
      <c r="L16" s="2">
        <f t="shared" si="0"/>
        <v>75.27000000000001</v>
      </c>
      <c r="M16" s="2"/>
      <c r="N16" s="19">
        <f t="shared" si="1"/>
        <v>4.5729040097205349</v>
      </c>
      <c r="O16" s="11"/>
      <c r="P16" s="2">
        <f>--139.64</f>
        <v>139.63999999999999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-171.29000000000002</v>
      </c>
      <c r="Y16" s="2"/>
      <c r="Z16" s="19">
        <f t="shared" si="3"/>
        <v>-0.55089569999678389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>0</f>
        <v>0</v>
      </c>
      <c r="E17" s="2"/>
      <c r="F17" s="19"/>
      <c r="G17" s="2"/>
      <c r="H17" s="2">
        <f>--1.89</f>
        <v>1.89</v>
      </c>
      <c r="I17" s="2"/>
      <c r="J17" s="19"/>
      <c r="K17" s="2"/>
      <c r="L17" s="2">
        <f t="shared" si="0"/>
        <v>-1.89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--62989.78</f>
        <v>62989.78</v>
      </c>
      <c r="E18" s="2"/>
      <c r="F18" s="19"/>
      <c r="G18" s="2"/>
      <c r="H18" s="2">
        <f>--27370.97</f>
        <v>27370.97</v>
      </c>
      <c r="I18" s="2"/>
      <c r="J18" s="19"/>
      <c r="K18" s="2"/>
      <c r="L18" s="2">
        <f t="shared" si="0"/>
        <v>35618.81</v>
      </c>
      <c r="M18" s="2"/>
      <c r="N18" s="19">
        <f t="shared" si="1"/>
        <v>1.3013353198662669</v>
      </c>
      <c r="O18" s="11"/>
      <c r="P18" s="2">
        <f>--301404.38</f>
        <v>301404.38</v>
      </c>
      <c r="Q18" s="2"/>
      <c r="R18" s="19"/>
      <c r="S18" s="2"/>
      <c r="T18" s="2">
        <f>--245149.36</f>
        <v>245149.36</v>
      </c>
      <c r="U18" s="2"/>
      <c r="V18" s="19"/>
      <c r="W18" s="2"/>
      <c r="X18" s="2">
        <f t="shared" si="2"/>
        <v>56255.020000000019</v>
      </c>
      <c r="Y18" s="2"/>
      <c r="Z18" s="19">
        <f t="shared" si="3"/>
        <v>0.22947243264269596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--9414.77</f>
        <v>9414.77</v>
      </c>
      <c r="E19" s="2"/>
      <c r="F19" s="19"/>
      <c r="G19" s="2"/>
      <c r="H19" s="2">
        <f>--4047.65</f>
        <v>4047.65</v>
      </c>
      <c r="I19" s="2"/>
      <c r="J19" s="19"/>
      <c r="K19" s="2"/>
      <c r="L19" s="2">
        <f t="shared" si="0"/>
        <v>5367.1200000000008</v>
      </c>
      <c r="M19" s="2"/>
      <c r="N19" s="19">
        <f t="shared" si="1"/>
        <v>1.3259842130619002</v>
      </c>
      <c r="O19" s="11"/>
      <c r="P19" s="2">
        <f>--40389.51</f>
        <v>40389.51</v>
      </c>
      <c r="Q19" s="2"/>
      <c r="R19" s="19"/>
      <c r="S19" s="2"/>
      <c r="T19" s="2">
        <f>--35813.93</f>
        <v>35813.93</v>
      </c>
      <c r="U19" s="2"/>
      <c r="V19" s="19"/>
      <c r="W19" s="2"/>
      <c r="X19" s="2">
        <f t="shared" si="2"/>
        <v>4575.5800000000017</v>
      </c>
      <c r="Y19" s="2"/>
      <c r="Z19" s="19">
        <f t="shared" si="3"/>
        <v>0.12775978508920974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--5422.43</f>
        <v>5422.43</v>
      </c>
      <c r="E20" s="2"/>
      <c r="F20" s="19"/>
      <c r="G20" s="2"/>
      <c r="H20" s="2">
        <f>--3010.12</f>
        <v>3010.12</v>
      </c>
      <c r="I20" s="2"/>
      <c r="J20" s="19"/>
      <c r="K20" s="2"/>
      <c r="L20" s="2">
        <f t="shared" si="0"/>
        <v>2412.3100000000004</v>
      </c>
      <c r="M20" s="2"/>
      <c r="N20" s="19">
        <f t="shared" si="1"/>
        <v>0.80139994418827176</v>
      </c>
      <c r="O20" s="11"/>
      <c r="P20" s="2">
        <f>--27000.81</f>
        <v>27000.81</v>
      </c>
      <c r="Q20" s="2"/>
      <c r="R20" s="19"/>
      <c r="S20" s="2"/>
      <c r="T20" s="2">
        <f>--22059.8</f>
        <v>22059.8</v>
      </c>
      <c r="U20" s="2"/>
      <c r="V20" s="19"/>
      <c r="W20" s="2"/>
      <c r="X20" s="2">
        <f t="shared" si="2"/>
        <v>4941.010000000002</v>
      </c>
      <c r="Y20" s="2"/>
      <c r="Z20" s="19">
        <f t="shared" si="3"/>
        <v>0.22398253837296811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--1104.42</f>
        <v>1104.42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1104.42</v>
      </c>
      <c r="M21" s="2"/>
      <c r="N21" s="19">
        <f t="shared" si="1"/>
        <v>0</v>
      </c>
      <c r="O21" s="11"/>
      <c r="P21" s="2">
        <f>--1384.14</f>
        <v>1384.14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1034.3700000000001</v>
      </c>
      <c r="Y21" s="2"/>
      <c r="Z21" s="19">
        <f t="shared" si="3"/>
        <v>2.9572862166566605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--490.4</f>
        <v>490.4</v>
      </c>
      <c r="E22" s="2"/>
      <c r="F22" s="19"/>
      <c r="G22" s="2"/>
      <c r="H22" s="2">
        <f>--359.16</f>
        <v>359.16</v>
      </c>
      <c r="I22" s="2"/>
      <c r="J22" s="19"/>
      <c r="K22" s="2"/>
      <c r="L22" s="2">
        <f t="shared" si="0"/>
        <v>131.23999999999995</v>
      </c>
      <c r="M22" s="2"/>
      <c r="N22" s="19">
        <f t="shared" si="1"/>
        <v>0.36540817462969133</v>
      </c>
      <c r="O22" s="11"/>
      <c r="P22" s="2">
        <f>--3029.45</f>
        <v>3029.45</v>
      </c>
      <c r="Q22" s="2"/>
      <c r="R22" s="19"/>
      <c r="S22" s="2"/>
      <c r="T22" s="2">
        <f>--3983.66</f>
        <v>3983.66</v>
      </c>
      <c r="U22" s="2"/>
      <c r="V22" s="19"/>
      <c r="W22" s="2"/>
      <c r="X22" s="2">
        <f t="shared" si="2"/>
        <v>-954.21</v>
      </c>
      <c r="Y22" s="2"/>
      <c r="Z22" s="19">
        <f t="shared" si="3"/>
        <v>-0.23953098406992565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--9.99</f>
        <v>9.99</v>
      </c>
      <c r="E23" s="2"/>
      <c r="F23" s="19"/>
      <c r="G23" s="2"/>
      <c r="H23" s="2">
        <f>--59.84</f>
        <v>59.84</v>
      </c>
      <c r="I23" s="2"/>
      <c r="J23" s="19"/>
      <c r="K23" s="2"/>
      <c r="L23" s="2">
        <f t="shared" si="0"/>
        <v>-49.85</v>
      </c>
      <c r="M23" s="2"/>
      <c r="N23" s="19">
        <f t="shared" si="1"/>
        <v>-0.83305481283422456</v>
      </c>
      <c r="O23" s="11"/>
      <c r="P23" s="2">
        <f>--467.6</f>
        <v>467.6</v>
      </c>
      <c r="Q23" s="2"/>
      <c r="R23" s="19"/>
      <c r="S23" s="2"/>
      <c r="T23" s="2">
        <f>--993.69</f>
        <v>993.69</v>
      </c>
      <c r="U23" s="2"/>
      <c r="V23" s="19"/>
      <c r="W23" s="2"/>
      <c r="X23" s="2">
        <f t="shared" si="2"/>
        <v>-526.09</v>
      </c>
      <c r="Y23" s="2"/>
      <c r="Z23" s="19">
        <f t="shared" si="3"/>
        <v>-0.52943070776600354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-39.95</f>
        <v>-39.950000000000003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-39.950000000000003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>--0.99</f>
        <v>0.99</v>
      </c>
      <c r="E25" s="2"/>
      <c r="F25" s="19"/>
      <c r="G25" s="2"/>
      <c r="H25" s="2">
        <f>--4.95</f>
        <v>4.95</v>
      </c>
      <c r="I25" s="2"/>
      <c r="J25" s="19"/>
      <c r="K25" s="2"/>
      <c r="L25" s="2">
        <f t="shared" si="0"/>
        <v>-3.96</v>
      </c>
      <c r="M25" s="2"/>
      <c r="N25" s="19">
        <f t="shared" si="1"/>
        <v>-0.79999999999999993</v>
      </c>
      <c r="O25" s="11"/>
      <c r="P25" s="2">
        <f>--29.7</f>
        <v>29.7</v>
      </c>
      <c r="Q25" s="2"/>
      <c r="R25" s="19"/>
      <c r="S25" s="2"/>
      <c r="T25" s="2">
        <f>--20.79</f>
        <v>20.79</v>
      </c>
      <c r="U25" s="2"/>
      <c r="V25" s="19"/>
      <c r="W25" s="2"/>
      <c r="X25" s="2">
        <f t="shared" si="2"/>
        <v>8.91</v>
      </c>
      <c r="Y25" s="2"/>
      <c r="Z25" s="19">
        <f t="shared" si="3"/>
        <v>0.4285714285714286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--10.5</f>
        <v>10.5</v>
      </c>
      <c r="E26" s="2"/>
      <c r="F26" s="19"/>
      <c r="G26" s="2"/>
      <c r="H26" s="2">
        <f>--9</f>
        <v>9</v>
      </c>
      <c r="I26" s="2"/>
      <c r="J26" s="19"/>
      <c r="K26" s="2"/>
      <c r="L26" s="2">
        <f t="shared" si="0"/>
        <v>1.5</v>
      </c>
      <c r="M26" s="2"/>
      <c r="N26" s="19">
        <f t="shared" si="1"/>
        <v>0.16666666666666666</v>
      </c>
      <c r="O26" s="11"/>
      <c r="P26" s="2">
        <f>--103.5</f>
        <v>103.5</v>
      </c>
      <c r="Q26" s="2"/>
      <c r="R26" s="19"/>
      <c r="S26" s="2"/>
      <c r="T26" s="2">
        <f>--72</f>
        <v>72</v>
      </c>
      <c r="U26" s="2"/>
      <c r="V26" s="19"/>
      <c r="W26" s="2"/>
      <c r="X26" s="2">
        <f t="shared" si="2"/>
        <v>31.5</v>
      </c>
      <c r="Y26" s="2"/>
      <c r="Z26" s="19">
        <f t="shared" si="3"/>
        <v>0.4375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--270.76</f>
        <v>270.76</v>
      </c>
      <c r="E27" s="2"/>
      <c r="F27" s="19"/>
      <c r="G27" s="2"/>
      <c r="H27" s="2">
        <f>--93.7</f>
        <v>93.7</v>
      </c>
      <c r="I27" s="2"/>
      <c r="J27" s="19"/>
      <c r="K27" s="2"/>
      <c r="L27" s="2">
        <f t="shared" si="0"/>
        <v>177.06</v>
      </c>
      <c r="M27" s="2"/>
      <c r="N27" s="19">
        <f t="shared" si="1"/>
        <v>1.8896478121664888</v>
      </c>
      <c r="O27" s="11"/>
      <c r="P27" s="2">
        <f>--563.79</f>
        <v>563.79</v>
      </c>
      <c r="Q27" s="2"/>
      <c r="R27" s="19"/>
      <c r="S27" s="2"/>
      <c r="T27" s="2">
        <f>--390.03</f>
        <v>390.03</v>
      </c>
      <c r="U27" s="2"/>
      <c r="V27" s="19"/>
      <c r="W27" s="2"/>
      <c r="X27" s="2">
        <f t="shared" si="2"/>
        <v>173.76</v>
      </c>
      <c r="Y27" s="2"/>
      <c r="Z27" s="19">
        <f t="shared" si="3"/>
        <v>0.44550419198523189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ref="D28:D29" si="4">0</f>
        <v>0</v>
      </c>
      <c r="E28" s="2"/>
      <c r="F28" s="19"/>
      <c r="G28" s="2"/>
      <c r="H28" s="2">
        <f t="shared" ref="H28:H29" si="5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-134.8</f>
        <v>-134.80000000000001</v>
      </c>
      <c r="Q28" s="2"/>
      <c r="R28" s="19"/>
      <c r="S28" s="2"/>
      <c r="T28" s="2">
        <f>-5.07</f>
        <v>-5.07</v>
      </c>
      <c r="U28" s="2"/>
      <c r="V28" s="19"/>
      <c r="W28" s="2"/>
      <c r="X28" s="2">
        <f t="shared" si="2"/>
        <v>-129.73000000000002</v>
      </c>
      <c r="Y28" s="2"/>
      <c r="Z28" s="19">
        <f t="shared" si="3"/>
        <v>25.587771203155821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4"/>
        <v>0</v>
      </c>
      <c r="E29" s="2"/>
      <c r="F29" s="19"/>
      <c r="G29" s="2"/>
      <c r="H29" s="2">
        <f t="shared" si="5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0</f>
        <v>0</v>
      </c>
      <c r="Q29" s="2"/>
      <c r="R29" s="19"/>
      <c r="S29" s="2"/>
      <c r="T29" s="2">
        <f>-4.99</f>
        <v>-4.99</v>
      </c>
      <c r="U29" s="2"/>
      <c r="V29" s="19"/>
      <c r="W29" s="2"/>
      <c r="X29" s="2">
        <f t="shared" si="2"/>
        <v>4.99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>-4749.95</f>
        <v>-4749.95</v>
      </c>
      <c r="E30" s="2"/>
      <c r="F30" s="19"/>
      <c r="G30" s="2"/>
      <c r="H30" s="2">
        <f>-2275.11</f>
        <v>-2275.11</v>
      </c>
      <c r="I30" s="2"/>
      <c r="J30" s="19"/>
      <c r="K30" s="2"/>
      <c r="L30" s="2">
        <f t="shared" si="0"/>
        <v>-2474.8399999999997</v>
      </c>
      <c r="M30" s="2"/>
      <c r="N30" s="19">
        <f t="shared" si="1"/>
        <v>1.0877891618427238</v>
      </c>
      <c r="O30" s="11"/>
      <c r="P30" s="2">
        <f>-13201.11</f>
        <v>-13201.11</v>
      </c>
      <c r="Q30" s="2"/>
      <c r="R30" s="19"/>
      <c r="S30" s="2"/>
      <c r="T30" s="2">
        <f>-14069.59</f>
        <v>-14069.59</v>
      </c>
      <c r="U30" s="2"/>
      <c r="V30" s="19"/>
      <c r="W30" s="2"/>
      <c r="X30" s="2">
        <f t="shared" si="2"/>
        <v>868.47999999999956</v>
      </c>
      <c r="Y30" s="2"/>
      <c r="Z30" s="19">
        <f t="shared" si="3"/>
        <v>-6.1727456166100043E-2</v>
      </c>
    </row>
    <row r="31" spans="1:26" s="24" customFormat="1" hidden="1" outlineLevel="1" x14ac:dyDescent="0.25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>-22.89</f>
        <v>-22.89</v>
      </c>
      <c r="E31" s="2"/>
      <c r="F31" s="19"/>
      <c r="G31" s="2"/>
      <c r="H31" s="2">
        <f>-225.52</f>
        <v>-225.52</v>
      </c>
      <c r="I31" s="2"/>
      <c r="J31" s="19"/>
      <c r="K31" s="2"/>
      <c r="L31" s="2">
        <f t="shared" si="0"/>
        <v>202.63</v>
      </c>
      <c r="M31" s="2"/>
      <c r="N31" s="19">
        <f t="shared" si="1"/>
        <v>-0.89850124157502653</v>
      </c>
      <c r="O31" s="11"/>
      <c r="P31" s="2">
        <f>-992</f>
        <v>-992</v>
      </c>
      <c r="Q31" s="2"/>
      <c r="R31" s="19"/>
      <c r="S31" s="2"/>
      <c r="T31" s="2">
        <f>-816.69</f>
        <v>-816.69</v>
      </c>
      <c r="U31" s="2"/>
      <c r="V31" s="19"/>
      <c r="W31" s="2"/>
      <c r="X31" s="2">
        <f t="shared" si="2"/>
        <v>-175.30999999999995</v>
      </c>
      <c r="Y31" s="2"/>
      <c r="Z31" s="19">
        <f t="shared" si="3"/>
        <v>0.21465917300322024</v>
      </c>
    </row>
    <row r="32" spans="1:26" s="24" customFormat="1" hidden="1" outlineLevel="1" x14ac:dyDescent="0.25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>-50.85</f>
        <v>-50.85</v>
      </c>
      <c r="E32" s="2"/>
      <c r="F32" s="19"/>
      <c r="G32" s="2"/>
      <c r="H32" s="2">
        <f>-68.65</f>
        <v>-68.650000000000006</v>
      </c>
      <c r="I32" s="2"/>
      <c r="J32" s="19"/>
      <c r="K32" s="2"/>
      <c r="L32" s="2">
        <f t="shared" si="0"/>
        <v>17.800000000000004</v>
      </c>
      <c r="M32" s="2"/>
      <c r="N32" s="19">
        <f t="shared" si="1"/>
        <v>-0.25928623452294253</v>
      </c>
      <c r="O32" s="11"/>
      <c r="P32" s="2">
        <f>-809.31</f>
        <v>-809.31</v>
      </c>
      <c r="Q32" s="2"/>
      <c r="R32" s="19"/>
      <c r="S32" s="2"/>
      <c r="T32" s="2">
        <f>-356.13</f>
        <v>-356.13</v>
      </c>
      <c r="U32" s="2"/>
      <c r="V32" s="19"/>
      <c r="W32" s="2"/>
      <c r="X32" s="2">
        <f t="shared" si="2"/>
        <v>-453.17999999999995</v>
      </c>
      <c r="Y32" s="2"/>
      <c r="Z32" s="19">
        <f t="shared" si="3"/>
        <v>1.2725128464324824</v>
      </c>
    </row>
    <row r="33" spans="1:26" s="24" customFormat="1" hidden="1" outlineLevel="1" x14ac:dyDescent="0.25">
      <c r="A33" s="44"/>
      <c r="B33" s="11" t="str">
        <f>CONCATENATE("          ", "4244", " - ", "SALES RETURN TAXABLE-ACCESSORI")</f>
        <v xml:space="preserve">          4244 - SALES RETURN TAXABLE-ACCESSORI</v>
      </c>
      <c r="C33" s="11"/>
      <c r="D33" s="2">
        <f t="shared" ref="D33:D35" si="6">0</f>
        <v>0</v>
      </c>
      <c r="E33" s="2"/>
      <c r="F33" s="19"/>
      <c r="G33" s="2"/>
      <c r="H33" s="2">
        <f t="shared" ref="H33:H35" si="7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-130.8</f>
        <v>-130.80000000000001</v>
      </c>
      <c r="Q33" s="2"/>
      <c r="R33" s="19"/>
      <c r="S33" s="2"/>
      <c r="T33" s="2">
        <f>-199.9</f>
        <v>-199.9</v>
      </c>
      <c r="U33" s="2"/>
      <c r="V33" s="19"/>
      <c r="W33" s="2"/>
      <c r="X33" s="2">
        <f t="shared" si="2"/>
        <v>69.099999999999994</v>
      </c>
      <c r="Y33" s="2"/>
      <c r="Z33" s="19">
        <f t="shared" si="3"/>
        <v>-0.34567283641820906</v>
      </c>
    </row>
    <row r="34" spans="1:26" s="24" customFormat="1" hidden="1" outlineLevel="1" x14ac:dyDescent="0.25">
      <c r="A34" s="44"/>
      <c r="B34" s="11" t="str">
        <f>CONCATENATE("          ", "4245", " - ", "SALES RETURN TAXABLE-SPECIAL O")</f>
        <v xml:space="preserve">          4245 - SALES RETURN TAXABLE-SPECIAL O</v>
      </c>
      <c r="C34" s="11"/>
      <c r="D34" s="2">
        <f t="shared" si="6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-9.99</f>
        <v>-9.99</v>
      </c>
      <c r="Q34" s="2"/>
      <c r="R34" s="19"/>
      <c r="S34" s="2"/>
      <c r="T34" s="2">
        <f>-39.9</f>
        <v>-39.9</v>
      </c>
      <c r="U34" s="2"/>
      <c r="V34" s="19"/>
      <c r="W34" s="2"/>
      <c r="X34" s="2">
        <f t="shared" si="2"/>
        <v>29.909999999999997</v>
      </c>
      <c r="Y34" s="2"/>
      <c r="Z34" s="19">
        <f t="shared" si="3"/>
        <v>-0.74962406015037586</v>
      </c>
    </row>
    <row r="35" spans="1:26" s="24" customFormat="1" hidden="1" outlineLevel="1" x14ac:dyDescent="0.25">
      <c r="A35" s="44"/>
      <c r="B35" s="11" t="str">
        <f>CONCATENATE("          ", "4295", " - ", "SALES RETURN TAXABLE-CUSTOMER")</f>
        <v xml:space="preserve">          4295 - SALES RETURN TAXABLE-CUSTOMER</v>
      </c>
      <c r="C35" s="11"/>
      <c r="D35" s="2">
        <f t="shared" si="6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--0.99</f>
        <v>0.99</v>
      </c>
      <c r="Q35" s="2"/>
      <c r="R35" s="19"/>
      <c r="S35" s="2"/>
      <c r="T35" s="2">
        <f>0</f>
        <v>0</v>
      </c>
      <c r="U35" s="2"/>
      <c r="V35" s="19"/>
      <c r="W35" s="2"/>
      <c r="X35" s="2">
        <f t="shared" si="2"/>
        <v>0.99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9" t="s">
        <v>8</v>
      </c>
      <c r="C37" s="10"/>
      <c r="D37" s="4">
        <f>SUM(OSRRefD16x_0)</f>
        <v>24108.940000000002</v>
      </c>
      <c r="E37" s="4"/>
      <c r="F37" s="12">
        <f t="shared" ref="F37:F55" si="8">IF(D$12=0,0,D37/D$12)</f>
        <v>0.32136392258774521</v>
      </c>
      <c r="G37" s="4"/>
      <c r="H37" s="4">
        <f>SUM(OSRRefH16x_0)</f>
        <v>13479.169999999998</v>
      </c>
      <c r="I37" s="4"/>
      <c r="J37" s="12">
        <f t="shared" ref="J37:J55" si="9">IF(H$12=0,0,H37/H$12)</f>
        <v>0.4213976256470634</v>
      </c>
      <c r="K37" s="4"/>
      <c r="L37" s="4">
        <f t="shared" ref="L37:L55" si="10">+D37-H37</f>
        <v>10629.770000000004</v>
      </c>
      <c r="M37" s="4"/>
      <c r="N37" s="12">
        <f t="shared" ref="N37:N55" si="11">IF(H37=0,0,L37/H37)</f>
        <v>0.78860716201368519</v>
      </c>
      <c r="O37" s="10"/>
      <c r="P37" s="4">
        <f>SUM(OSRRefP16x_0)</f>
        <v>145131.80999999997</v>
      </c>
      <c r="Q37" s="4"/>
      <c r="R37" s="12">
        <f t="shared" ref="R37:R55" si="12">IF(P$12=0,0,P37/P$12)</f>
        <v>0.40383514782803215</v>
      </c>
      <c r="S37" s="4"/>
      <c r="T37" s="4">
        <f>SUM(OSRRefT16x_0)</f>
        <v>126283.51999999997</v>
      </c>
      <c r="U37" s="4"/>
      <c r="V37" s="12">
        <f t="shared" ref="V37:V55" si="13">IF(T$12=0,0,T37/T$12)</f>
        <v>0.42932998138001399</v>
      </c>
      <c r="W37" s="4"/>
      <c r="X37" s="4">
        <f t="shared" ref="X37:X55" si="14">+P37-T37</f>
        <v>18848.289999999994</v>
      </c>
      <c r="Y37" s="4"/>
      <c r="Z37" s="12">
        <f t="shared" ref="Z37:Z55" si="15">IF(T37=0,0,X37/T37)</f>
        <v>0.14925375852684497</v>
      </c>
    </row>
    <row r="38" spans="1:26" s="24" customFormat="1" hidden="1" outlineLevel="1" x14ac:dyDescent="0.25">
      <c r="A38" s="44"/>
      <c r="B38" s="11" t="str">
        <f>CONCATENATE("          ", "5025", " - ", "PURCHASES @ COST-TEST FORMS")</f>
        <v xml:space="preserve">          5025 - PURCHASES @ COST-TEST FORMS</v>
      </c>
      <c r="C38" s="11"/>
      <c r="D38" s="2">
        <v>6.06</v>
      </c>
      <c r="E38" s="2"/>
      <c r="F38" s="19">
        <f t="shared" si="8"/>
        <v>8.0777726888106051E-5</v>
      </c>
      <c r="G38" s="2"/>
      <c r="H38" s="2">
        <v>10.199999999999999</v>
      </c>
      <c r="I38" s="2"/>
      <c r="J38" s="19">
        <f t="shared" si="9"/>
        <v>3.1888133925160426E-4</v>
      </c>
      <c r="K38" s="2"/>
      <c r="L38" s="2">
        <f t="shared" si="10"/>
        <v>-4.1399999999999997</v>
      </c>
      <c r="M38" s="2"/>
      <c r="N38" s="19">
        <f t="shared" si="11"/>
        <v>-0.40588235294117647</v>
      </c>
      <c r="O38" s="11"/>
      <c r="P38" s="2">
        <v>6.06</v>
      </c>
      <c r="Q38" s="2"/>
      <c r="R38" s="19">
        <f t="shared" si="12"/>
        <v>1.6862195791796955E-5</v>
      </c>
      <c r="S38" s="2"/>
      <c r="T38" s="2">
        <v>23.4</v>
      </c>
      <c r="U38" s="2"/>
      <c r="V38" s="19">
        <f t="shared" si="13"/>
        <v>7.9553702369813015E-5</v>
      </c>
      <c r="W38" s="2"/>
      <c r="X38" s="2">
        <f t="shared" si="14"/>
        <v>-17.34</v>
      </c>
      <c r="Y38" s="2"/>
      <c r="Z38" s="19">
        <f t="shared" si="15"/>
        <v>-0.74102564102564106</v>
      </c>
    </row>
    <row r="39" spans="1:26" s="24" customFormat="1" hidden="1" outlineLevel="1" x14ac:dyDescent="0.25">
      <c r="A39" s="44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1296.3800000000001</v>
      </c>
      <c r="E39" s="2"/>
      <c r="F39" s="19">
        <f t="shared" si="8"/>
        <v>1.7280301911419629E-2</v>
      </c>
      <c r="G39" s="2"/>
      <c r="H39" s="2">
        <v>128.54</v>
      </c>
      <c r="I39" s="2"/>
      <c r="J39" s="19">
        <f t="shared" si="9"/>
        <v>4.0185301320981581E-3</v>
      </c>
      <c r="K39" s="2"/>
      <c r="L39" s="2">
        <f t="shared" si="10"/>
        <v>1167.8400000000001</v>
      </c>
      <c r="M39" s="2"/>
      <c r="N39" s="19">
        <f t="shared" si="11"/>
        <v>9.0854208806597185</v>
      </c>
      <c r="O39" s="11"/>
      <c r="P39" s="2">
        <v>1275.1400000000001</v>
      </c>
      <c r="Q39" s="2"/>
      <c r="R39" s="19">
        <f t="shared" si="12"/>
        <v>3.5481287692990054E-3</v>
      </c>
      <c r="S39" s="2"/>
      <c r="T39" s="2">
        <v>570.82000000000005</v>
      </c>
      <c r="U39" s="2"/>
      <c r="V39" s="19">
        <f t="shared" si="13"/>
        <v>1.9406343755015672E-3</v>
      </c>
      <c r="W39" s="2"/>
      <c r="X39" s="2">
        <f t="shared" si="14"/>
        <v>704.32</v>
      </c>
      <c r="Y39" s="2"/>
      <c r="Z39" s="19">
        <f t="shared" si="15"/>
        <v>1.2338740758908238</v>
      </c>
    </row>
    <row r="40" spans="1:26" s="24" customFormat="1" hidden="1" outlineLevel="1" x14ac:dyDescent="0.25">
      <c r="A40" s="44"/>
      <c r="B40" s="11" t="str">
        <f>CONCATENATE("          ", "5027", " - ", "PURCHASES @ COST-SCHOOL SUPPLI")</f>
        <v xml:space="preserve">          5027 - PURCHASES @ COST-SCHOOL SUPPLI</v>
      </c>
      <c r="C40" s="11"/>
      <c r="D40" s="2">
        <v>255.26</v>
      </c>
      <c r="E40" s="2"/>
      <c r="F40" s="19">
        <f t="shared" si="8"/>
        <v>3.402528476148177E-3</v>
      </c>
      <c r="G40" s="2"/>
      <c r="H40" s="2">
        <v>71.7</v>
      </c>
      <c r="I40" s="2"/>
      <c r="J40" s="19">
        <f t="shared" si="9"/>
        <v>2.2415482376803948E-3</v>
      </c>
      <c r="K40" s="2"/>
      <c r="L40" s="2">
        <f t="shared" si="10"/>
        <v>183.56</v>
      </c>
      <c r="M40" s="2"/>
      <c r="N40" s="19">
        <f t="shared" si="11"/>
        <v>2.5601115760111575</v>
      </c>
      <c r="O40" s="11"/>
      <c r="P40" s="2">
        <v>306.55</v>
      </c>
      <c r="Q40" s="2"/>
      <c r="R40" s="19">
        <f t="shared" si="12"/>
        <v>8.5298780857679161E-4</v>
      </c>
      <c r="S40" s="2"/>
      <c r="T40" s="2">
        <v>588.23</v>
      </c>
      <c r="U40" s="2"/>
      <c r="V40" s="19">
        <f t="shared" si="13"/>
        <v>1.9998236899570563E-3</v>
      </c>
      <c r="W40" s="2"/>
      <c r="X40" s="2">
        <f t="shared" si="14"/>
        <v>-281.68</v>
      </c>
      <c r="Y40" s="2"/>
      <c r="Z40" s="19">
        <f t="shared" si="15"/>
        <v>-0.4788603097427877</v>
      </c>
    </row>
    <row r="41" spans="1:26" s="24" customFormat="1" hidden="1" outlineLevel="1" x14ac:dyDescent="0.25">
      <c r="A41" s="44"/>
      <c r="B41" s="11" t="str">
        <f>CONCATENATE("          ", "5034", " - ", "PURCHASES @ COST-SODA")</f>
        <v xml:space="preserve">          5034 - PURCHASES @ COST-SODA</v>
      </c>
      <c r="C41" s="11"/>
      <c r="D41" s="2"/>
      <c r="E41" s="2"/>
      <c r="F41" s="19">
        <f t="shared" si="8"/>
        <v>0</v>
      </c>
      <c r="G41" s="2"/>
      <c r="H41" s="2">
        <v>-13.76</v>
      </c>
      <c r="I41" s="2"/>
      <c r="J41" s="19">
        <f t="shared" si="9"/>
        <v>-4.3017717922569365E-4</v>
      </c>
      <c r="K41" s="2"/>
      <c r="L41" s="2">
        <f t="shared" si="10"/>
        <v>13.76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18.54</v>
      </c>
      <c r="U41" s="2"/>
      <c r="V41" s="19">
        <f t="shared" si="13"/>
        <v>6.3031010339159542E-5</v>
      </c>
      <c r="W41" s="2"/>
      <c r="X41" s="2">
        <f t="shared" si="14"/>
        <v>-18.54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"5037", " - ", "PURCHASES @ COST-WATER")</f>
        <v xml:space="preserve">          5037 - PURCHASES @ COST-WATER</v>
      </c>
      <c r="C42" s="11"/>
      <c r="D42" s="2"/>
      <c r="E42" s="2"/>
      <c r="F42" s="19">
        <f t="shared" si="8"/>
        <v>0</v>
      </c>
      <c r="G42" s="2"/>
      <c r="H42" s="2"/>
      <c r="I42" s="2"/>
      <c r="J42" s="19">
        <f t="shared" si="9"/>
        <v>0</v>
      </c>
      <c r="K42" s="2"/>
      <c r="L42" s="2">
        <f t="shared" si="10"/>
        <v>0</v>
      </c>
      <c r="M42" s="2"/>
      <c r="N42" s="19">
        <f t="shared" si="11"/>
        <v>0</v>
      </c>
      <c r="O42" s="11"/>
      <c r="P42" s="2">
        <v>29.76</v>
      </c>
      <c r="Q42" s="2"/>
      <c r="R42" s="19">
        <f t="shared" si="12"/>
        <v>8.2808407056745458E-5</v>
      </c>
      <c r="S42" s="2"/>
      <c r="T42" s="2">
        <v>50.75</v>
      </c>
      <c r="U42" s="2"/>
      <c r="V42" s="19">
        <f t="shared" si="13"/>
        <v>1.7253634167812011E-4</v>
      </c>
      <c r="W42" s="2"/>
      <c r="X42" s="2">
        <f t="shared" si="14"/>
        <v>-20.99</v>
      </c>
      <c r="Y42" s="2"/>
      <c r="Z42" s="19">
        <f t="shared" si="15"/>
        <v>-0.41359605911330044</v>
      </c>
    </row>
    <row r="43" spans="1:26" s="24" customFormat="1" hidden="1" outlineLevel="1" x14ac:dyDescent="0.25">
      <c r="A43" s="44"/>
      <c r="B43" s="11" t="str">
        <f>CONCATENATE("          ", "5040", " - ", "PURCHASES @ COST-LOGO CLOTHING")</f>
        <v xml:space="preserve">          5040 - PURCHASES @ COST-LOGO CLOTHING</v>
      </c>
      <c r="C43" s="11"/>
      <c r="D43" s="2">
        <v>18818.73</v>
      </c>
      <c r="E43" s="2"/>
      <c r="F43" s="19">
        <f t="shared" si="8"/>
        <v>0.25084723305627199</v>
      </c>
      <c r="G43" s="2"/>
      <c r="H43" s="2">
        <v>15291.009999999998</v>
      </c>
      <c r="I43" s="2"/>
      <c r="J43" s="19">
        <f t="shared" si="9"/>
        <v>0.47804095561859544</v>
      </c>
      <c r="K43" s="2"/>
      <c r="L43" s="2">
        <f t="shared" si="10"/>
        <v>3527.7200000000012</v>
      </c>
      <c r="M43" s="2"/>
      <c r="N43" s="19">
        <f t="shared" si="11"/>
        <v>0.23070549296612855</v>
      </c>
      <c r="O43" s="11"/>
      <c r="P43" s="2">
        <v>174866.08</v>
      </c>
      <c r="Q43" s="2"/>
      <c r="R43" s="19">
        <f t="shared" si="12"/>
        <v>0.48657196011617654</v>
      </c>
      <c r="S43" s="2"/>
      <c r="T43" s="2">
        <v>140441.06</v>
      </c>
      <c r="U43" s="2"/>
      <c r="V43" s="19">
        <f t="shared" si="13"/>
        <v>0.47746180716842102</v>
      </c>
      <c r="W43" s="2"/>
      <c r="X43" s="2">
        <f t="shared" si="14"/>
        <v>34425.01999999999</v>
      </c>
      <c r="Y43" s="2"/>
      <c r="Z43" s="19">
        <f t="shared" si="15"/>
        <v>0.24512076453994289</v>
      </c>
    </row>
    <row r="44" spans="1:26" s="24" customFormat="1" hidden="1" outlineLevel="1" x14ac:dyDescent="0.25">
      <c r="A44" s="44"/>
      <c r="B44" s="11" t="str">
        <f>CONCATENATE("          ", "5041", " - ", "PURCHASES @ COST-LOGO GIFTS")</f>
        <v xml:space="preserve">          5041 - PURCHASES @ COST-LOGO GIFTS</v>
      </c>
      <c r="C44" s="11"/>
      <c r="D44" s="2">
        <v>1474.17</v>
      </c>
      <c r="E44" s="2"/>
      <c r="F44" s="19">
        <f t="shared" si="8"/>
        <v>1.9650181789874474E-2</v>
      </c>
      <c r="G44" s="2"/>
      <c r="H44" s="2">
        <v>490.92</v>
      </c>
      <c r="I44" s="2"/>
      <c r="J44" s="19">
        <f t="shared" si="9"/>
        <v>1.5347571280921332E-2</v>
      </c>
      <c r="K44" s="2"/>
      <c r="L44" s="2">
        <f t="shared" si="10"/>
        <v>983.25</v>
      </c>
      <c r="M44" s="2"/>
      <c r="N44" s="19">
        <f t="shared" si="11"/>
        <v>2.0028721583964799</v>
      </c>
      <c r="O44" s="11"/>
      <c r="P44" s="2">
        <v>21253.64</v>
      </c>
      <c r="Q44" s="2"/>
      <c r="R44" s="19">
        <f t="shared" si="12"/>
        <v>5.913911534131476E-2</v>
      </c>
      <c r="S44" s="2"/>
      <c r="T44" s="2">
        <v>19437.8</v>
      </c>
      <c r="U44" s="2"/>
      <c r="V44" s="19">
        <f t="shared" si="13"/>
        <v>6.6083288714698776E-2</v>
      </c>
      <c r="W44" s="2"/>
      <c r="X44" s="2">
        <f t="shared" si="14"/>
        <v>1815.8400000000001</v>
      </c>
      <c r="Y44" s="2"/>
      <c r="Z44" s="19">
        <f t="shared" si="15"/>
        <v>9.3417979400961026E-2</v>
      </c>
    </row>
    <row r="45" spans="1:26" s="24" customFormat="1" hidden="1" outlineLevel="1" x14ac:dyDescent="0.25">
      <c r="A45" s="44"/>
      <c r="B45" s="11" t="str">
        <f>CONCATENATE("          ", "5042", " - ", "PURCHASES @ COST-EVERYDAY GIFT")</f>
        <v xml:space="preserve">          5042 - PURCHASES @ COST-EVERYDAY GIFT</v>
      </c>
      <c r="C45" s="11"/>
      <c r="D45" s="2">
        <v>900.31</v>
      </c>
      <c r="E45" s="2"/>
      <c r="F45" s="19">
        <f t="shared" si="8"/>
        <v>1.2000824306044681E-2</v>
      </c>
      <c r="G45" s="2"/>
      <c r="H45" s="2">
        <v>-2444.77</v>
      </c>
      <c r="I45" s="2"/>
      <c r="J45" s="19">
        <f t="shared" si="9"/>
        <v>-7.6430542329622028E-2</v>
      </c>
      <c r="K45" s="2"/>
      <c r="L45" s="2">
        <f t="shared" si="10"/>
        <v>3345.08</v>
      </c>
      <c r="M45" s="2"/>
      <c r="N45" s="19">
        <f t="shared" si="11"/>
        <v>-1.3682595908817599</v>
      </c>
      <c r="O45" s="11"/>
      <c r="P45" s="2">
        <v>17463.350000000002</v>
      </c>
      <c r="Q45" s="2"/>
      <c r="R45" s="19">
        <f t="shared" si="12"/>
        <v>4.85924796832801E-2</v>
      </c>
      <c r="S45" s="2"/>
      <c r="T45" s="2">
        <v>10434.15</v>
      </c>
      <c r="U45" s="2"/>
      <c r="V45" s="19">
        <f t="shared" si="13"/>
        <v>3.547330186247797E-2</v>
      </c>
      <c r="W45" s="2"/>
      <c r="X45" s="2">
        <f t="shared" si="14"/>
        <v>7029.2000000000025</v>
      </c>
      <c r="Y45" s="2"/>
      <c r="Z45" s="19">
        <f t="shared" si="15"/>
        <v>0.67367250806246826</v>
      </c>
    </row>
    <row r="46" spans="1:26" s="24" customFormat="1" hidden="1" outlineLevel="1" x14ac:dyDescent="0.25">
      <c r="A46" s="44"/>
      <c r="B46" s="11" t="str">
        <f>CONCATENATE("          ", "5043", " - ", "PURCHASES @ COST-CARDS")</f>
        <v xml:space="preserve">          5043 - PURCHASES @ COST-CARDS</v>
      </c>
      <c r="C46" s="11"/>
      <c r="D46" s="2">
        <v>29.15</v>
      </c>
      <c r="E46" s="2"/>
      <c r="F46" s="19">
        <f t="shared" si="8"/>
        <v>3.885595278528534E-4</v>
      </c>
      <c r="G46" s="2"/>
      <c r="H46" s="2">
        <v>28.21</v>
      </c>
      <c r="I46" s="2"/>
      <c r="J46" s="19">
        <f t="shared" si="9"/>
        <v>8.8192574316546643E-4</v>
      </c>
      <c r="K46" s="2"/>
      <c r="L46" s="2">
        <f t="shared" si="10"/>
        <v>0.93999999999999773</v>
      </c>
      <c r="M46" s="2"/>
      <c r="N46" s="19">
        <f t="shared" si="11"/>
        <v>3.3321517192484849E-2</v>
      </c>
      <c r="O46" s="11"/>
      <c r="P46" s="2">
        <v>368.47</v>
      </c>
      <c r="Q46" s="2"/>
      <c r="R46" s="19">
        <f t="shared" si="12"/>
        <v>1.0252827200335685E-3</v>
      </c>
      <c r="S46" s="2"/>
      <c r="T46" s="2">
        <v>173.21</v>
      </c>
      <c r="U46" s="2"/>
      <c r="V46" s="19">
        <f t="shared" si="13"/>
        <v>5.8886738408014158E-4</v>
      </c>
      <c r="W46" s="2"/>
      <c r="X46" s="2">
        <f t="shared" si="14"/>
        <v>195.26000000000002</v>
      </c>
      <c r="Y46" s="2"/>
      <c r="Z46" s="19">
        <f t="shared" si="15"/>
        <v>1.1273021188153109</v>
      </c>
    </row>
    <row r="47" spans="1:26" s="24" customFormat="1" hidden="1" outlineLevel="1" x14ac:dyDescent="0.25">
      <c r="A47" s="44"/>
      <c r="B47" s="11" t="str">
        <f>CONCATENATE("          ", "5044", " - ", "PURCHASES @ COST-ACCESSORIES")</f>
        <v xml:space="preserve">          5044 - PURCHASES @ COST-ACCESSORIES</v>
      </c>
      <c r="C47" s="11"/>
      <c r="D47" s="2">
        <v>1305.23</v>
      </c>
      <c r="E47" s="2"/>
      <c r="F47" s="19">
        <f t="shared" si="8"/>
        <v>1.7398269383855226E-2</v>
      </c>
      <c r="G47" s="2"/>
      <c r="H47" s="2">
        <v>100.01</v>
      </c>
      <c r="I47" s="2"/>
      <c r="J47" s="19">
        <f t="shared" si="9"/>
        <v>3.1266002684855829E-3</v>
      </c>
      <c r="K47" s="2"/>
      <c r="L47" s="2">
        <f t="shared" si="10"/>
        <v>1205.22</v>
      </c>
      <c r="M47" s="2"/>
      <c r="N47" s="19">
        <f t="shared" si="11"/>
        <v>12.050994900509949</v>
      </c>
      <c r="O47" s="11"/>
      <c r="P47" s="2">
        <v>-4649.1899999999996</v>
      </c>
      <c r="Q47" s="2"/>
      <c r="R47" s="19">
        <f t="shared" si="12"/>
        <v>-1.2936559744763116E-2</v>
      </c>
      <c r="S47" s="2"/>
      <c r="T47" s="2">
        <v>2282.58</v>
      </c>
      <c r="U47" s="2"/>
      <c r="V47" s="19">
        <f t="shared" si="13"/>
        <v>7.7601576903969143E-3</v>
      </c>
      <c r="W47" s="2"/>
      <c r="X47" s="2">
        <f t="shared" si="14"/>
        <v>-6931.7699999999995</v>
      </c>
      <c r="Y47" s="2"/>
      <c r="Z47" s="19">
        <f t="shared" si="15"/>
        <v>-3.0368136056567567</v>
      </c>
    </row>
    <row r="48" spans="1:26" s="24" customFormat="1" hidden="1" outlineLevel="1" x14ac:dyDescent="0.25">
      <c r="A48" s="44"/>
      <c r="B48" s="11" t="str">
        <f>CONCATENATE("          ", "5045", " - ", "PURCHASES @ COST-SPECIAL ORDER")</f>
        <v xml:space="preserve">          5045 - PURCHASES @ COST-SPECIAL ORDER</v>
      </c>
      <c r="C48" s="11"/>
      <c r="D48" s="2">
        <v>-26.75</v>
      </c>
      <c r="E48" s="2"/>
      <c r="F48" s="19">
        <f t="shared" si="8"/>
        <v>-3.5656834888726687E-4</v>
      </c>
      <c r="G48" s="2"/>
      <c r="H48" s="2">
        <v>-303.20999999999998</v>
      </c>
      <c r="I48" s="2"/>
      <c r="J48" s="19">
        <f t="shared" si="9"/>
        <v>-9.4792167523998945E-3</v>
      </c>
      <c r="K48" s="2"/>
      <c r="L48" s="2">
        <f t="shared" si="10"/>
        <v>276.45999999999998</v>
      </c>
      <c r="M48" s="2"/>
      <c r="N48" s="19">
        <f t="shared" si="11"/>
        <v>-0.91177731605158141</v>
      </c>
      <c r="O48" s="11"/>
      <c r="P48" s="2">
        <v>-998.2</v>
      </c>
      <c r="Q48" s="2"/>
      <c r="R48" s="19">
        <f t="shared" si="12"/>
        <v>-2.7775319866950037E-3</v>
      </c>
      <c r="S48" s="2"/>
      <c r="T48" s="2">
        <v>201.17</v>
      </c>
      <c r="U48" s="2"/>
      <c r="V48" s="19">
        <f t="shared" si="13"/>
        <v>6.8392385921945656E-4</v>
      </c>
      <c r="W48" s="2"/>
      <c r="X48" s="2">
        <f t="shared" si="14"/>
        <v>-1199.3700000000001</v>
      </c>
      <c r="Y48" s="2"/>
      <c r="Z48" s="19">
        <f t="shared" si="15"/>
        <v>-5.9619724611025511</v>
      </c>
    </row>
    <row r="49" spans="1:26" s="24" customFormat="1" hidden="1" outlineLevel="1" x14ac:dyDescent="0.25">
      <c r="A49" s="44"/>
      <c r="B49" s="11" t="str">
        <f>CONCATENATE("          ", "5083", " - ", "PURCHASES @ COST-COMPUTER EQUI")</f>
        <v xml:space="preserve">          5083 - PURCHASES @ COST-COMPUTER EQUI</v>
      </c>
      <c r="C49" s="11"/>
      <c r="D49" s="2">
        <v>50.4</v>
      </c>
      <c r="E49" s="2"/>
      <c r="F49" s="19">
        <f t="shared" si="8"/>
        <v>6.7181475827731774E-4</v>
      </c>
      <c r="G49" s="2"/>
      <c r="H49" s="2"/>
      <c r="I49" s="2"/>
      <c r="J49" s="19">
        <f t="shared" si="9"/>
        <v>0</v>
      </c>
      <c r="K49" s="2"/>
      <c r="L49" s="2">
        <f t="shared" si="10"/>
        <v>50.4</v>
      </c>
      <c r="M49" s="2"/>
      <c r="N49" s="19">
        <f t="shared" si="11"/>
        <v>0</v>
      </c>
      <c r="O49" s="11"/>
      <c r="P49" s="2">
        <v>90.35</v>
      </c>
      <c r="Q49" s="2"/>
      <c r="R49" s="19">
        <f t="shared" si="12"/>
        <v>2.5140253956911797E-4</v>
      </c>
      <c r="S49" s="2"/>
      <c r="T49" s="2">
        <v>15.8</v>
      </c>
      <c r="U49" s="2"/>
      <c r="V49" s="19">
        <f t="shared" si="13"/>
        <v>5.3715747753976315E-5</v>
      </c>
      <c r="W49" s="2"/>
      <c r="X49" s="2">
        <f t="shared" si="14"/>
        <v>74.55</v>
      </c>
      <c r="Y49" s="2"/>
      <c r="Z49" s="19">
        <f t="shared" si="15"/>
        <v>4.7183544303797467</v>
      </c>
    </row>
    <row r="50" spans="1:26" s="24" customFormat="1" hidden="1" outlineLevel="1" x14ac:dyDescent="0.25">
      <c r="A50" s="44"/>
      <c r="B50" s="11" t="str">
        <f>CONCATENATE("          ", "5092", " - ", "PURCHASES @ COST-GRAD MERCH")</f>
        <v xml:space="preserve">          5092 - PURCHASES @ COST-GRAD MERCH</v>
      </c>
      <c r="C50" s="11"/>
      <c r="D50" s="2"/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1"/>
      <c r="P50" s="2">
        <v>-60.35</v>
      </c>
      <c r="Q50" s="2"/>
      <c r="R50" s="19">
        <f t="shared" si="12"/>
        <v>-1.6792632277804395E-4</v>
      </c>
      <c r="S50" s="2"/>
      <c r="T50" s="2"/>
      <c r="U50" s="2"/>
      <c r="V50" s="19">
        <f t="shared" si="13"/>
        <v>0</v>
      </c>
      <c r="W50" s="2"/>
      <c r="X50" s="2">
        <f t="shared" si="14"/>
        <v>-60.35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"5095", " - ", "PURCHASES @ COST-CUSTOMER SERV")</f>
        <v xml:space="preserve">          5095 - PURCHASES @ COST-CUSTOMER SERV</v>
      </c>
      <c r="C51" s="11"/>
      <c r="D51" s="2"/>
      <c r="E51" s="2"/>
      <c r="F51" s="19">
        <f t="shared" si="8"/>
        <v>0</v>
      </c>
      <c r="G51" s="2"/>
      <c r="H51" s="2">
        <v>4.32</v>
      </c>
      <c r="I51" s="2"/>
      <c r="J51" s="19">
        <f t="shared" si="9"/>
        <v>1.350556260359736E-4</v>
      </c>
      <c r="K51" s="2"/>
      <c r="L51" s="2">
        <f t="shared" si="10"/>
        <v>-4.32</v>
      </c>
      <c r="M51" s="2"/>
      <c r="N51" s="19">
        <f t="shared" si="11"/>
        <v>-1</v>
      </c>
      <c r="O51" s="11"/>
      <c r="P51" s="2">
        <v>-11.85</v>
      </c>
      <c r="Q51" s="2"/>
      <c r="R51" s="19">
        <f t="shared" si="12"/>
        <v>-3.2973105632474248E-5</v>
      </c>
      <c r="S51" s="2"/>
      <c r="T51" s="2">
        <v>61.92</v>
      </c>
      <c r="U51" s="2"/>
      <c r="V51" s="19">
        <f t="shared" si="13"/>
        <v>2.1051133550165907E-4</v>
      </c>
      <c r="W51" s="2"/>
      <c r="X51" s="2">
        <f t="shared" si="14"/>
        <v>-73.77</v>
      </c>
      <c r="Y51" s="2"/>
      <c r="Z51" s="19">
        <f t="shared" si="15"/>
        <v>-1.1913759689922481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/>
      <c r="E52" s="2"/>
      <c r="F52" s="19">
        <f t="shared" si="8"/>
        <v>0</v>
      </c>
      <c r="G52" s="2"/>
      <c r="H52" s="2">
        <v>-13363</v>
      </c>
      <c r="I52" s="2"/>
      <c r="J52" s="19">
        <f t="shared" si="9"/>
        <v>-0.41776581729599882</v>
      </c>
      <c r="K52" s="2"/>
      <c r="L52" s="2">
        <f t="shared" si="10"/>
        <v>13363</v>
      </c>
      <c r="M52" s="2"/>
      <c r="N52" s="19">
        <f t="shared" si="11"/>
        <v>-1</v>
      </c>
      <c r="O52" s="11"/>
      <c r="P52" s="2">
        <v>-147712</v>
      </c>
      <c r="Q52" s="2"/>
      <c r="R52" s="19">
        <f t="shared" si="12"/>
        <v>-0.41101463115477099</v>
      </c>
      <c r="S52" s="2"/>
      <c r="T52" s="2">
        <v>-174342</v>
      </c>
      <c r="U52" s="2"/>
      <c r="V52" s="19">
        <f t="shared" si="13"/>
        <v>-0.59271587942555304</v>
      </c>
      <c r="W52" s="2"/>
      <c r="X52" s="2">
        <f t="shared" si="14"/>
        <v>26630</v>
      </c>
      <c r="Y52" s="2"/>
      <c r="Z52" s="19">
        <f t="shared" si="15"/>
        <v>-0.15274575260120912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/>
      <c r="E53" s="2"/>
      <c r="F53" s="19">
        <f t="shared" si="8"/>
        <v>0</v>
      </c>
      <c r="G53" s="2"/>
      <c r="H53" s="2">
        <v>13479</v>
      </c>
      <c r="I53" s="2"/>
      <c r="J53" s="19">
        <f t="shared" si="9"/>
        <v>0.42139231095807589</v>
      </c>
      <c r="K53" s="2"/>
      <c r="L53" s="2">
        <f t="shared" si="10"/>
        <v>-13479</v>
      </c>
      <c r="M53" s="2"/>
      <c r="N53" s="19">
        <f t="shared" si="11"/>
        <v>-1</v>
      </c>
      <c r="O53" s="11"/>
      <c r="P53" s="2">
        <v>82904</v>
      </c>
      <c r="Q53" s="2"/>
      <c r="R53" s="19">
        <f t="shared" si="12"/>
        <v>0.23068374256157342</v>
      </c>
      <c r="S53" s="2"/>
      <c r="T53" s="2">
        <v>126285</v>
      </c>
      <c r="U53" s="2"/>
      <c r="V53" s="19">
        <f t="shared" si="13"/>
        <v>0.42933501298170246</v>
      </c>
      <c r="W53" s="2"/>
      <c r="X53" s="2">
        <f t="shared" si="14"/>
        <v>-43381</v>
      </c>
      <c r="Y53" s="2"/>
      <c r="Z53" s="19">
        <f t="shared" si="15"/>
        <v>-0.3435166488498238</v>
      </c>
    </row>
    <row r="54" spans="1:26" s="24" customFormat="1" hidden="1" outlineLevel="1" x14ac:dyDescent="0.25">
      <c r="A54" s="44"/>
      <c r="B54" s="11" t="str">
        <f>CONCATENATE("          ", "5540", " - ", "FREIGHT-IN-LOGO CLOTHING")</f>
        <v xml:space="preserve">          5540 - FREIGHT-IN-LOGO CLOTHING</v>
      </c>
      <c r="C54" s="11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1"/>
      <c r="P54" s="2"/>
      <c r="Q54" s="2"/>
      <c r="R54" s="19">
        <f t="shared" si="12"/>
        <v>0</v>
      </c>
      <c r="S54" s="2"/>
      <c r="T54" s="2">
        <v>11.96</v>
      </c>
      <c r="U54" s="2"/>
      <c r="V54" s="19">
        <f t="shared" si="13"/>
        <v>4.0660781211237769E-5</v>
      </c>
      <c r="W54" s="2"/>
      <c r="X54" s="2">
        <f t="shared" si="14"/>
        <v>-11.96</v>
      </c>
      <c r="Y54" s="2"/>
      <c r="Z54" s="19">
        <f t="shared" si="15"/>
        <v>-1</v>
      </c>
    </row>
    <row r="55" spans="1:26" s="24" customFormat="1" hidden="1" outlineLevel="1" x14ac:dyDescent="0.25">
      <c r="A55" s="44"/>
      <c r="B55" s="11" t="str">
        <f>CONCATENATE("          ", "5542", " - ", "FREIGHT-IN-EVERYDAY GIFTS")</f>
        <v xml:space="preserve">          5542 - FREIGHT-IN-EVERYDAY GIFTS</v>
      </c>
      <c r="C55" s="11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1"/>
      <c r="P55" s="2"/>
      <c r="Q55" s="2"/>
      <c r="R55" s="19">
        <f t="shared" si="12"/>
        <v>0</v>
      </c>
      <c r="S55" s="2"/>
      <c r="T55" s="2">
        <v>29.13</v>
      </c>
      <c r="U55" s="2"/>
      <c r="V55" s="19">
        <f t="shared" si="13"/>
        <v>9.9034160257805684E-5</v>
      </c>
      <c r="W55" s="2"/>
      <c r="X55" s="2">
        <f t="shared" si="14"/>
        <v>-29.13</v>
      </c>
      <c r="Y55" s="2"/>
      <c r="Z55" s="19">
        <f t="shared" si="15"/>
        <v>-1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8" t="s">
        <v>6</v>
      </c>
      <c r="C57" s="28"/>
      <c r="D57" s="21">
        <f>D12-D37</f>
        <v>50911.739999999991</v>
      </c>
      <c r="E57" s="14"/>
      <c r="F57" s="22">
        <f>IF(D$12=0,0,D57/D$12)</f>
        <v>0.67863607741225485</v>
      </c>
      <c r="G57" s="14"/>
      <c r="H57" s="21">
        <f>H12-H37</f>
        <v>18507.649999999998</v>
      </c>
      <c r="I57" s="14"/>
      <c r="J57" s="22">
        <f>IF(H$12=0,0,H57/H$12)</f>
        <v>0.5786023743529366</v>
      </c>
      <c r="K57" s="16"/>
      <c r="L57" s="21">
        <f>+D57-H57</f>
        <v>32404.089999999993</v>
      </c>
      <c r="M57" s="16"/>
      <c r="N57" s="22">
        <f>IF(H57=0,0,L57/H57)</f>
        <v>1.7508484329452954</v>
      </c>
      <c r="O57" s="29"/>
      <c r="P57" s="21">
        <f>P12-P37</f>
        <v>214251.99000000008</v>
      </c>
      <c r="Q57" s="14"/>
      <c r="R57" s="22">
        <f>IF(P$12=0,0,P57/P$12)</f>
        <v>0.5961648521719678</v>
      </c>
      <c r="S57" s="14"/>
      <c r="T57" s="21">
        <f>T12-T37</f>
        <v>167857.40999999997</v>
      </c>
      <c r="U57" s="14"/>
      <c r="V57" s="22">
        <f>IF(T$12=0,0,T57/T$12)</f>
        <v>0.57067001861998601</v>
      </c>
      <c r="W57" s="16"/>
      <c r="X57" s="21">
        <f>+P57-T57</f>
        <v>46394.580000000104</v>
      </c>
      <c r="Y57" s="16"/>
      <c r="Z57" s="22">
        <f>IF(T57=0,0,X57/T57)</f>
        <v>0.27639280267698701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9</v>
      </c>
      <c r="C59" s="10"/>
      <c r="D59" s="20">
        <f>SUM(OSRRefD22x_0)</f>
        <v>34769.75</v>
      </c>
      <c r="E59" s="20"/>
      <c r="F59" s="32">
        <f t="shared" ref="F59:F68" si="16">IF(D$12=0,0,D59/D$12)</f>
        <v>0.4634688728494597</v>
      </c>
      <c r="G59" s="20"/>
      <c r="H59" s="20">
        <f>SUM(OSRRefH22x_0)</f>
        <v>30927.099999999995</v>
      </c>
      <c r="I59" s="20"/>
      <c r="J59" s="32">
        <f t="shared" ref="J59:J68" si="17">IF(H$12=0,0,H59/H$12)</f>
        <v>0.96687010462434209</v>
      </c>
      <c r="K59" s="4"/>
      <c r="L59" s="20">
        <f t="shared" ref="L59:L68" si="18">+D59-H59</f>
        <v>3842.6500000000051</v>
      </c>
      <c r="M59" s="4"/>
      <c r="N59" s="32">
        <f t="shared" ref="N59:N68" si="19">IF(H59=0,0,L59/H59)</f>
        <v>0.12424863630925646</v>
      </c>
      <c r="O59" s="10"/>
      <c r="P59" s="20">
        <f>SUM(OSRRefP22x_0)</f>
        <v>222488.50999999998</v>
      </c>
      <c r="Q59" s="20"/>
      <c r="R59" s="32">
        <f t="shared" ref="R59:R68" si="20">IF(P$12=0,0,P59/P$12)</f>
        <v>0.61908330314276816</v>
      </c>
      <c r="S59" s="20"/>
      <c r="T59" s="20">
        <f>SUM(OSRRefT22x_0)</f>
        <v>202613.13</v>
      </c>
      <c r="U59" s="20"/>
      <c r="V59" s="32">
        <f t="shared" ref="V59:V68" si="21">IF(T$12=0,0,T59/T$12)</f>
        <v>0.68883011283060824</v>
      </c>
      <c r="W59" s="4"/>
      <c r="X59" s="20">
        <f t="shared" ref="X59:X68" si="22">+P59-T59</f>
        <v>19875.379999999976</v>
      </c>
      <c r="Y59" s="4"/>
      <c r="Z59" s="32">
        <f t="shared" ref="Z59:Z68" si="23">IF(T59=0,0,X59/T59)</f>
        <v>9.8095222160577519E-2</v>
      </c>
    </row>
    <row r="60" spans="1:26" s="26" customFormat="1" outlineLevel="1" collapsed="1" x14ac:dyDescent="0.25">
      <c r="A60" s="27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1977.1100000000001</v>
      </c>
      <c r="E60" s="1"/>
      <c r="F60" s="5">
        <f t="shared" si="16"/>
        <v>2.6354199935271185E-2</v>
      </c>
      <c r="G60" s="1"/>
      <c r="H60" s="1">
        <f>SUM(OSRRefH22_0x_0)</f>
        <v>1979.33</v>
      </c>
      <c r="I60" s="1"/>
      <c r="J60" s="5">
        <f t="shared" si="17"/>
        <v>6.1879549139301757E-2</v>
      </c>
      <c r="K60" s="1"/>
      <c r="L60" s="1">
        <f t="shared" si="18"/>
        <v>-2.2199999999997999</v>
      </c>
      <c r="M60" s="1"/>
      <c r="N60" s="5">
        <f t="shared" si="19"/>
        <v>-1.1215916496995447E-3</v>
      </c>
      <c r="O60" s="13"/>
      <c r="P60" s="1">
        <f>SUM(OSRRefP22_0x_0)</f>
        <v>14648.349999999999</v>
      </c>
      <c r="Q60" s="1"/>
      <c r="R60" s="5">
        <f t="shared" si="20"/>
        <v>4.0759628007717645E-2</v>
      </c>
      <c r="S60" s="1"/>
      <c r="T60" s="1">
        <f>SUM(OSRRefT22_0x_0)</f>
        <v>18285.079999999998</v>
      </c>
      <c r="U60" s="1"/>
      <c r="V60" s="5">
        <f t="shared" si="21"/>
        <v>6.2164350945650447E-2</v>
      </c>
      <c r="W60" s="1"/>
      <c r="X60" s="1">
        <f t="shared" si="22"/>
        <v>-3636.7299999999996</v>
      </c>
      <c r="Y60" s="1"/>
      <c r="Z60" s="5">
        <f t="shared" si="23"/>
        <v>-0.1988905708916778</v>
      </c>
    </row>
    <row r="61" spans="1:26" s="24" customFormat="1" hidden="1" outlineLevel="2" x14ac:dyDescent="0.25">
      <c r="A61" s="25"/>
      <c r="B61" s="11" t="str">
        <f>CONCATENATE("          ", "6111", " - ", "F.I.C.A.")</f>
        <v xml:space="preserve">          6111 - F.I.C.A.</v>
      </c>
      <c r="C61" s="11"/>
      <c r="D61" s="6">
        <v>299.56</v>
      </c>
      <c r="E61" s="2"/>
      <c r="F61" s="7">
        <f t="shared" si="16"/>
        <v>3.9930323212212957E-3</v>
      </c>
      <c r="G61" s="2"/>
      <c r="H61" s="6">
        <v>325.39999999999998</v>
      </c>
      <c r="I61" s="2"/>
      <c r="J61" s="7">
        <f t="shared" si="17"/>
        <v>1.0172939979654121E-2</v>
      </c>
      <c r="K61" s="2"/>
      <c r="L61" s="6">
        <f t="shared" si="18"/>
        <v>-25.839999999999975</v>
      </c>
      <c r="M61" s="2"/>
      <c r="N61" s="7">
        <f t="shared" si="19"/>
        <v>-7.9409956976029428E-2</v>
      </c>
      <c r="O61" s="11"/>
      <c r="P61" s="6">
        <v>3122.58</v>
      </c>
      <c r="Q61" s="2"/>
      <c r="R61" s="7">
        <f t="shared" si="20"/>
        <v>8.6887055009157322E-3</v>
      </c>
      <c r="S61" s="2"/>
      <c r="T61" s="6">
        <v>3810.21</v>
      </c>
      <c r="U61" s="2"/>
      <c r="V61" s="7">
        <f t="shared" si="21"/>
        <v>1.2953688560106208E-2</v>
      </c>
      <c r="W61" s="2"/>
      <c r="X61" s="6">
        <f t="shared" si="22"/>
        <v>-687.63000000000011</v>
      </c>
      <c r="Y61" s="2"/>
      <c r="Z61" s="7">
        <f t="shared" si="23"/>
        <v>-0.18047036777500455</v>
      </c>
    </row>
    <row r="62" spans="1:26" s="24" customFormat="1" hidden="1" outlineLevel="2" x14ac:dyDescent="0.25">
      <c r="A62" s="25"/>
      <c r="B62" s="11" t="str">
        <f>CONCATENATE("          ", "6112", " - ", "COMPENSATION INSURANCE")</f>
        <v xml:space="preserve">          6112 - COMPENSATION INSURANCE</v>
      </c>
      <c r="C62" s="11"/>
      <c r="D62" s="6">
        <v>181.77</v>
      </c>
      <c r="E62" s="2"/>
      <c r="F62" s="7">
        <f t="shared" si="16"/>
        <v>2.4229319169061119E-3</v>
      </c>
      <c r="G62" s="2"/>
      <c r="H62" s="6">
        <v>179.1</v>
      </c>
      <c r="I62" s="2"/>
      <c r="J62" s="7">
        <f t="shared" si="17"/>
        <v>5.5991811627414045E-3</v>
      </c>
      <c r="K62" s="2"/>
      <c r="L62" s="6">
        <f t="shared" si="18"/>
        <v>2.6700000000000159</v>
      </c>
      <c r="M62" s="2"/>
      <c r="N62" s="7">
        <f t="shared" si="19"/>
        <v>1.4907872696817509E-2</v>
      </c>
      <c r="O62" s="11"/>
      <c r="P62" s="6">
        <v>1183.94</v>
      </c>
      <c r="Q62" s="2"/>
      <c r="R62" s="7">
        <f t="shared" si="20"/>
        <v>3.2943610702541402E-3</v>
      </c>
      <c r="S62" s="2"/>
      <c r="T62" s="6">
        <v>1059.93</v>
      </c>
      <c r="U62" s="2"/>
      <c r="V62" s="7">
        <f t="shared" si="21"/>
        <v>3.6034767415741844E-3</v>
      </c>
      <c r="W62" s="2"/>
      <c r="X62" s="6">
        <f t="shared" si="22"/>
        <v>124.00999999999999</v>
      </c>
      <c r="Y62" s="2"/>
      <c r="Z62" s="7">
        <f t="shared" si="23"/>
        <v>0.11699829234006018</v>
      </c>
    </row>
    <row r="63" spans="1:26" s="24" customFormat="1" hidden="1" outlineLevel="2" x14ac:dyDescent="0.25">
      <c r="A63" s="25"/>
      <c r="B63" s="11" t="str">
        <f>CONCATENATE("          ", "6113", " - ", "GROUP INSURANCE")</f>
        <v xml:space="preserve">          6113 - GROUP INSURANCE</v>
      </c>
      <c r="C63" s="11"/>
      <c r="D63" s="6">
        <v>988.45</v>
      </c>
      <c r="E63" s="2"/>
      <c r="F63" s="7">
        <f t="shared" si="16"/>
        <v>1.3175700353555848E-2</v>
      </c>
      <c r="G63" s="2"/>
      <c r="H63" s="6">
        <v>683.06</v>
      </c>
      <c r="I63" s="2"/>
      <c r="J63" s="7">
        <f t="shared" si="17"/>
        <v>2.1354420351882432E-2</v>
      </c>
      <c r="K63" s="2"/>
      <c r="L63" s="6">
        <f t="shared" si="18"/>
        <v>305.3900000000001</v>
      </c>
      <c r="M63" s="2"/>
      <c r="N63" s="7">
        <f t="shared" si="19"/>
        <v>0.44709103153456525</v>
      </c>
      <c r="O63" s="11"/>
      <c r="P63" s="6">
        <v>6332.21</v>
      </c>
      <c r="Q63" s="2"/>
      <c r="R63" s="7">
        <f t="shared" si="20"/>
        <v>1.7619631157553568E-2</v>
      </c>
      <c r="S63" s="2"/>
      <c r="T63" s="6">
        <v>6642.77</v>
      </c>
      <c r="U63" s="2"/>
      <c r="V63" s="7">
        <f t="shared" si="21"/>
        <v>2.2583630234663369E-2</v>
      </c>
      <c r="W63" s="2"/>
      <c r="X63" s="6">
        <f t="shared" si="22"/>
        <v>-310.5600000000004</v>
      </c>
      <c r="Y63" s="2"/>
      <c r="Z63" s="7">
        <f t="shared" si="23"/>
        <v>-4.6751581042245985E-2</v>
      </c>
    </row>
    <row r="64" spans="1:26" s="24" customFormat="1" hidden="1" outlineLevel="2" x14ac:dyDescent="0.25">
      <c r="A64" s="25"/>
      <c r="B64" s="11" t="str">
        <f>CONCATENATE("          ", "6114", " - ", "STATE UNEMPLOYMENT INSURANCE")</f>
        <v xml:space="preserve">          6114 - STATE UNEMPLOYMENT INSURANCE</v>
      </c>
      <c r="C64" s="11"/>
      <c r="D64" s="6">
        <v>24.87</v>
      </c>
      <c r="E64" s="2"/>
      <c r="F64" s="7">
        <f t="shared" si="16"/>
        <v>3.3150859203089073E-4</v>
      </c>
      <c r="G64" s="2"/>
      <c r="H64" s="6">
        <v>39.130000000000003</v>
      </c>
      <c r="I64" s="2"/>
      <c r="J64" s="7">
        <f t="shared" si="17"/>
        <v>1.2233163534230663E-3</v>
      </c>
      <c r="K64" s="2"/>
      <c r="L64" s="6">
        <f t="shared" si="18"/>
        <v>-14.260000000000002</v>
      </c>
      <c r="M64" s="2"/>
      <c r="N64" s="7">
        <f t="shared" si="19"/>
        <v>-0.36442627140301559</v>
      </c>
      <c r="O64" s="11"/>
      <c r="P64" s="6">
        <v>194.72</v>
      </c>
      <c r="Q64" s="2"/>
      <c r="R64" s="7">
        <f t="shared" si="20"/>
        <v>5.4181629778526463E-4</v>
      </c>
      <c r="S64" s="2"/>
      <c r="T64" s="6">
        <v>231.58</v>
      </c>
      <c r="U64" s="2"/>
      <c r="V64" s="7">
        <f t="shared" si="21"/>
        <v>7.8730967499150858E-4</v>
      </c>
      <c r="W64" s="2"/>
      <c r="X64" s="6">
        <f t="shared" si="22"/>
        <v>-36.860000000000014</v>
      </c>
      <c r="Y64" s="2"/>
      <c r="Z64" s="7">
        <f t="shared" si="23"/>
        <v>-0.15916745832973492</v>
      </c>
    </row>
    <row r="65" spans="1:26" s="24" customFormat="1" hidden="1" outlineLevel="2" x14ac:dyDescent="0.25">
      <c r="A65" s="25"/>
      <c r="B65" s="11" t="str">
        <f>CONCATENATE("          ", "6115", " - ", "P.E.R.S.")</f>
        <v xml:space="preserve">          6115 - P.E.R.S.</v>
      </c>
      <c r="C65" s="11"/>
      <c r="D65" s="6">
        <v>233.73</v>
      </c>
      <c r="E65" s="2"/>
      <c r="F65" s="7">
        <f t="shared" si="16"/>
        <v>3.1155409415110609E-3</v>
      </c>
      <c r="G65" s="2"/>
      <c r="H65" s="6">
        <v>308.37</v>
      </c>
      <c r="I65" s="2"/>
      <c r="J65" s="7">
        <f t="shared" si="17"/>
        <v>9.6405331946095314E-3</v>
      </c>
      <c r="K65" s="2"/>
      <c r="L65" s="6">
        <f t="shared" si="18"/>
        <v>-74.640000000000015</v>
      </c>
      <c r="M65" s="2"/>
      <c r="N65" s="7">
        <f t="shared" si="19"/>
        <v>-0.24204689172098456</v>
      </c>
      <c r="O65" s="11"/>
      <c r="P65" s="6">
        <v>1387.48</v>
      </c>
      <c r="Q65" s="2"/>
      <c r="R65" s="7">
        <f t="shared" si="20"/>
        <v>3.8607193757759805E-3</v>
      </c>
      <c r="S65" s="2"/>
      <c r="T65" s="6">
        <v>1822.22</v>
      </c>
      <c r="U65" s="2"/>
      <c r="V65" s="7">
        <f t="shared" si="21"/>
        <v>6.1950575868513109E-3</v>
      </c>
      <c r="W65" s="2"/>
      <c r="X65" s="6">
        <f t="shared" si="22"/>
        <v>-434.74</v>
      </c>
      <c r="Y65" s="2"/>
      <c r="Z65" s="7">
        <f t="shared" si="23"/>
        <v>-0.23857712021600028</v>
      </c>
    </row>
    <row r="66" spans="1:26" s="24" customFormat="1" hidden="1" outlineLevel="2" x14ac:dyDescent="0.25">
      <c r="A66" s="25"/>
      <c r="B66" s="11" t="str">
        <f>CONCATENATE("          ", "6118", " - ", "VACATION")</f>
        <v xml:space="preserve">          6118 - VACATION</v>
      </c>
      <c r="C66" s="11"/>
      <c r="D66" s="6">
        <v>145.84</v>
      </c>
      <c r="E66" s="2"/>
      <c r="F66" s="7">
        <f t="shared" si="16"/>
        <v>1.9439973084754765E-3</v>
      </c>
      <c r="G66" s="2"/>
      <c r="H66" s="6">
        <v>182.92</v>
      </c>
      <c r="I66" s="2"/>
      <c r="J66" s="7">
        <f t="shared" si="17"/>
        <v>5.7186053505787699E-3</v>
      </c>
      <c r="K66" s="2"/>
      <c r="L66" s="6">
        <f t="shared" si="18"/>
        <v>-37.079999999999984</v>
      </c>
      <c r="M66" s="2"/>
      <c r="N66" s="7">
        <f t="shared" si="19"/>
        <v>-0.20271156789853481</v>
      </c>
      <c r="O66" s="11"/>
      <c r="P66" s="6">
        <v>1451</v>
      </c>
      <c r="Q66" s="2"/>
      <c r="R66" s="7">
        <f t="shared" si="20"/>
        <v>4.0374663521282814E-3</v>
      </c>
      <c r="S66" s="2"/>
      <c r="T66" s="6">
        <v>2094.25</v>
      </c>
      <c r="U66" s="2"/>
      <c r="V66" s="7">
        <f t="shared" si="21"/>
        <v>7.1198863755547398E-3</v>
      </c>
      <c r="W66" s="2"/>
      <c r="X66" s="6">
        <f t="shared" si="22"/>
        <v>-643.25</v>
      </c>
      <c r="Y66" s="2"/>
      <c r="Z66" s="7">
        <f t="shared" si="23"/>
        <v>-0.30715053121642594</v>
      </c>
    </row>
    <row r="67" spans="1:26" s="24" customFormat="1" hidden="1" outlineLevel="2" x14ac:dyDescent="0.25">
      <c r="A67" s="25"/>
      <c r="B67" s="11" t="str">
        <f>CONCATENATE("          ", "6119", " - ", "SICK LEAVE")</f>
        <v xml:space="preserve">          6119 - SICK LEAVE</v>
      </c>
      <c r="C67" s="11"/>
      <c r="D67" s="6">
        <v>102.89</v>
      </c>
      <c r="E67" s="2"/>
      <c r="F67" s="7">
        <f t="shared" si="16"/>
        <v>1.3714885015705003E-3</v>
      </c>
      <c r="G67" s="2"/>
      <c r="H67" s="6">
        <v>113.04</v>
      </c>
      <c r="I67" s="2"/>
      <c r="J67" s="7">
        <f t="shared" si="17"/>
        <v>3.5339555479413092E-3</v>
      </c>
      <c r="K67" s="2"/>
      <c r="L67" s="6">
        <f t="shared" si="18"/>
        <v>-10.150000000000006</v>
      </c>
      <c r="M67" s="2"/>
      <c r="N67" s="7">
        <f t="shared" si="19"/>
        <v>-8.9791224345364518E-2</v>
      </c>
      <c r="O67" s="11"/>
      <c r="P67" s="6">
        <v>486.92</v>
      </c>
      <c r="Q67" s="2"/>
      <c r="R67" s="7">
        <f t="shared" si="20"/>
        <v>1.3548746493303259E-3</v>
      </c>
      <c r="S67" s="2"/>
      <c r="T67" s="6">
        <v>1290.68</v>
      </c>
      <c r="U67" s="2"/>
      <c r="V67" s="7">
        <f t="shared" si="21"/>
        <v>4.3879646399431742E-3</v>
      </c>
      <c r="W67" s="2"/>
      <c r="X67" s="6">
        <f t="shared" si="22"/>
        <v>-803.76</v>
      </c>
      <c r="Y67" s="2"/>
      <c r="Z67" s="7">
        <f t="shared" si="23"/>
        <v>-0.62274150060433253</v>
      </c>
    </row>
    <row r="68" spans="1:26" s="24" customFormat="1" hidden="1" outlineLevel="2" x14ac:dyDescent="0.25">
      <c r="A68" s="25"/>
      <c r="B68" s="11" t="str">
        <f>CONCATENATE("          ", "6156", " - ", "EMPLOYEE MEALS")</f>
        <v xml:space="preserve">          6156 - EMPLOYEE MEALS</v>
      </c>
      <c r="C68" s="11"/>
      <c r="D68" s="6"/>
      <c r="E68" s="2"/>
      <c r="F68" s="7">
        <f t="shared" si="16"/>
        <v>0</v>
      </c>
      <c r="G68" s="2"/>
      <c r="H68" s="6">
        <v>148.31</v>
      </c>
      <c r="I68" s="2"/>
      <c r="J68" s="7">
        <f t="shared" si="17"/>
        <v>4.6365971984711207E-3</v>
      </c>
      <c r="K68" s="2"/>
      <c r="L68" s="6">
        <f t="shared" si="18"/>
        <v>-148.31</v>
      </c>
      <c r="M68" s="2"/>
      <c r="N68" s="7">
        <f t="shared" si="19"/>
        <v>-1</v>
      </c>
      <c r="O68" s="11"/>
      <c r="P68" s="6">
        <v>489.5</v>
      </c>
      <c r="Q68" s="2"/>
      <c r="R68" s="7">
        <f t="shared" si="20"/>
        <v>1.3620536039743582E-3</v>
      </c>
      <c r="S68" s="2"/>
      <c r="T68" s="6">
        <v>1333.44</v>
      </c>
      <c r="U68" s="2"/>
      <c r="V68" s="7">
        <f t="shared" si="21"/>
        <v>4.5333371319659609E-3</v>
      </c>
      <c r="W68" s="2"/>
      <c r="X68" s="6">
        <f t="shared" si="22"/>
        <v>-843.94</v>
      </c>
      <c r="Y68" s="2"/>
      <c r="Z68" s="7">
        <f t="shared" si="23"/>
        <v>-0.632904367650588</v>
      </c>
    </row>
    <row r="69" spans="1:26" s="26" customFormat="1" outlineLevel="1" collapsed="1" x14ac:dyDescent="0.25">
      <c r="A69" s="27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12412.369999999999</v>
      </c>
      <c r="E69" s="1"/>
      <c r="F69" s="5">
        <f t="shared" ref="F69:F73" si="24">IF(D$12=0,0,D69/D$12)</f>
        <v>0.16545264585711567</v>
      </c>
      <c r="G69" s="1"/>
      <c r="H69" s="1">
        <f>SUM(OSRRefH22_1x_0)</f>
        <v>13272.050000000001</v>
      </c>
      <c r="I69" s="1"/>
      <c r="J69" s="5">
        <f t="shared" ref="J69:J73" si="25">IF(H$12=0,0,H69/H$12)</f>
        <v>0.41492245868767208</v>
      </c>
      <c r="K69" s="1"/>
      <c r="L69" s="1">
        <f t="shared" ref="L69:L73" si="26">+D69-H69</f>
        <v>-859.68000000000211</v>
      </c>
      <c r="M69" s="1"/>
      <c r="N69" s="5">
        <f t="shared" ref="N69:N73" si="27">IF(H69=0,0,L69/H69)</f>
        <v>-6.4773716193052472E-2</v>
      </c>
      <c r="O69" s="13"/>
      <c r="P69" s="1">
        <f>SUM(OSRRefP22_1x_0)</f>
        <v>78541.320000000007</v>
      </c>
      <c r="Q69" s="1"/>
      <c r="R69" s="5">
        <f t="shared" ref="R69:R73" si="28">IF(P$12=0,0,P69/P$12)</f>
        <v>0.21854440851257068</v>
      </c>
      <c r="S69" s="1"/>
      <c r="T69" s="1">
        <f>SUM(OSRRefT22_1x_0)</f>
        <v>76934.23000000001</v>
      </c>
      <c r="U69" s="1"/>
      <c r="V69" s="5">
        <f t="shared" ref="V69:V73" si="29">IF(T$12=0,0,T69/T$12)</f>
        <v>0.26155567672951885</v>
      </c>
      <c r="W69" s="1"/>
      <c r="X69" s="1">
        <f t="shared" ref="X69:X73" si="30">+P69-T69</f>
        <v>1607.0899999999965</v>
      </c>
      <c r="Y69" s="1"/>
      <c r="Z69" s="5">
        <f t="shared" ref="Z69:Z73" si="31">IF(T69=0,0,X69/T69)</f>
        <v>2.0889141283405271E-2</v>
      </c>
    </row>
    <row r="70" spans="1:26" s="24" customFormat="1" hidden="1" outlineLevel="2" x14ac:dyDescent="0.25">
      <c r="A70" s="25"/>
      <c r="B70" s="11" t="str">
        <f>CONCATENATE("          ", "6002", " - ", "STAFF SALARIES")</f>
        <v xml:space="preserve">          6002 - STAFF SALARIES</v>
      </c>
      <c r="C70" s="11"/>
      <c r="D70" s="6">
        <v>2007.69</v>
      </c>
      <c r="E70" s="2"/>
      <c r="F70" s="7">
        <f t="shared" si="24"/>
        <v>2.6761820873924366E-2</v>
      </c>
      <c r="G70" s="2"/>
      <c r="H70" s="6">
        <v>2695.92</v>
      </c>
      <c r="I70" s="2"/>
      <c r="J70" s="7">
        <f t="shared" si="25"/>
        <v>8.4282213736782852E-2</v>
      </c>
      <c r="K70" s="2"/>
      <c r="L70" s="6">
        <f t="shared" si="26"/>
        <v>-688.23</v>
      </c>
      <c r="M70" s="2"/>
      <c r="N70" s="7">
        <f t="shared" si="27"/>
        <v>-0.25528576515623608</v>
      </c>
      <c r="O70" s="11"/>
      <c r="P70" s="6">
        <v>13664.19</v>
      </c>
      <c r="Q70" s="2"/>
      <c r="R70" s="7">
        <f t="shared" si="28"/>
        <v>3.8021162890480867E-2</v>
      </c>
      <c r="S70" s="2"/>
      <c r="T70" s="6">
        <v>16545.070000000003</v>
      </c>
      <c r="U70" s="2"/>
      <c r="V70" s="7">
        <f t="shared" si="29"/>
        <v>5.6248785233663355E-2</v>
      </c>
      <c r="W70" s="2"/>
      <c r="X70" s="6">
        <f t="shared" si="30"/>
        <v>-2880.8800000000028</v>
      </c>
      <c r="Y70" s="2"/>
      <c r="Z70" s="7">
        <f t="shared" si="31"/>
        <v>-0.17412316780769149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6">
        <v>1690.01</v>
      </c>
      <c r="E71" s="2"/>
      <c r="F71" s="7">
        <f t="shared" si="24"/>
        <v>2.2527255151512892E-2</v>
      </c>
      <c r="G71" s="2"/>
      <c r="H71" s="6">
        <v>1802.85</v>
      </c>
      <c r="I71" s="2"/>
      <c r="J71" s="7">
        <f t="shared" si="25"/>
        <v>5.6362276712721059E-2</v>
      </c>
      <c r="K71" s="2"/>
      <c r="L71" s="6">
        <f t="shared" si="26"/>
        <v>-112.83999999999992</v>
      </c>
      <c r="M71" s="2"/>
      <c r="N71" s="7">
        <f t="shared" si="27"/>
        <v>-6.2589788390603723E-2</v>
      </c>
      <c r="O71" s="11"/>
      <c r="P71" s="6">
        <v>6047.03</v>
      </c>
      <c r="Q71" s="2"/>
      <c r="R71" s="7">
        <f t="shared" si="28"/>
        <v>1.6826106240737614E-2</v>
      </c>
      <c r="S71" s="2"/>
      <c r="T71" s="6">
        <v>13519.96</v>
      </c>
      <c r="U71" s="2"/>
      <c r="V71" s="7">
        <f t="shared" si="29"/>
        <v>4.5964225379990474E-2</v>
      </c>
      <c r="W71" s="2"/>
      <c r="X71" s="6">
        <f t="shared" si="30"/>
        <v>-7472.9299999999994</v>
      </c>
      <c r="Y71" s="2"/>
      <c r="Z71" s="7">
        <f t="shared" si="31"/>
        <v>-0.55273314418089992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4"/>
        <v>0</v>
      </c>
      <c r="G72" s="2"/>
      <c r="H72" s="6"/>
      <c r="I72" s="2"/>
      <c r="J72" s="7">
        <f t="shared" si="25"/>
        <v>0</v>
      </c>
      <c r="K72" s="2"/>
      <c r="L72" s="6">
        <f t="shared" si="26"/>
        <v>0</v>
      </c>
      <c r="M72" s="2"/>
      <c r="N72" s="7">
        <f t="shared" si="27"/>
        <v>0</v>
      </c>
      <c r="O72" s="11"/>
      <c r="P72" s="6"/>
      <c r="Q72" s="2"/>
      <c r="R72" s="7">
        <f t="shared" si="28"/>
        <v>0</v>
      </c>
      <c r="S72" s="2"/>
      <c r="T72" s="6">
        <v>2864.13</v>
      </c>
      <c r="U72" s="2"/>
      <c r="V72" s="7">
        <f t="shared" si="29"/>
        <v>9.7372711781389988E-3</v>
      </c>
      <c r="W72" s="2"/>
      <c r="X72" s="6">
        <f t="shared" si="30"/>
        <v>-2864.13</v>
      </c>
      <c r="Y72" s="2"/>
      <c r="Z72" s="7">
        <f t="shared" si="31"/>
        <v>-1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6">
        <v>8714.67</v>
      </c>
      <c r="E73" s="2"/>
      <c r="F73" s="7">
        <f t="shared" si="24"/>
        <v>0.11616356983167843</v>
      </c>
      <c r="G73" s="2"/>
      <c r="H73" s="6">
        <v>8773.2800000000007</v>
      </c>
      <c r="I73" s="2"/>
      <c r="J73" s="7">
        <f t="shared" si="25"/>
        <v>0.27427796823816813</v>
      </c>
      <c r="K73" s="2"/>
      <c r="L73" s="6">
        <f t="shared" si="26"/>
        <v>-58.610000000000582</v>
      </c>
      <c r="M73" s="2"/>
      <c r="N73" s="7">
        <f t="shared" si="27"/>
        <v>-6.6805117356337172E-3</v>
      </c>
      <c r="O73" s="11"/>
      <c r="P73" s="6">
        <v>58830.1</v>
      </c>
      <c r="Q73" s="2"/>
      <c r="R73" s="7">
        <f t="shared" si="28"/>
        <v>0.16369713938135216</v>
      </c>
      <c r="S73" s="2"/>
      <c r="T73" s="6">
        <v>44005.07</v>
      </c>
      <c r="U73" s="2"/>
      <c r="V73" s="7">
        <f t="shared" si="29"/>
        <v>0.14960539493772598</v>
      </c>
      <c r="W73" s="2"/>
      <c r="X73" s="6">
        <f t="shared" si="30"/>
        <v>14825.029999999999</v>
      </c>
      <c r="Y73" s="2"/>
      <c r="Z73" s="7">
        <f t="shared" si="31"/>
        <v>0.33689368065997849</v>
      </c>
    </row>
    <row r="74" spans="1:26" s="26" customFormat="1" outlineLevel="1" collapsed="1" x14ac:dyDescent="0.25">
      <c r="A74" s="27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471.1</v>
      </c>
      <c r="E74" s="1"/>
      <c r="F74" s="5">
        <f t="shared" ref="F74:F98" si="32">IF(D$12=0,0,D74/D$12)</f>
        <v>6.2796018377865954E-3</v>
      </c>
      <c r="G74" s="1"/>
      <c r="H74" s="1">
        <f>SUM(OSRRefH22_2x_0)</f>
        <v>2206.3000000000002</v>
      </c>
      <c r="I74" s="1"/>
      <c r="J74" s="5">
        <f t="shared" ref="J74:J98" si="33">IF(H$12=0,0,H74/H$12)</f>
        <v>6.8975284195177899E-2</v>
      </c>
      <c r="K74" s="1"/>
      <c r="L74" s="1">
        <f t="shared" ref="L74:L98" si="34">+D74-H74</f>
        <v>-1735.2000000000003</v>
      </c>
      <c r="M74" s="1"/>
      <c r="N74" s="5">
        <f t="shared" ref="N74:N98" si="35">IF(H74=0,0,L74/H74)</f>
        <v>-0.78647509404886018</v>
      </c>
      <c r="O74" s="13"/>
      <c r="P74" s="1">
        <f>SUM(OSRRefP22_2x_0)</f>
        <v>2816.48</v>
      </c>
      <c r="Q74" s="1"/>
      <c r="R74" s="5">
        <f t="shared" ref="R74:R98" si="36">IF(P$12=0,0,P74/P$12)</f>
        <v>7.8369698355908075E-3</v>
      </c>
      <c r="S74" s="1"/>
      <c r="T74" s="1">
        <f>SUM(OSRRefT22_2x_0)</f>
        <v>5096</v>
      </c>
      <c r="U74" s="1"/>
      <c r="V74" s="5">
        <f t="shared" ref="V74:V98" si="37">IF(T$12=0,0,T74/T$12)</f>
        <v>1.7325028516092612E-2</v>
      </c>
      <c r="W74" s="1"/>
      <c r="X74" s="1">
        <f t="shared" ref="X74:X98" si="38">+P74-T74</f>
        <v>-2279.52</v>
      </c>
      <c r="Y74" s="1"/>
      <c r="Z74" s="5">
        <f t="shared" ref="Z74:Z98" si="39">IF(T74=0,0,X74/T74)</f>
        <v>-0.44731554160125586</v>
      </c>
    </row>
    <row r="75" spans="1:26" s="24" customFormat="1" hidden="1" outlineLevel="2" x14ac:dyDescent="0.25">
      <c r="A75" s="25"/>
      <c r="B75" s="11" t="str">
        <f>CONCATENATE("          ", "6362", " - ", "ADVERTISING EXPENSE")</f>
        <v xml:space="preserve">          6362 - ADVERTISING EXPENSE</v>
      </c>
      <c r="C75" s="11"/>
      <c r="D75" s="6">
        <v>471.1</v>
      </c>
      <c r="E75" s="2"/>
      <c r="F75" s="7">
        <f t="shared" si="32"/>
        <v>6.2796018377865954E-3</v>
      </c>
      <c r="G75" s="2"/>
      <c r="H75" s="6">
        <v>2206.3000000000002</v>
      </c>
      <c r="I75" s="2"/>
      <c r="J75" s="7">
        <f t="shared" si="33"/>
        <v>6.8975284195177899E-2</v>
      </c>
      <c r="K75" s="2"/>
      <c r="L75" s="6">
        <f t="shared" si="34"/>
        <v>-1735.2000000000003</v>
      </c>
      <c r="M75" s="2"/>
      <c r="N75" s="7">
        <f t="shared" si="35"/>
        <v>-0.78647509404886018</v>
      </c>
      <c r="O75" s="11"/>
      <c r="P75" s="6">
        <v>2816.48</v>
      </c>
      <c r="Q75" s="2"/>
      <c r="R75" s="7">
        <f t="shared" si="36"/>
        <v>7.8369698355908075E-3</v>
      </c>
      <c r="S75" s="2"/>
      <c r="T75" s="6">
        <v>5096</v>
      </c>
      <c r="U75" s="2"/>
      <c r="V75" s="7">
        <f t="shared" si="37"/>
        <v>1.7325028516092612E-2</v>
      </c>
      <c r="W75" s="2"/>
      <c r="X75" s="6">
        <f t="shared" si="38"/>
        <v>-2279.52</v>
      </c>
      <c r="Y75" s="2"/>
      <c r="Z75" s="7">
        <f t="shared" si="39"/>
        <v>-0.44731554160125586</v>
      </c>
    </row>
    <row r="76" spans="1:26" s="26" customFormat="1" outlineLevel="1" collapsed="1" x14ac:dyDescent="0.25">
      <c r="A76" s="27"/>
      <c r="B76" s="13" t="str">
        <f>CONCATENATE("     ","Bad Debts/Over/Short                              ")</f>
        <v xml:space="preserve">     Bad Debts/Over/Short                              </v>
      </c>
      <c r="C76" s="13"/>
      <c r="D76" s="1">
        <f>SUM(OSRRefD22_3x_0)</f>
        <v>-0.13</v>
      </c>
      <c r="E76" s="1"/>
      <c r="F76" s="5">
        <f t="shared" si="32"/>
        <v>-1.7328555273026054E-6</v>
      </c>
      <c r="G76" s="1"/>
      <c r="H76" s="1">
        <f>SUM(OSRRefH22_3x_0)</f>
        <v>-2.58</v>
      </c>
      <c r="I76" s="1"/>
      <c r="J76" s="5">
        <f t="shared" si="33"/>
        <v>-8.065822110481756E-5</v>
      </c>
      <c r="K76" s="1"/>
      <c r="L76" s="1">
        <f t="shared" si="34"/>
        <v>2.4500000000000002</v>
      </c>
      <c r="M76" s="1"/>
      <c r="N76" s="5">
        <f t="shared" si="35"/>
        <v>-0.94961240310077522</v>
      </c>
      <c r="O76" s="13"/>
      <c r="P76" s="1">
        <f>SUM(OSRRefP22_3x_0)</f>
        <v>45.81</v>
      </c>
      <c r="Q76" s="1"/>
      <c r="R76" s="5">
        <f t="shared" si="36"/>
        <v>1.2746818303997008E-4</v>
      </c>
      <c r="S76" s="1"/>
      <c r="T76" s="1">
        <f>SUM(OSRRefT22_3x_0)</f>
        <v>95.41</v>
      </c>
      <c r="U76" s="1"/>
      <c r="V76" s="5">
        <f t="shared" si="37"/>
        <v>3.2436832235486579E-4</v>
      </c>
      <c r="W76" s="1"/>
      <c r="X76" s="1">
        <f t="shared" si="38"/>
        <v>-49.599999999999994</v>
      </c>
      <c r="Y76" s="1"/>
      <c r="Z76" s="5">
        <f t="shared" si="39"/>
        <v>-0.51986164972225124</v>
      </c>
    </row>
    <row r="77" spans="1:26" s="24" customFormat="1" hidden="1" outlineLevel="2" x14ac:dyDescent="0.25">
      <c r="A77" s="25"/>
      <c r="B77" s="11" t="str">
        <f>CONCATENATE("          ", "6272", " - ", "CASH (OVER/SHORT)")</f>
        <v xml:space="preserve">          6272 - CASH (OVER/SHORT)</v>
      </c>
      <c r="C77" s="11"/>
      <c r="D77" s="6">
        <v>-0.13</v>
      </c>
      <c r="E77" s="2"/>
      <c r="F77" s="7">
        <f t="shared" si="32"/>
        <v>-1.7328555273026054E-6</v>
      </c>
      <c r="G77" s="2"/>
      <c r="H77" s="6">
        <v>-2.58</v>
      </c>
      <c r="I77" s="2"/>
      <c r="J77" s="7">
        <f t="shared" si="33"/>
        <v>-8.065822110481756E-5</v>
      </c>
      <c r="K77" s="2"/>
      <c r="L77" s="6">
        <f t="shared" si="34"/>
        <v>2.4500000000000002</v>
      </c>
      <c r="M77" s="2"/>
      <c r="N77" s="7">
        <f t="shared" si="35"/>
        <v>-0.94961240310077522</v>
      </c>
      <c r="O77" s="11"/>
      <c r="P77" s="6">
        <v>45.81</v>
      </c>
      <c r="Q77" s="2"/>
      <c r="R77" s="7">
        <f t="shared" si="36"/>
        <v>1.2746818303997008E-4</v>
      </c>
      <c r="S77" s="2"/>
      <c r="T77" s="6">
        <v>95.41</v>
      </c>
      <c r="U77" s="2"/>
      <c r="V77" s="7">
        <f t="shared" si="37"/>
        <v>3.2436832235486579E-4</v>
      </c>
      <c r="W77" s="2"/>
      <c r="X77" s="6">
        <f t="shared" si="38"/>
        <v>-49.599999999999994</v>
      </c>
      <c r="Y77" s="2"/>
      <c r="Z77" s="7">
        <f t="shared" si="39"/>
        <v>-0.51986164972225124</v>
      </c>
    </row>
    <row r="78" spans="1:26" s="26" customFormat="1" outlineLevel="1" collapsed="1" x14ac:dyDescent="0.25">
      <c r="A78" s="27"/>
      <c r="B78" s="13" t="str">
        <f>CONCATENATE("     ","Bank/card Fees                                    ")</f>
        <v xml:space="preserve">     Bank/card Fees                                    </v>
      </c>
      <c r="C78" s="13"/>
      <c r="D78" s="1">
        <f>SUM(OSRRefD22_4x_0)</f>
        <v>489.58</v>
      </c>
      <c r="E78" s="1"/>
      <c r="F78" s="5">
        <f t="shared" si="32"/>
        <v>6.5259339158216115E-3</v>
      </c>
      <c r="G78" s="1"/>
      <c r="H78" s="1">
        <f>SUM(OSRRefH22_4x_0)</f>
        <v>401.18</v>
      </c>
      <c r="I78" s="1"/>
      <c r="J78" s="5">
        <f t="shared" si="33"/>
        <v>1.2542040753035158E-2</v>
      </c>
      <c r="K78" s="1"/>
      <c r="L78" s="1">
        <f t="shared" si="34"/>
        <v>88.399999999999977</v>
      </c>
      <c r="M78" s="1"/>
      <c r="N78" s="5">
        <f t="shared" si="35"/>
        <v>0.22034996759559294</v>
      </c>
      <c r="O78" s="13"/>
      <c r="P78" s="1">
        <f>SUM(OSRRefP22_4x_0)</f>
        <v>5174.05</v>
      </c>
      <c r="Q78" s="1"/>
      <c r="R78" s="5">
        <f t="shared" si="36"/>
        <v>1.4397003982928556E-2</v>
      </c>
      <c r="S78" s="1"/>
      <c r="T78" s="1">
        <f>SUM(OSRRefT22_4x_0)</f>
        <v>4533.7299999999996</v>
      </c>
      <c r="U78" s="1"/>
      <c r="V78" s="5">
        <f t="shared" si="37"/>
        <v>1.5413461839533861E-2</v>
      </c>
      <c r="W78" s="1"/>
      <c r="X78" s="1">
        <f t="shared" si="38"/>
        <v>640.32000000000062</v>
      </c>
      <c r="Y78" s="1"/>
      <c r="Z78" s="5">
        <f t="shared" si="39"/>
        <v>0.14123470078721068</v>
      </c>
    </row>
    <row r="79" spans="1:26" s="24" customFormat="1" hidden="1" outlineLevel="2" x14ac:dyDescent="0.25">
      <c r="A79" s="25"/>
      <c r="B79" s="11" t="str">
        <f>CONCATENATE("          ", "6381", " - ", "BANK/CREDIT CARD FEES")</f>
        <v xml:space="preserve">          6381 - BANK/CREDIT CARD FEES</v>
      </c>
      <c r="C79" s="11"/>
      <c r="D79" s="6">
        <v>489.58</v>
      </c>
      <c r="E79" s="2"/>
      <c r="F79" s="7">
        <f t="shared" si="32"/>
        <v>6.5259339158216115E-3</v>
      </c>
      <c r="G79" s="2"/>
      <c r="H79" s="6">
        <v>401.18</v>
      </c>
      <c r="I79" s="2"/>
      <c r="J79" s="7">
        <f t="shared" si="33"/>
        <v>1.2542040753035158E-2</v>
      </c>
      <c r="K79" s="2"/>
      <c r="L79" s="6">
        <f t="shared" si="34"/>
        <v>88.399999999999977</v>
      </c>
      <c r="M79" s="2"/>
      <c r="N79" s="7">
        <f t="shared" si="35"/>
        <v>0.22034996759559294</v>
      </c>
      <c r="O79" s="11"/>
      <c r="P79" s="6">
        <v>5174.05</v>
      </c>
      <c r="Q79" s="2"/>
      <c r="R79" s="7">
        <f t="shared" si="36"/>
        <v>1.4397003982928556E-2</v>
      </c>
      <c r="S79" s="2"/>
      <c r="T79" s="6">
        <v>4533.7299999999996</v>
      </c>
      <c r="U79" s="2"/>
      <c r="V79" s="7">
        <f t="shared" si="37"/>
        <v>1.5413461839533861E-2</v>
      </c>
      <c r="W79" s="2"/>
      <c r="X79" s="6">
        <f t="shared" si="38"/>
        <v>640.32000000000062</v>
      </c>
      <c r="Y79" s="2"/>
      <c r="Z79" s="7">
        <f t="shared" si="39"/>
        <v>0.14123470078721068</v>
      </c>
    </row>
    <row r="80" spans="1:26" s="26" customFormat="1" outlineLevel="1" collapsed="1" x14ac:dyDescent="0.25">
      <c r="A80" s="27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SUM(OSRRefD22_5x_0)</f>
        <v>10777.77</v>
      </c>
      <c r="E80" s="1"/>
      <c r="F80" s="5">
        <f t="shared" si="32"/>
        <v>0.14366398704997077</v>
      </c>
      <c r="G80" s="1"/>
      <c r="H80" s="1">
        <f>SUM(OSRRefH22_5x_0)</f>
        <v>4894.63</v>
      </c>
      <c r="I80" s="1"/>
      <c r="J80" s="5">
        <f t="shared" si="33"/>
        <v>0.15302021270010588</v>
      </c>
      <c r="K80" s="1"/>
      <c r="L80" s="1">
        <f t="shared" si="34"/>
        <v>5883.14</v>
      </c>
      <c r="M80" s="1"/>
      <c r="N80" s="5">
        <f t="shared" si="35"/>
        <v>1.2019580642459184</v>
      </c>
      <c r="O80" s="13"/>
      <c r="P80" s="1">
        <f>SUM(OSRRefP22_5x_0)</f>
        <v>59207.13</v>
      </c>
      <c r="Q80" s="1"/>
      <c r="R80" s="5">
        <f t="shared" si="36"/>
        <v>0.16474624064857679</v>
      </c>
      <c r="S80" s="1"/>
      <c r="T80" s="1">
        <f>SUM(OSRRefT22_5x_0)</f>
        <v>34230.29</v>
      </c>
      <c r="U80" s="1"/>
      <c r="V80" s="5">
        <f t="shared" si="37"/>
        <v>0.11637377361933278</v>
      </c>
      <c r="W80" s="1"/>
      <c r="X80" s="1">
        <f t="shared" si="38"/>
        <v>24976.839999999997</v>
      </c>
      <c r="Y80" s="1"/>
      <c r="Z80" s="5">
        <f t="shared" si="39"/>
        <v>0.72967070977195914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6">
        <v>10777.77</v>
      </c>
      <c r="E81" s="2"/>
      <c r="F81" s="7">
        <f t="shared" si="32"/>
        <v>0.14366398704997077</v>
      </c>
      <c r="G81" s="2"/>
      <c r="H81" s="6">
        <v>4894.63</v>
      </c>
      <c r="I81" s="2"/>
      <c r="J81" s="7">
        <f t="shared" si="33"/>
        <v>0.15302021270010588</v>
      </c>
      <c r="K81" s="2"/>
      <c r="L81" s="6">
        <f t="shared" si="34"/>
        <v>5883.14</v>
      </c>
      <c r="M81" s="2"/>
      <c r="N81" s="7">
        <f t="shared" si="35"/>
        <v>1.2019580642459184</v>
      </c>
      <c r="O81" s="11"/>
      <c r="P81" s="6">
        <v>59207.13</v>
      </c>
      <c r="Q81" s="2"/>
      <c r="R81" s="7">
        <f t="shared" si="36"/>
        <v>0.16474624064857679</v>
      </c>
      <c r="S81" s="2"/>
      <c r="T81" s="6">
        <v>34230.29</v>
      </c>
      <c r="U81" s="2"/>
      <c r="V81" s="7">
        <f t="shared" si="37"/>
        <v>0.11637377361933278</v>
      </c>
      <c r="W81" s="2"/>
      <c r="X81" s="6">
        <f t="shared" si="38"/>
        <v>24976.839999999997</v>
      </c>
      <c r="Y81" s="2"/>
      <c r="Z81" s="7">
        <f t="shared" si="39"/>
        <v>0.72967070977195914</v>
      </c>
    </row>
    <row r="82" spans="1:26" s="26" customFormat="1" outlineLevel="1" collapsed="1" x14ac:dyDescent="0.25">
      <c r="A82" s="27"/>
      <c r="B82" s="13" t="str">
        <f>CONCATENATE("     ","Donations                                         ")</f>
        <v xml:space="preserve">     Donations                                         </v>
      </c>
      <c r="C82" s="13"/>
      <c r="D82" s="1">
        <f>SUM(OSRRefD22_6x_0)</f>
        <v>0</v>
      </c>
      <c r="E82" s="1"/>
      <c r="F82" s="5">
        <f t="shared" si="32"/>
        <v>0</v>
      </c>
      <c r="G82" s="1"/>
      <c r="H82" s="1">
        <f>SUM(OSRRefH22_6x_0)</f>
        <v>0</v>
      </c>
      <c r="I82" s="1"/>
      <c r="J82" s="5">
        <f t="shared" si="33"/>
        <v>0</v>
      </c>
      <c r="K82" s="1"/>
      <c r="L82" s="1">
        <f t="shared" si="34"/>
        <v>0</v>
      </c>
      <c r="M82" s="1"/>
      <c r="N82" s="5">
        <f t="shared" si="35"/>
        <v>0</v>
      </c>
      <c r="O82" s="13"/>
      <c r="P82" s="1">
        <f>SUM(OSRRefP22_6x_0)</f>
        <v>0</v>
      </c>
      <c r="Q82" s="1"/>
      <c r="R82" s="5">
        <f t="shared" si="36"/>
        <v>0</v>
      </c>
      <c r="S82" s="1"/>
      <c r="T82" s="1">
        <f>SUM(OSRRefT22_6x_0)</f>
        <v>124.88</v>
      </c>
      <c r="U82" s="1"/>
      <c r="V82" s="5">
        <f t="shared" si="37"/>
        <v>4.2455839110864315E-4</v>
      </c>
      <c r="W82" s="1"/>
      <c r="X82" s="1">
        <f t="shared" si="38"/>
        <v>-124.88</v>
      </c>
      <c r="Y82" s="1"/>
      <c r="Z82" s="5">
        <f t="shared" si="39"/>
        <v>-1</v>
      </c>
    </row>
    <row r="83" spans="1:26" s="24" customFormat="1" hidden="1" outlineLevel="2" x14ac:dyDescent="0.25">
      <c r="A83" s="25"/>
      <c r="B83" s="11" t="str">
        <f>CONCATENATE("          ", "6399", " - ", "DONATION-ON CAMPUS")</f>
        <v xml:space="preserve">          6399 - DONATION-ON CAMPUS</v>
      </c>
      <c r="C83" s="11"/>
      <c r="D83" s="6"/>
      <c r="E83" s="2"/>
      <c r="F83" s="7">
        <f t="shared" si="32"/>
        <v>0</v>
      </c>
      <c r="G83" s="2"/>
      <c r="H83" s="6"/>
      <c r="I83" s="2"/>
      <c r="J83" s="7">
        <f t="shared" si="33"/>
        <v>0</v>
      </c>
      <c r="K83" s="2"/>
      <c r="L83" s="6">
        <f t="shared" si="34"/>
        <v>0</v>
      </c>
      <c r="M83" s="2"/>
      <c r="N83" s="7">
        <f t="shared" si="35"/>
        <v>0</v>
      </c>
      <c r="O83" s="11"/>
      <c r="P83" s="6"/>
      <c r="Q83" s="2"/>
      <c r="R83" s="7">
        <f t="shared" si="36"/>
        <v>0</v>
      </c>
      <c r="S83" s="2"/>
      <c r="T83" s="6">
        <v>124.88</v>
      </c>
      <c r="U83" s="2"/>
      <c r="V83" s="7">
        <f t="shared" si="37"/>
        <v>4.2455839110864315E-4</v>
      </c>
      <c r="W83" s="2"/>
      <c r="X83" s="6">
        <f t="shared" si="38"/>
        <v>-124.88</v>
      </c>
      <c r="Y83" s="2"/>
      <c r="Z83" s="7">
        <f t="shared" si="39"/>
        <v>-1</v>
      </c>
    </row>
    <row r="84" spans="1:26" s="26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SUM(OSRRefD22_7x_0)</f>
        <v>0</v>
      </c>
      <c r="E84" s="1"/>
      <c r="F84" s="5">
        <f t="shared" si="32"/>
        <v>0</v>
      </c>
      <c r="G84" s="1"/>
      <c r="H84" s="1">
        <f>SUM(OSRRefH22_7x_0)</f>
        <v>0</v>
      </c>
      <c r="I84" s="1"/>
      <c r="J84" s="5">
        <f t="shared" si="33"/>
        <v>0</v>
      </c>
      <c r="K84" s="1"/>
      <c r="L84" s="1">
        <f t="shared" si="34"/>
        <v>0</v>
      </c>
      <c r="M84" s="1"/>
      <c r="N84" s="5">
        <f t="shared" si="35"/>
        <v>0</v>
      </c>
      <c r="O84" s="13"/>
      <c r="P84" s="1">
        <f>SUM(OSRRefP22_7x_0)</f>
        <v>120.93</v>
      </c>
      <c r="Q84" s="1"/>
      <c r="R84" s="5">
        <f t="shared" si="36"/>
        <v>3.3649262988481952E-4</v>
      </c>
      <c r="S84" s="1"/>
      <c r="T84" s="1">
        <f>SUM(OSRRefT22_7x_0)</f>
        <v>75.53</v>
      </c>
      <c r="U84" s="1"/>
      <c r="V84" s="5">
        <f t="shared" si="37"/>
        <v>2.5678167264922981E-4</v>
      </c>
      <c r="W84" s="1"/>
      <c r="X84" s="1">
        <f t="shared" si="38"/>
        <v>45.400000000000006</v>
      </c>
      <c r="Y84" s="1"/>
      <c r="Z84" s="5">
        <f t="shared" si="39"/>
        <v>0.60108566132662522</v>
      </c>
    </row>
    <row r="85" spans="1:26" s="24" customFormat="1" hidden="1" outlineLevel="2" x14ac:dyDescent="0.25">
      <c r="A85" s="25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2"/>
        <v>0</v>
      </c>
      <c r="G85" s="2"/>
      <c r="H85" s="6"/>
      <c r="I85" s="2"/>
      <c r="J85" s="7">
        <f t="shared" si="33"/>
        <v>0</v>
      </c>
      <c r="K85" s="2"/>
      <c r="L85" s="6">
        <f t="shared" si="34"/>
        <v>0</v>
      </c>
      <c r="M85" s="2"/>
      <c r="N85" s="7">
        <f t="shared" si="35"/>
        <v>0</v>
      </c>
      <c r="O85" s="11"/>
      <c r="P85" s="6">
        <v>120.93</v>
      </c>
      <c r="Q85" s="2"/>
      <c r="R85" s="7">
        <f t="shared" si="36"/>
        <v>3.3649262988481952E-4</v>
      </c>
      <c r="S85" s="2"/>
      <c r="T85" s="6">
        <v>75.53</v>
      </c>
      <c r="U85" s="2"/>
      <c r="V85" s="7">
        <f t="shared" si="37"/>
        <v>2.5678167264922981E-4</v>
      </c>
      <c r="W85" s="2"/>
      <c r="X85" s="6">
        <f t="shared" si="38"/>
        <v>45.400000000000006</v>
      </c>
      <c r="Y85" s="2"/>
      <c r="Z85" s="7">
        <f t="shared" si="39"/>
        <v>0.60108566132662522</v>
      </c>
    </row>
    <row r="86" spans="1:26" s="26" customFormat="1" outlineLevel="1" collapsed="1" x14ac:dyDescent="0.25">
      <c r="A86" s="27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0</v>
      </c>
      <c r="E86" s="1"/>
      <c r="F86" s="5">
        <f t="shared" si="32"/>
        <v>0</v>
      </c>
      <c r="G86" s="1"/>
      <c r="H86" s="1">
        <f>SUM(OSRRefH22_8x_0)</f>
        <v>0</v>
      </c>
      <c r="I86" s="1"/>
      <c r="J86" s="5">
        <f t="shared" si="33"/>
        <v>0</v>
      </c>
      <c r="K86" s="1"/>
      <c r="L86" s="1">
        <f t="shared" si="34"/>
        <v>0</v>
      </c>
      <c r="M86" s="1"/>
      <c r="N86" s="5">
        <f t="shared" si="35"/>
        <v>0</v>
      </c>
      <c r="O86" s="13"/>
      <c r="P86" s="1">
        <f>SUM(OSRRefP22_8x_0)</f>
        <v>1271.44</v>
      </c>
      <c r="Q86" s="1"/>
      <c r="R86" s="5">
        <f t="shared" si="36"/>
        <v>3.5378333692281062E-3</v>
      </c>
      <c r="S86" s="1"/>
      <c r="T86" s="1">
        <f>SUM(OSRRefT22_8x_0)</f>
        <v>1373.66</v>
      </c>
      <c r="U86" s="1"/>
      <c r="V86" s="5">
        <f t="shared" si="37"/>
        <v>4.6700743075776645E-3</v>
      </c>
      <c r="W86" s="1"/>
      <c r="X86" s="1">
        <f t="shared" si="38"/>
        <v>-102.22000000000003</v>
      </c>
      <c r="Y86" s="1"/>
      <c r="Z86" s="5">
        <f t="shared" si="39"/>
        <v>-7.4414338336997524E-2</v>
      </c>
    </row>
    <row r="87" spans="1:26" s="24" customFormat="1" hidden="1" outlineLevel="2" x14ac:dyDescent="0.25">
      <c r="A87" s="25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2"/>
        <v>0</v>
      </c>
      <c r="G87" s="2"/>
      <c r="H87" s="6"/>
      <c r="I87" s="2"/>
      <c r="J87" s="7">
        <f t="shared" si="33"/>
        <v>0</v>
      </c>
      <c r="K87" s="2"/>
      <c r="L87" s="6">
        <f t="shared" si="34"/>
        <v>0</v>
      </c>
      <c r="M87" s="2"/>
      <c r="N87" s="7">
        <f t="shared" si="35"/>
        <v>0</v>
      </c>
      <c r="O87" s="11"/>
      <c r="P87" s="6">
        <v>1271.44</v>
      </c>
      <c r="Q87" s="2"/>
      <c r="R87" s="7">
        <f t="shared" si="36"/>
        <v>3.5378333692281062E-3</v>
      </c>
      <c r="S87" s="2"/>
      <c r="T87" s="6">
        <v>1373.66</v>
      </c>
      <c r="U87" s="2"/>
      <c r="V87" s="7">
        <f t="shared" si="37"/>
        <v>4.6700743075776645E-3</v>
      </c>
      <c r="W87" s="2"/>
      <c r="X87" s="6">
        <f t="shared" si="38"/>
        <v>-102.22000000000003</v>
      </c>
      <c r="Y87" s="2"/>
      <c r="Z87" s="7">
        <f t="shared" si="39"/>
        <v>-7.4414338336997524E-2</v>
      </c>
    </row>
    <row r="88" spans="1:26" s="26" customFormat="1" outlineLevel="1" collapsed="1" x14ac:dyDescent="0.25">
      <c r="A88" s="27"/>
      <c r="B88" s="13" t="str">
        <f>CONCATENATE("     ","Insurance                                         ")</f>
        <v xml:space="preserve">     Insurance                                         </v>
      </c>
      <c r="C88" s="13"/>
      <c r="D88" s="1">
        <f>SUM(OSRRefD22_9x_0)</f>
        <v>161.18</v>
      </c>
      <c r="E88" s="1"/>
      <c r="F88" s="5">
        <f t="shared" si="32"/>
        <v>2.1484742606971839E-3</v>
      </c>
      <c r="G88" s="1"/>
      <c r="H88" s="1">
        <f>SUM(OSRRefH22_9x_0)</f>
        <v>151.85</v>
      </c>
      <c r="I88" s="1"/>
      <c r="J88" s="5">
        <f t="shared" si="33"/>
        <v>4.7472677809172661E-3</v>
      </c>
      <c r="K88" s="1"/>
      <c r="L88" s="1">
        <f t="shared" si="34"/>
        <v>9.3300000000000125</v>
      </c>
      <c r="M88" s="1"/>
      <c r="N88" s="5">
        <f t="shared" si="35"/>
        <v>6.1442212709911181E-2</v>
      </c>
      <c r="O88" s="13"/>
      <c r="P88" s="1">
        <f>SUM(OSRRefP22_9x_0)</f>
        <v>1128.26</v>
      </c>
      <c r="Q88" s="1"/>
      <c r="R88" s="5">
        <f t="shared" si="36"/>
        <v>3.1394292118899067E-3</v>
      </c>
      <c r="S88" s="1"/>
      <c r="T88" s="1">
        <f>SUM(OSRRefT22_9x_0)</f>
        <v>1062.95</v>
      </c>
      <c r="U88" s="1"/>
      <c r="V88" s="5">
        <f t="shared" si="37"/>
        <v>3.6137439288031091E-3</v>
      </c>
      <c r="W88" s="1"/>
      <c r="X88" s="1">
        <f t="shared" si="38"/>
        <v>65.309999999999945</v>
      </c>
      <c r="Y88" s="1"/>
      <c r="Z88" s="5">
        <f t="shared" si="39"/>
        <v>6.1442212709911043E-2</v>
      </c>
    </row>
    <row r="89" spans="1:26" s="24" customFormat="1" hidden="1" outlineLevel="2" x14ac:dyDescent="0.25">
      <c r="A89" s="25"/>
      <c r="B89" s="11" t="str">
        <f>CONCATENATE("          ", "6314", " - ", "LIABILITY INSURANCE")</f>
        <v xml:space="preserve">          6314 - LIABILITY INSURANCE</v>
      </c>
      <c r="C89" s="11"/>
      <c r="D89" s="6">
        <v>161.18</v>
      </c>
      <c r="E89" s="2"/>
      <c r="F89" s="7">
        <f t="shared" si="32"/>
        <v>2.1484742606971839E-3</v>
      </c>
      <c r="G89" s="2"/>
      <c r="H89" s="6">
        <v>151.85</v>
      </c>
      <c r="I89" s="2"/>
      <c r="J89" s="7">
        <f t="shared" si="33"/>
        <v>4.7472677809172661E-3</v>
      </c>
      <c r="K89" s="2"/>
      <c r="L89" s="6">
        <f t="shared" si="34"/>
        <v>9.3300000000000125</v>
      </c>
      <c r="M89" s="2"/>
      <c r="N89" s="7">
        <f t="shared" si="35"/>
        <v>6.1442212709911181E-2</v>
      </c>
      <c r="O89" s="11"/>
      <c r="P89" s="6">
        <v>1128.26</v>
      </c>
      <c r="Q89" s="2"/>
      <c r="R89" s="7">
        <f t="shared" si="36"/>
        <v>3.1394292118899067E-3</v>
      </c>
      <c r="S89" s="2"/>
      <c r="T89" s="6">
        <v>1062.95</v>
      </c>
      <c r="U89" s="2"/>
      <c r="V89" s="7">
        <f t="shared" si="37"/>
        <v>3.6137439288031091E-3</v>
      </c>
      <c r="W89" s="2"/>
      <c r="X89" s="6">
        <f t="shared" si="38"/>
        <v>65.309999999999945</v>
      </c>
      <c r="Y89" s="2"/>
      <c r="Z89" s="7">
        <f t="shared" si="39"/>
        <v>6.1442212709911043E-2</v>
      </c>
    </row>
    <row r="90" spans="1:26" s="26" customFormat="1" outlineLevel="1" collapsed="1" x14ac:dyDescent="0.25">
      <c r="A90" s="27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SUM(OSRRefD22_10x_0)</f>
        <v>300</v>
      </c>
      <c r="E90" s="1"/>
      <c r="F90" s="5">
        <f t="shared" si="32"/>
        <v>3.9988973706983197E-3</v>
      </c>
      <c r="G90" s="1"/>
      <c r="H90" s="1">
        <f>SUM(OSRRefH22_10x_0)</f>
        <v>300</v>
      </c>
      <c r="I90" s="1"/>
      <c r="J90" s="5">
        <f t="shared" si="33"/>
        <v>9.3788629191648328E-3</v>
      </c>
      <c r="K90" s="1"/>
      <c r="L90" s="1">
        <f t="shared" si="34"/>
        <v>0</v>
      </c>
      <c r="M90" s="1"/>
      <c r="N90" s="5">
        <f t="shared" si="35"/>
        <v>0</v>
      </c>
      <c r="O90" s="13"/>
      <c r="P90" s="1">
        <f>SUM(OSRRefP22_10x_0)</f>
        <v>2100</v>
      </c>
      <c r="Q90" s="1"/>
      <c r="R90" s="5">
        <f t="shared" si="36"/>
        <v>5.843335175375183E-3</v>
      </c>
      <c r="S90" s="1"/>
      <c r="T90" s="1">
        <f>SUM(OSRRefT22_10x_0)</f>
        <v>2100</v>
      </c>
      <c r="U90" s="1"/>
      <c r="V90" s="5">
        <f t="shared" si="37"/>
        <v>7.1394348280601431E-3</v>
      </c>
      <c r="W90" s="1"/>
      <c r="X90" s="1">
        <f t="shared" si="38"/>
        <v>0</v>
      </c>
      <c r="Y90" s="1"/>
      <c r="Z90" s="5">
        <f t="shared" si="39"/>
        <v>0</v>
      </c>
    </row>
    <row r="91" spans="1:26" s="24" customFormat="1" hidden="1" outlineLevel="2" x14ac:dyDescent="0.25">
      <c r="A91" s="25"/>
      <c r="B91" s="11" t="str">
        <f>CONCATENATE("          ", "6408", " - ", "INVENTORY ADJUSTMENT")</f>
        <v xml:space="preserve">          6408 - INVENTORY ADJUSTMENT</v>
      </c>
      <c r="C91" s="11"/>
      <c r="D91" s="6">
        <v>300</v>
      </c>
      <c r="E91" s="2"/>
      <c r="F91" s="7">
        <f t="shared" si="32"/>
        <v>3.9988973706983197E-3</v>
      </c>
      <c r="G91" s="2"/>
      <c r="H91" s="6">
        <v>300</v>
      </c>
      <c r="I91" s="2"/>
      <c r="J91" s="7">
        <f t="shared" si="33"/>
        <v>9.3788629191648328E-3</v>
      </c>
      <c r="K91" s="2"/>
      <c r="L91" s="6">
        <f t="shared" si="34"/>
        <v>0</v>
      </c>
      <c r="M91" s="2"/>
      <c r="N91" s="7">
        <f t="shared" si="35"/>
        <v>0</v>
      </c>
      <c r="O91" s="11"/>
      <c r="P91" s="6">
        <v>2100</v>
      </c>
      <c r="Q91" s="2"/>
      <c r="R91" s="7">
        <f t="shared" si="36"/>
        <v>5.843335175375183E-3</v>
      </c>
      <c r="S91" s="2"/>
      <c r="T91" s="6">
        <v>2100</v>
      </c>
      <c r="U91" s="2"/>
      <c r="V91" s="7">
        <f t="shared" si="37"/>
        <v>7.1394348280601431E-3</v>
      </c>
      <c r="W91" s="2"/>
      <c r="X91" s="6">
        <f t="shared" si="38"/>
        <v>0</v>
      </c>
      <c r="Y91" s="2"/>
      <c r="Z91" s="7">
        <f t="shared" si="39"/>
        <v>0</v>
      </c>
    </row>
    <row r="92" spans="1:26" s="26" customFormat="1" outlineLevel="1" collapsed="1" x14ac:dyDescent="0.25">
      <c r="A92" s="27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SUM(OSRRefD22_11x_0)</f>
        <v>0</v>
      </c>
      <c r="E92" s="1"/>
      <c r="F92" s="5">
        <f t="shared" si="32"/>
        <v>0</v>
      </c>
      <c r="G92" s="1"/>
      <c r="H92" s="1">
        <f>SUM(OSRRefH22_11x_0)</f>
        <v>0</v>
      </c>
      <c r="I92" s="1"/>
      <c r="J92" s="5">
        <f t="shared" si="33"/>
        <v>0</v>
      </c>
      <c r="K92" s="1"/>
      <c r="L92" s="1">
        <f t="shared" si="34"/>
        <v>0</v>
      </c>
      <c r="M92" s="1"/>
      <c r="N92" s="5">
        <f t="shared" si="35"/>
        <v>0</v>
      </c>
      <c r="O92" s="13"/>
      <c r="P92" s="1">
        <f>SUM(OSRRefP22_11x_0)</f>
        <v>750</v>
      </c>
      <c r="Q92" s="1"/>
      <c r="R92" s="5">
        <f t="shared" si="36"/>
        <v>2.0869054197768513E-3</v>
      </c>
      <c r="S92" s="1"/>
      <c r="T92" s="1">
        <f>SUM(OSRRefT22_11x_0)</f>
        <v>750</v>
      </c>
      <c r="U92" s="1"/>
      <c r="V92" s="5">
        <f t="shared" si="37"/>
        <v>2.5497981528786223E-3</v>
      </c>
      <c r="W92" s="1"/>
      <c r="X92" s="1">
        <f t="shared" si="38"/>
        <v>0</v>
      </c>
      <c r="Y92" s="1"/>
      <c r="Z92" s="5">
        <f t="shared" si="39"/>
        <v>0</v>
      </c>
    </row>
    <row r="93" spans="1:26" s="24" customFormat="1" hidden="1" outlineLevel="2" x14ac:dyDescent="0.25">
      <c r="A93" s="25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32"/>
        <v>0</v>
      </c>
      <c r="G93" s="2"/>
      <c r="H93" s="6"/>
      <c r="I93" s="2"/>
      <c r="J93" s="7">
        <f t="shared" si="33"/>
        <v>0</v>
      </c>
      <c r="K93" s="2"/>
      <c r="L93" s="6">
        <f t="shared" si="34"/>
        <v>0</v>
      </c>
      <c r="M93" s="2"/>
      <c r="N93" s="7">
        <f t="shared" si="35"/>
        <v>0</v>
      </c>
      <c r="O93" s="11"/>
      <c r="P93" s="6">
        <v>750</v>
      </c>
      <c r="Q93" s="2"/>
      <c r="R93" s="7">
        <f t="shared" si="36"/>
        <v>2.0869054197768513E-3</v>
      </c>
      <c r="S93" s="2"/>
      <c r="T93" s="6">
        <v>750</v>
      </c>
      <c r="U93" s="2"/>
      <c r="V93" s="7">
        <f t="shared" si="37"/>
        <v>2.5497981528786223E-3</v>
      </c>
      <c r="W93" s="2"/>
      <c r="X93" s="6">
        <f t="shared" si="38"/>
        <v>0</v>
      </c>
      <c r="Y93" s="2"/>
      <c r="Z93" s="7">
        <f t="shared" si="39"/>
        <v>0</v>
      </c>
    </row>
    <row r="94" spans="1:26" s="26" customFormat="1" outlineLevel="1" collapsed="1" x14ac:dyDescent="0.25">
      <c r="A94" s="27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SUM(OSRRefD22_12x_0)</f>
        <v>6900</v>
      </c>
      <c r="E94" s="1"/>
      <c r="F94" s="5">
        <f t="shared" si="32"/>
        <v>9.1974639526061358E-2</v>
      </c>
      <c r="G94" s="1"/>
      <c r="H94" s="1">
        <f>SUM(OSRRefH22_12x_0)</f>
        <v>6900</v>
      </c>
      <c r="I94" s="1"/>
      <c r="J94" s="5">
        <f t="shared" si="33"/>
        <v>0.21571384714079114</v>
      </c>
      <c r="K94" s="1"/>
      <c r="L94" s="1">
        <f t="shared" si="34"/>
        <v>0</v>
      </c>
      <c r="M94" s="1"/>
      <c r="N94" s="5">
        <f t="shared" si="35"/>
        <v>0</v>
      </c>
      <c r="O94" s="13"/>
      <c r="P94" s="1">
        <f>SUM(OSRRefP22_12x_0)</f>
        <v>48300</v>
      </c>
      <c r="Q94" s="1"/>
      <c r="R94" s="5">
        <f t="shared" si="36"/>
        <v>0.13439670903362921</v>
      </c>
      <c r="S94" s="1"/>
      <c r="T94" s="1">
        <f>SUM(OSRRefT22_12x_0)</f>
        <v>48300</v>
      </c>
      <c r="U94" s="1"/>
      <c r="V94" s="5">
        <f t="shared" si="37"/>
        <v>0.16420700104538327</v>
      </c>
      <c r="W94" s="1"/>
      <c r="X94" s="1">
        <f t="shared" si="38"/>
        <v>0</v>
      </c>
      <c r="Y94" s="1"/>
      <c r="Z94" s="5">
        <f t="shared" si="39"/>
        <v>0</v>
      </c>
    </row>
    <row r="95" spans="1:26" s="24" customFormat="1" hidden="1" outlineLevel="2" x14ac:dyDescent="0.25">
      <c r="A95" s="25"/>
      <c r="B95" s="11" t="str">
        <f>CONCATENATE("          ", "6273", " - ", "RENT")</f>
        <v xml:space="preserve">          6273 - RENT</v>
      </c>
      <c r="C95" s="11"/>
      <c r="D95" s="6">
        <v>6900</v>
      </c>
      <c r="E95" s="2"/>
      <c r="F95" s="7">
        <f t="shared" si="32"/>
        <v>9.1974639526061358E-2</v>
      </c>
      <c r="G95" s="2"/>
      <c r="H95" s="6">
        <v>6900</v>
      </c>
      <c r="I95" s="2"/>
      <c r="J95" s="7">
        <f t="shared" si="33"/>
        <v>0.21571384714079114</v>
      </c>
      <c r="K95" s="2"/>
      <c r="L95" s="6">
        <f t="shared" si="34"/>
        <v>0</v>
      </c>
      <c r="M95" s="2"/>
      <c r="N95" s="7">
        <f t="shared" si="35"/>
        <v>0</v>
      </c>
      <c r="O95" s="11"/>
      <c r="P95" s="6">
        <v>48300</v>
      </c>
      <c r="Q95" s="2"/>
      <c r="R95" s="7">
        <f t="shared" si="36"/>
        <v>0.13439670903362921</v>
      </c>
      <c r="S95" s="2"/>
      <c r="T95" s="6">
        <v>48300</v>
      </c>
      <c r="U95" s="2"/>
      <c r="V95" s="7">
        <f t="shared" si="37"/>
        <v>0.16420700104538327</v>
      </c>
      <c r="W95" s="2"/>
      <c r="X95" s="6">
        <f t="shared" si="38"/>
        <v>0</v>
      </c>
      <c r="Y95" s="2"/>
      <c r="Z95" s="7">
        <f t="shared" si="39"/>
        <v>0</v>
      </c>
    </row>
    <row r="96" spans="1:26" s="26" customFormat="1" outlineLevel="1" collapsed="1" x14ac:dyDescent="0.25">
      <c r="A96" s="27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SUM(OSRRefD22_13x_0)</f>
        <v>0</v>
      </c>
      <c r="E96" s="1"/>
      <c r="F96" s="5">
        <f t="shared" si="32"/>
        <v>0</v>
      </c>
      <c r="G96" s="1"/>
      <c r="H96" s="1">
        <f>SUM(OSRRefH22_13x_0)</f>
        <v>103.27</v>
      </c>
      <c r="I96" s="1"/>
      <c r="J96" s="5">
        <f t="shared" si="33"/>
        <v>3.2285172455405074E-3</v>
      </c>
      <c r="K96" s="1"/>
      <c r="L96" s="1">
        <f t="shared" si="34"/>
        <v>-103.27</v>
      </c>
      <c r="M96" s="1"/>
      <c r="N96" s="5">
        <f t="shared" si="35"/>
        <v>-1</v>
      </c>
      <c r="O96" s="13"/>
      <c r="P96" s="1">
        <f>SUM(OSRRefP22_13x_0)</f>
        <v>275.75</v>
      </c>
      <c r="Q96" s="1"/>
      <c r="R96" s="5">
        <f t="shared" si="36"/>
        <v>7.6728555933795555E-4</v>
      </c>
      <c r="S96" s="1"/>
      <c r="T96" s="1">
        <f>SUM(OSRRefT22_13x_0)</f>
        <v>609.6</v>
      </c>
      <c r="U96" s="1"/>
      <c r="V96" s="5">
        <f t="shared" si="37"/>
        <v>2.0724759386597444E-3</v>
      </c>
      <c r="W96" s="1"/>
      <c r="X96" s="1">
        <f t="shared" si="38"/>
        <v>-333.85</v>
      </c>
      <c r="Y96" s="1"/>
      <c r="Z96" s="5">
        <f t="shared" si="39"/>
        <v>-0.54765419947506566</v>
      </c>
    </row>
    <row r="97" spans="1:26" s="24" customFormat="1" hidden="1" outlineLevel="2" x14ac:dyDescent="0.25">
      <c r="A97" s="25"/>
      <c r="B97" s="11" t="str">
        <f>CONCATENATE("          ", "6373", " - ", "MAINTENANCE CONTRACTS")</f>
        <v xml:space="preserve">          6373 - MAINTENANCE CONTRACTS</v>
      </c>
      <c r="C97" s="11"/>
      <c r="D97" s="6"/>
      <c r="E97" s="2"/>
      <c r="F97" s="7">
        <f t="shared" si="32"/>
        <v>0</v>
      </c>
      <c r="G97" s="2"/>
      <c r="H97" s="6"/>
      <c r="I97" s="2"/>
      <c r="J97" s="7">
        <f t="shared" si="33"/>
        <v>0</v>
      </c>
      <c r="K97" s="2"/>
      <c r="L97" s="6">
        <f t="shared" si="34"/>
        <v>0</v>
      </c>
      <c r="M97" s="2"/>
      <c r="N97" s="7">
        <f t="shared" si="35"/>
        <v>0</v>
      </c>
      <c r="O97" s="11"/>
      <c r="P97" s="6">
        <v>93.22</v>
      </c>
      <c r="Q97" s="2"/>
      <c r="R97" s="7">
        <f t="shared" si="36"/>
        <v>2.5938843097546407E-4</v>
      </c>
      <c r="S97" s="2"/>
      <c r="T97" s="6">
        <v>89.96</v>
      </c>
      <c r="U97" s="2"/>
      <c r="V97" s="7">
        <f t="shared" si="37"/>
        <v>3.058397891106145E-4</v>
      </c>
      <c r="W97" s="2"/>
      <c r="X97" s="6">
        <f t="shared" si="38"/>
        <v>3.2600000000000051</v>
      </c>
      <c r="Y97" s="2"/>
      <c r="Z97" s="7">
        <f t="shared" si="39"/>
        <v>3.6238328145842658E-2</v>
      </c>
    </row>
    <row r="98" spans="1:26" s="24" customFormat="1" hidden="1" outlineLevel="2" x14ac:dyDescent="0.25">
      <c r="A98" s="25"/>
      <c r="B98" s="11" t="str">
        <f>CONCATENATE("          ", "6375", " - ", "OUTSIDE REPAIRS &amp; MAINTENANCE")</f>
        <v xml:space="preserve">          6375 - OUTSIDE REPAIRS &amp; MAINTENANCE</v>
      </c>
      <c r="C98" s="11"/>
      <c r="D98" s="6"/>
      <c r="E98" s="2"/>
      <c r="F98" s="7">
        <f t="shared" si="32"/>
        <v>0</v>
      </c>
      <c r="G98" s="2"/>
      <c r="H98" s="6">
        <v>103.27</v>
      </c>
      <c r="I98" s="2"/>
      <c r="J98" s="7">
        <f t="shared" si="33"/>
        <v>3.2285172455405074E-3</v>
      </c>
      <c r="K98" s="2"/>
      <c r="L98" s="6">
        <f t="shared" si="34"/>
        <v>-103.27</v>
      </c>
      <c r="M98" s="2"/>
      <c r="N98" s="7">
        <f t="shared" si="35"/>
        <v>-1</v>
      </c>
      <c r="O98" s="11"/>
      <c r="P98" s="6">
        <v>182.53</v>
      </c>
      <c r="Q98" s="2"/>
      <c r="R98" s="7">
        <f t="shared" si="36"/>
        <v>5.0789712836249153E-4</v>
      </c>
      <c r="S98" s="2"/>
      <c r="T98" s="6">
        <v>519.64</v>
      </c>
      <c r="U98" s="2"/>
      <c r="V98" s="7">
        <f t="shared" si="37"/>
        <v>1.7666361495491298E-3</v>
      </c>
      <c r="W98" s="2"/>
      <c r="X98" s="6">
        <f t="shared" si="38"/>
        <v>-337.11</v>
      </c>
      <c r="Y98" s="2"/>
      <c r="Z98" s="7">
        <f t="shared" si="39"/>
        <v>-0.64873758756061894</v>
      </c>
    </row>
    <row r="99" spans="1:26" s="26" customFormat="1" outlineLevel="1" collapsed="1" x14ac:dyDescent="0.25">
      <c r="A99" s="27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SUM(OSRRefD22_14x_0)</f>
        <v>189.45</v>
      </c>
      <c r="E99" s="1"/>
      <c r="F99" s="5">
        <f t="shared" ref="F99:F102" si="40">IF(D$12=0,0,D99/D$12)</f>
        <v>2.5253036895959888E-3</v>
      </c>
      <c r="G99" s="1"/>
      <c r="H99" s="1">
        <f>SUM(OSRRefH22_14x_0)</f>
        <v>224.45999999999998</v>
      </c>
      <c r="I99" s="1"/>
      <c r="J99" s="5">
        <f t="shared" ref="J99:J102" si="41">IF(H$12=0,0,H99/H$12)</f>
        <v>7.0172652361191268E-3</v>
      </c>
      <c r="K99" s="1"/>
      <c r="L99" s="1">
        <f t="shared" ref="L99:L102" si="42">+D99-H99</f>
        <v>-35.009999999999991</v>
      </c>
      <c r="M99" s="1"/>
      <c r="N99" s="5">
        <f t="shared" ref="N99:N102" si="43">IF(H99=0,0,L99/H99)</f>
        <v>-0.15597433841218922</v>
      </c>
      <c r="O99" s="13"/>
      <c r="P99" s="1">
        <f>SUM(OSRRefP22_14x_0)</f>
        <v>2191.73</v>
      </c>
      <c r="Q99" s="1"/>
      <c r="R99" s="5">
        <f t="shared" ref="R99:R102" si="44">IF(P$12=0,0,P99/P$12)</f>
        <v>6.0985776209166905E-3</v>
      </c>
      <c r="S99" s="1"/>
      <c r="T99" s="1">
        <f>SUM(OSRRefT22_14x_0)</f>
        <v>1537.67</v>
      </c>
      <c r="U99" s="1"/>
      <c r="V99" s="5">
        <f t="shared" ref="V99:V102" si="45">IF(T$12=0,0,T99/T$12)</f>
        <v>5.2276641676491618E-3</v>
      </c>
      <c r="W99" s="1"/>
      <c r="X99" s="1">
        <f t="shared" ref="X99:X102" si="46">+P99-T99</f>
        <v>654.05999999999995</v>
      </c>
      <c r="Y99" s="1"/>
      <c r="Z99" s="5">
        <f t="shared" ref="Z99:Z102" si="47">IF(T99=0,0,X99/T99)</f>
        <v>0.42535784661208187</v>
      </c>
    </row>
    <row r="100" spans="1:26" s="24" customFormat="1" hidden="1" outlineLevel="2" x14ac:dyDescent="0.25">
      <c r="A100" s="25"/>
      <c r="B100" s="11" t="str">
        <f>CONCATENATE("          ", "6283", " - ", "PLANT SERVICE")</f>
        <v xml:space="preserve">          6283 - PLANT SERVICE</v>
      </c>
      <c r="C100" s="11"/>
      <c r="D100" s="6"/>
      <c r="E100" s="2"/>
      <c r="F100" s="7">
        <f t="shared" si="40"/>
        <v>0</v>
      </c>
      <c r="G100" s="2"/>
      <c r="H100" s="6">
        <v>56</v>
      </c>
      <c r="I100" s="2"/>
      <c r="J100" s="7">
        <f t="shared" si="41"/>
        <v>1.750721078244102E-3</v>
      </c>
      <c r="K100" s="2"/>
      <c r="L100" s="6">
        <f t="shared" si="42"/>
        <v>-56</v>
      </c>
      <c r="M100" s="2"/>
      <c r="N100" s="7">
        <f t="shared" si="43"/>
        <v>-1</v>
      </c>
      <c r="O100" s="11"/>
      <c r="P100" s="6">
        <v>178.65</v>
      </c>
      <c r="Q100" s="2"/>
      <c r="R100" s="7">
        <f t="shared" si="44"/>
        <v>4.9710087099084596E-4</v>
      </c>
      <c r="S100" s="2"/>
      <c r="T100" s="6">
        <v>392</v>
      </c>
      <c r="U100" s="2"/>
      <c r="V100" s="7">
        <f t="shared" si="45"/>
        <v>1.3326945012378934E-3</v>
      </c>
      <c r="W100" s="2"/>
      <c r="X100" s="6">
        <f t="shared" si="46"/>
        <v>-213.35</v>
      </c>
      <c r="Y100" s="2"/>
      <c r="Z100" s="7">
        <f t="shared" si="47"/>
        <v>-0.54426020408163267</v>
      </c>
    </row>
    <row r="101" spans="1:26" s="24" customFormat="1" hidden="1" outlineLevel="2" x14ac:dyDescent="0.25">
      <c r="A101" s="25"/>
      <c r="B101" s="11" t="str">
        <f>CONCATENATE("          ", "6284", " - ", "TRASH REMOVAL EXPENSE")</f>
        <v xml:space="preserve">          6284 - TRASH REMOVAL EXPENSE</v>
      </c>
      <c r="C101" s="11"/>
      <c r="D101" s="6">
        <v>134.82</v>
      </c>
      <c r="E101" s="2"/>
      <c r="F101" s="7">
        <f t="shared" si="40"/>
        <v>1.7971044783918247E-3</v>
      </c>
      <c r="G101" s="2"/>
      <c r="H101" s="6">
        <v>121.46</v>
      </c>
      <c r="I101" s="2"/>
      <c r="J101" s="7">
        <f t="shared" si="41"/>
        <v>3.7971889672058683E-3</v>
      </c>
      <c r="K101" s="2"/>
      <c r="L101" s="6">
        <f t="shared" si="42"/>
        <v>13.36</v>
      </c>
      <c r="M101" s="2"/>
      <c r="N101" s="7">
        <f t="shared" si="43"/>
        <v>0.10999506010209123</v>
      </c>
      <c r="O101" s="11"/>
      <c r="P101" s="6">
        <v>943.74</v>
      </c>
      <c r="Q101" s="2"/>
      <c r="R101" s="7">
        <f t="shared" si="44"/>
        <v>2.6259948278136071E-3</v>
      </c>
      <c r="S101" s="2"/>
      <c r="T101" s="6">
        <v>850.22</v>
      </c>
      <c r="U101" s="2"/>
      <c r="V101" s="7">
        <f t="shared" si="45"/>
        <v>2.8905191807206167E-3</v>
      </c>
      <c r="W101" s="2"/>
      <c r="X101" s="6">
        <f t="shared" si="46"/>
        <v>93.519999999999982</v>
      </c>
      <c r="Y101" s="2"/>
      <c r="Z101" s="7">
        <f t="shared" si="47"/>
        <v>0.1099950601020912</v>
      </c>
    </row>
    <row r="102" spans="1:26" s="24" customFormat="1" hidden="1" outlineLevel="2" x14ac:dyDescent="0.25">
      <c r="A102" s="25"/>
      <c r="B102" s="11" t="str">
        <f>CONCATENATE("          ", "6285", " - ", "JANITORIAL SERVICES")</f>
        <v xml:space="preserve">          6285 - JANITORIAL SERVICES</v>
      </c>
      <c r="C102" s="11"/>
      <c r="D102" s="6">
        <v>54.63</v>
      </c>
      <c r="E102" s="2"/>
      <c r="F102" s="7">
        <f t="shared" si="40"/>
        <v>7.2819921120416409E-4</v>
      </c>
      <c r="G102" s="2"/>
      <c r="H102" s="6">
        <v>47</v>
      </c>
      <c r="I102" s="2"/>
      <c r="J102" s="7">
        <f t="shared" si="41"/>
        <v>1.469355190669157E-3</v>
      </c>
      <c r="K102" s="2"/>
      <c r="L102" s="6">
        <f t="shared" si="42"/>
        <v>7.6300000000000026</v>
      </c>
      <c r="M102" s="2"/>
      <c r="N102" s="7">
        <f t="shared" si="43"/>
        <v>0.16234042553191494</v>
      </c>
      <c r="O102" s="11"/>
      <c r="P102" s="6">
        <v>1069.3399999999999</v>
      </c>
      <c r="Q102" s="2"/>
      <c r="R102" s="7">
        <f t="shared" si="44"/>
        <v>2.9754819221122371E-3</v>
      </c>
      <c r="S102" s="2"/>
      <c r="T102" s="6">
        <v>295.45</v>
      </c>
      <c r="U102" s="2"/>
      <c r="V102" s="7">
        <f t="shared" si="45"/>
        <v>1.004450485690652E-3</v>
      </c>
      <c r="W102" s="2"/>
      <c r="X102" s="6">
        <f t="shared" si="46"/>
        <v>773.88999999999987</v>
      </c>
      <c r="Y102" s="2"/>
      <c r="Z102" s="7">
        <f t="shared" si="47"/>
        <v>2.619360297850736</v>
      </c>
    </row>
    <row r="103" spans="1:26" s="26" customFormat="1" outlineLevel="1" collapsed="1" x14ac:dyDescent="0.25">
      <c r="A103" s="27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SUM(OSRRefD22_15x_0)</f>
        <v>75</v>
      </c>
      <c r="E103" s="1"/>
      <c r="F103" s="5">
        <f t="shared" ref="F103:F110" si="48">IF(D$12=0,0,D103/D$12)</f>
        <v>9.9972434267457991E-4</v>
      </c>
      <c r="G103" s="1"/>
      <c r="H103" s="1">
        <f>SUM(OSRRefH22_15x_0)</f>
        <v>129.97999999999999</v>
      </c>
      <c r="I103" s="1"/>
      <c r="J103" s="5">
        <f t="shared" ref="J103:J110" si="49">IF(H$12=0,0,H103/H$12)</f>
        <v>4.0635486741101489E-3</v>
      </c>
      <c r="K103" s="1"/>
      <c r="L103" s="1">
        <f t="shared" ref="L103:L110" si="50">+D103-H103</f>
        <v>-54.97999999999999</v>
      </c>
      <c r="M103" s="1"/>
      <c r="N103" s="5">
        <f t="shared" ref="N103:N110" si="51">IF(H103=0,0,L103/H103)</f>
        <v>-0.42298815202338819</v>
      </c>
      <c r="O103" s="13"/>
      <c r="P103" s="1">
        <f>SUM(OSRRefP22_15x_0)</f>
        <v>163.41999999999999</v>
      </c>
      <c r="Q103" s="1"/>
      <c r="R103" s="5">
        <f t="shared" ref="R103:R110" si="52">IF(P$12=0,0,P103/P$12)</f>
        <v>4.5472277826657728E-4</v>
      </c>
      <c r="S103" s="1"/>
      <c r="T103" s="1">
        <f>SUM(OSRRefT22_15x_0)</f>
        <v>1134.8599999999999</v>
      </c>
      <c r="U103" s="1"/>
      <c r="V103" s="5">
        <f t="shared" ref="V103:V110" si="53">IF(T$12=0,0,T103/T$12)</f>
        <v>3.858218575701111E-3</v>
      </c>
      <c r="W103" s="1"/>
      <c r="X103" s="1">
        <f t="shared" ref="X103:X110" si="54">+P103-T103</f>
        <v>-971.43999999999994</v>
      </c>
      <c r="Y103" s="1"/>
      <c r="Z103" s="5">
        <f t="shared" ref="Z103:Z110" si="55">IF(T103=0,0,X103/T103)</f>
        <v>-0.85599985901344666</v>
      </c>
    </row>
    <row r="104" spans="1:26" s="24" customFormat="1" hidden="1" outlineLevel="2" x14ac:dyDescent="0.25">
      <c r="A104" s="25"/>
      <c r="B104" s="11" t="str">
        <f>CONCATENATE("          ", "6275", " - ", "SUBSCRIPTIONS")</f>
        <v xml:space="preserve">          6275 - SUBSCRIPTIONS</v>
      </c>
      <c r="C104" s="11"/>
      <c r="D104" s="6">
        <v>75</v>
      </c>
      <c r="E104" s="2"/>
      <c r="F104" s="7">
        <f t="shared" si="48"/>
        <v>9.9972434267457991E-4</v>
      </c>
      <c r="G104" s="2"/>
      <c r="H104" s="6">
        <v>129.97999999999999</v>
      </c>
      <c r="I104" s="2"/>
      <c r="J104" s="7">
        <f t="shared" si="49"/>
        <v>4.0635486741101489E-3</v>
      </c>
      <c r="K104" s="2"/>
      <c r="L104" s="6">
        <f t="shared" si="50"/>
        <v>-54.97999999999999</v>
      </c>
      <c r="M104" s="2"/>
      <c r="N104" s="7">
        <f t="shared" si="51"/>
        <v>-0.42298815202338819</v>
      </c>
      <c r="O104" s="11"/>
      <c r="P104" s="6">
        <v>163.41999999999999</v>
      </c>
      <c r="Q104" s="2"/>
      <c r="R104" s="7">
        <f t="shared" si="52"/>
        <v>4.5472277826657728E-4</v>
      </c>
      <c r="S104" s="2"/>
      <c r="T104" s="6">
        <v>1134.8599999999999</v>
      </c>
      <c r="U104" s="2"/>
      <c r="V104" s="7">
        <f t="shared" si="53"/>
        <v>3.858218575701111E-3</v>
      </c>
      <c r="W104" s="2"/>
      <c r="X104" s="6">
        <f t="shared" si="54"/>
        <v>-971.43999999999994</v>
      </c>
      <c r="Y104" s="2"/>
      <c r="Z104" s="7">
        <f t="shared" si="55"/>
        <v>-0.85599985901344666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SUM(OSRRefD22_16x_0)</f>
        <v>552.6099999999999</v>
      </c>
      <c r="E105" s="1"/>
      <c r="F105" s="5">
        <f t="shared" si="48"/>
        <v>7.3661022534053273E-3</v>
      </c>
      <c r="G105" s="1"/>
      <c r="H105" s="1">
        <f>SUM(OSRRefH22_16x_0)</f>
        <v>263.04000000000002</v>
      </c>
      <c r="I105" s="1"/>
      <c r="J105" s="5">
        <f t="shared" si="49"/>
        <v>8.2233870075237251E-3</v>
      </c>
      <c r="K105" s="1"/>
      <c r="L105" s="1">
        <f t="shared" si="50"/>
        <v>289.56999999999988</v>
      </c>
      <c r="M105" s="1"/>
      <c r="N105" s="5">
        <f t="shared" si="51"/>
        <v>1.1008591849148412</v>
      </c>
      <c r="O105" s="13"/>
      <c r="P105" s="1">
        <f>SUM(OSRRefP22_16x_0)</f>
        <v>2656.2000000000003</v>
      </c>
      <c r="Q105" s="1"/>
      <c r="R105" s="5">
        <f t="shared" si="52"/>
        <v>7.3909842346816966E-3</v>
      </c>
      <c r="S105" s="1"/>
      <c r="T105" s="1">
        <f>SUM(OSRRefT22_16x_0)</f>
        <v>3054.5</v>
      </c>
      <c r="U105" s="1"/>
      <c r="V105" s="5">
        <f t="shared" si="53"/>
        <v>1.0384477943957002E-2</v>
      </c>
      <c r="W105" s="1"/>
      <c r="X105" s="1">
        <f t="shared" si="54"/>
        <v>-398.29999999999973</v>
      </c>
      <c r="Y105" s="1"/>
      <c r="Z105" s="5">
        <f t="shared" si="55"/>
        <v>-0.13039777377639539</v>
      </c>
    </row>
    <row r="106" spans="1:26" s="24" customFormat="1" hidden="1" outlineLevel="2" x14ac:dyDescent="0.25">
      <c r="A106" s="25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>
        <v>303.86</v>
      </c>
      <c r="E106" s="2"/>
      <c r="F106" s="7">
        <f t="shared" si="48"/>
        <v>4.0503498502013052E-3</v>
      </c>
      <c r="G106" s="2"/>
      <c r="H106" s="6"/>
      <c r="I106" s="2"/>
      <c r="J106" s="7">
        <f t="shared" si="49"/>
        <v>0</v>
      </c>
      <c r="K106" s="2"/>
      <c r="L106" s="6">
        <f t="shared" si="50"/>
        <v>303.86</v>
      </c>
      <c r="M106" s="2"/>
      <c r="N106" s="7">
        <f t="shared" si="51"/>
        <v>0</v>
      </c>
      <c r="O106" s="11"/>
      <c r="P106" s="6">
        <v>303.86</v>
      </c>
      <c r="Q106" s="2"/>
      <c r="R106" s="7">
        <f t="shared" si="52"/>
        <v>8.4550277447119197E-4</v>
      </c>
      <c r="S106" s="2"/>
      <c r="T106" s="6">
        <v>158.22999999999999</v>
      </c>
      <c r="U106" s="2"/>
      <c r="V106" s="7">
        <f t="shared" si="53"/>
        <v>5.3793941563997922E-4</v>
      </c>
      <c r="W106" s="2"/>
      <c r="X106" s="6">
        <f t="shared" si="54"/>
        <v>145.63000000000002</v>
      </c>
      <c r="Y106" s="2"/>
      <c r="Z106" s="7">
        <f t="shared" si="55"/>
        <v>0.92036908298047171</v>
      </c>
    </row>
    <row r="107" spans="1:26" s="24" customFormat="1" hidden="1" outlineLevel="2" x14ac:dyDescent="0.25">
      <c r="A107" s="25"/>
      <c r="B107" s="11" t="str">
        <f>CONCATENATE("          ", "6237", " - ", "JANITORIAL SUPPLIES")</f>
        <v xml:space="preserve">          6237 - JANITORIAL SUPPLIES</v>
      </c>
      <c r="C107" s="11"/>
      <c r="D107" s="6"/>
      <c r="E107" s="2"/>
      <c r="F107" s="7">
        <f t="shared" si="48"/>
        <v>0</v>
      </c>
      <c r="G107" s="2"/>
      <c r="H107" s="6"/>
      <c r="I107" s="2"/>
      <c r="J107" s="7">
        <f t="shared" si="49"/>
        <v>0</v>
      </c>
      <c r="K107" s="2"/>
      <c r="L107" s="6">
        <f t="shared" si="50"/>
        <v>0</v>
      </c>
      <c r="M107" s="2"/>
      <c r="N107" s="7">
        <f t="shared" si="51"/>
        <v>0</v>
      </c>
      <c r="O107" s="11"/>
      <c r="P107" s="6">
        <v>287.72000000000003</v>
      </c>
      <c r="Q107" s="2"/>
      <c r="R107" s="7">
        <f t="shared" si="52"/>
        <v>8.0059256983759425E-4</v>
      </c>
      <c r="S107" s="2"/>
      <c r="T107" s="6">
        <v>177.88</v>
      </c>
      <c r="U107" s="2"/>
      <c r="V107" s="7">
        <f t="shared" si="53"/>
        <v>6.0474412724539916E-4</v>
      </c>
      <c r="W107" s="2"/>
      <c r="X107" s="6">
        <f t="shared" si="54"/>
        <v>109.84000000000003</v>
      </c>
      <c r="Y107" s="2"/>
      <c r="Z107" s="7">
        <f t="shared" si="55"/>
        <v>0.61749494040926489</v>
      </c>
    </row>
    <row r="108" spans="1:26" s="24" customFormat="1" hidden="1" outlineLevel="2" x14ac:dyDescent="0.25">
      <c r="A108" s="25"/>
      <c r="B108" s="11" t="str">
        <f>CONCATENATE("          ", "6241", " - ", "OFFICE EXPENSE")</f>
        <v xml:space="preserve">          6241 - OFFICE EXPENSE</v>
      </c>
      <c r="C108" s="11"/>
      <c r="D108" s="6">
        <v>226.7</v>
      </c>
      <c r="E108" s="2"/>
      <c r="F108" s="7">
        <f t="shared" si="48"/>
        <v>3.021833446457697E-3</v>
      </c>
      <c r="G108" s="2"/>
      <c r="H108" s="6">
        <v>58.1</v>
      </c>
      <c r="I108" s="2"/>
      <c r="J108" s="7">
        <f t="shared" si="49"/>
        <v>1.8163731186782558E-3</v>
      </c>
      <c r="K108" s="2"/>
      <c r="L108" s="6">
        <f t="shared" si="50"/>
        <v>168.6</v>
      </c>
      <c r="M108" s="2"/>
      <c r="N108" s="7">
        <f t="shared" si="51"/>
        <v>2.9018932874354562</v>
      </c>
      <c r="O108" s="11"/>
      <c r="P108" s="6">
        <v>2022.45</v>
      </c>
      <c r="Q108" s="2"/>
      <c r="R108" s="7">
        <f t="shared" si="52"/>
        <v>5.627549154970257E-3</v>
      </c>
      <c r="S108" s="2"/>
      <c r="T108" s="6">
        <v>1338.33</v>
      </c>
      <c r="U108" s="2"/>
      <c r="V108" s="7">
        <f t="shared" si="53"/>
        <v>4.5499618159227286E-3</v>
      </c>
      <c r="W108" s="2"/>
      <c r="X108" s="6">
        <f t="shared" si="54"/>
        <v>684.12000000000012</v>
      </c>
      <c r="Y108" s="2"/>
      <c r="Z108" s="7">
        <f t="shared" si="55"/>
        <v>0.51117437403331034</v>
      </c>
    </row>
    <row r="109" spans="1:26" s="24" customFormat="1" hidden="1" outlineLevel="2" x14ac:dyDescent="0.25">
      <c r="A109" s="25"/>
      <c r="B109" s="11" t="str">
        <f>CONCATENATE("          ", "6245", " - ", "PRINTING")</f>
        <v xml:space="preserve">          6245 - PRINTING</v>
      </c>
      <c r="C109" s="11"/>
      <c r="D109" s="6">
        <v>22.05</v>
      </c>
      <c r="E109" s="2"/>
      <c r="F109" s="7">
        <f t="shared" si="48"/>
        <v>2.9391895674632653E-4</v>
      </c>
      <c r="G109" s="2"/>
      <c r="H109" s="6"/>
      <c r="I109" s="2"/>
      <c r="J109" s="7">
        <f t="shared" si="49"/>
        <v>0</v>
      </c>
      <c r="K109" s="2"/>
      <c r="L109" s="6">
        <f t="shared" si="50"/>
        <v>22.05</v>
      </c>
      <c r="M109" s="2"/>
      <c r="N109" s="7">
        <f t="shared" si="51"/>
        <v>0</v>
      </c>
      <c r="O109" s="11"/>
      <c r="P109" s="6">
        <v>22.05</v>
      </c>
      <c r="Q109" s="2"/>
      <c r="R109" s="7">
        <f t="shared" si="52"/>
        <v>6.1355019341439418E-5</v>
      </c>
      <c r="S109" s="2"/>
      <c r="T109" s="6">
        <v>750.25</v>
      </c>
      <c r="U109" s="2"/>
      <c r="V109" s="7">
        <f t="shared" si="53"/>
        <v>2.5506480855962484E-3</v>
      </c>
      <c r="W109" s="2"/>
      <c r="X109" s="6">
        <f t="shared" si="54"/>
        <v>-728.2</v>
      </c>
      <c r="Y109" s="2"/>
      <c r="Z109" s="7">
        <f t="shared" si="55"/>
        <v>-0.97060979673442194</v>
      </c>
    </row>
    <row r="110" spans="1:26" s="24" customFormat="1" hidden="1" outlineLevel="2" x14ac:dyDescent="0.25">
      <c r="A110" s="25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48"/>
        <v>0</v>
      </c>
      <c r="G110" s="2"/>
      <c r="H110" s="6">
        <v>204.94</v>
      </c>
      <c r="I110" s="2"/>
      <c r="J110" s="7">
        <f t="shared" si="49"/>
        <v>6.407013888845469E-3</v>
      </c>
      <c r="K110" s="2"/>
      <c r="L110" s="6">
        <f t="shared" si="50"/>
        <v>-204.94</v>
      </c>
      <c r="M110" s="2"/>
      <c r="N110" s="7">
        <f t="shared" si="51"/>
        <v>-1</v>
      </c>
      <c r="O110" s="11"/>
      <c r="P110" s="6">
        <v>20.12</v>
      </c>
      <c r="Q110" s="2"/>
      <c r="R110" s="7">
        <f t="shared" si="52"/>
        <v>5.5984716061213665E-5</v>
      </c>
      <c r="S110" s="2"/>
      <c r="T110" s="6">
        <v>629.80999999999995</v>
      </c>
      <c r="U110" s="2"/>
      <c r="V110" s="7">
        <f t="shared" si="53"/>
        <v>2.1411844995526466E-3</v>
      </c>
      <c r="W110" s="2"/>
      <c r="X110" s="6">
        <f t="shared" si="54"/>
        <v>-609.68999999999994</v>
      </c>
      <c r="Y110" s="2"/>
      <c r="Z110" s="7">
        <f t="shared" si="55"/>
        <v>-0.9680538575125831</v>
      </c>
    </row>
    <row r="111" spans="1:26" s="26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SUM(OSRRefD22_17x_0)</f>
        <v>228.32</v>
      </c>
      <c r="E111" s="1"/>
      <c r="F111" s="5">
        <f t="shared" ref="F111:F116" si="56">IF(D$12=0,0,D111/D$12)</f>
        <v>3.043427492259468E-3</v>
      </c>
      <c r="G111" s="1"/>
      <c r="H111" s="1">
        <f>SUM(OSRRefH22_17x_0)</f>
        <v>-78.58</v>
      </c>
      <c r="I111" s="1"/>
      <c r="J111" s="5">
        <f t="shared" ref="J111:J116" si="57">IF(H$12=0,0,H111/H$12)</f>
        <v>-2.4566368272932416E-3</v>
      </c>
      <c r="K111" s="1"/>
      <c r="L111" s="1">
        <f t="shared" ref="L111:L116" si="58">+D111-H111</f>
        <v>306.89999999999998</v>
      </c>
      <c r="M111" s="1"/>
      <c r="N111" s="5">
        <f t="shared" ref="N111:N116" si="59">IF(H111=0,0,L111/H111)</f>
        <v>-3.9055739373886484</v>
      </c>
      <c r="O111" s="13"/>
      <c r="P111" s="1">
        <f>SUM(OSRRefP22_17x_0)</f>
        <v>1974.1</v>
      </c>
      <c r="Q111" s="1"/>
      <c r="R111" s="5">
        <f t="shared" ref="R111:R116" si="60">IF(P$12=0,0,P111/P$12)</f>
        <v>5.4930133189086423E-3</v>
      </c>
      <c r="S111" s="1"/>
      <c r="T111" s="1">
        <f>SUM(OSRRefT22_17x_0)</f>
        <v>2409.71</v>
      </c>
      <c r="U111" s="1"/>
      <c r="V111" s="5">
        <f t="shared" ref="V111:V116" si="61">IF(T$12=0,0,T111/T$12)</f>
        <v>8.1923654759641935E-3</v>
      </c>
      <c r="W111" s="1"/>
      <c r="X111" s="1">
        <f t="shared" ref="X111:X116" si="62">+P111-T111</f>
        <v>-435.61000000000013</v>
      </c>
      <c r="Y111" s="1"/>
      <c r="Z111" s="5">
        <f t="shared" ref="Z111:Z116" si="63">IF(T111=0,0,X111/T111)</f>
        <v>-0.18077279008677397</v>
      </c>
    </row>
    <row r="112" spans="1:26" s="24" customFormat="1" hidden="1" outlineLevel="2" x14ac:dyDescent="0.25">
      <c r="A112" s="25"/>
      <c r="B112" s="11" t="str">
        <f>CONCATENATE("          ", "6309", " - ", "TELEPHONE")</f>
        <v xml:space="preserve">          6309 - TELEPHONE</v>
      </c>
      <c r="C112" s="11"/>
      <c r="D112" s="6">
        <v>228.32</v>
      </c>
      <c r="E112" s="2"/>
      <c r="F112" s="7">
        <f t="shared" si="56"/>
        <v>3.043427492259468E-3</v>
      </c>
      <c r="G112" s="2"/>
      <c r="H112" s="6">
        <v>-78.58</v>
      </c>
      <c r="I112" s="2"/>
      <c r="J112" s="7">
        <f t="shared" si="57"/>
        <v>-2.4566368272932416E-3</v>
      </c>
      <c r="K112" s="2"/>
      <c r="L112" s="6">
        <f t="shared" si="58"/>
        <v>306.89999999999998</v>
      </c>
      <c r="M112" s="2"/>
      <c r="N112" s="7">
        <f t="shared" si="59"/>
        <v>-3.9055739373886484</v>
      </c>
      <c r="O112" s="11"/>
      <c r="P112" s="6">
        <v>1974.1</v>
      </c>
      <c r="Q112" s="2"/>
      <c r="R112" s="7">
        <f t="shared" si="60"/>
        <v>5.4930133189086423E-3</v>
      </c>
      <c r="S112" s="2"/>
      <c r="T112" s="6">
        <v>2409.71</v>
      </c>
      <c r="U112" s="2"/>
      <c r="V112" s="7">
        <f t="shared" si="61"/>
        <v>8.1923654759641935E-3</v>
      </c>
      <c r="W112" s="2"/>
      <c r="X112" s="6">
        <f t="shared" si="62"/>
        <v>-435.61000000000013</v>
      </c>
      <c r="Y112" s="2"/>
      <c r="Z112" s="7">
        <f t="shared" si="63"/>
        <v>-0.18077279008677397</v>
      </c>
    </row>
    <row r="113" spans="1:26" s="26" customFormat="1" outlineLevel="1" collapsed="1" x14ac:dyDescent="0.25">
      <c r="A113" s="27"/>
      <c r="B113" s="13" t="str">
        <f>CONCATENATE("     ","Travel                                            ")</f>
        <v xml:space="preserve">     Travel                                            </v>
      </c>
      <c r="C113" s="13"/>
      <c r="D113" s="1">
        <f>SUM(OSRRefD22_18x_0)</f>
        <v>72.25</v>
      </c>
      <c r="E113" s="1"/>
      <c r="F113" s="5">
        <f t="shared" si="56"/>
        <v>9.6306778344317867E-4</v>
      </c>
      <c r="G113" s="1"/>
      <c r="H113" s="1">
        <f>SUM(OSRRefH22_18x_0)</f>
        <v>41.13</v>
      </c>
      <c r="I113" s="1"/>
      <c r="J113" s="5">
        <f t="shared" si="57"/>
        <v>1.2858421062174985E-3</v>
      </c>
      <c r="K113" s="1"/>
      <c r="L113" s="1">
        <f t="shared" si="58"/>
        <v>31.119999999999997</v>
      </c>
      <c r="M113" s="1"/>
      <c r="N113" s="5">
        <f t="shared" si="59"/>
        <v>0.75662533430585932</v>
      </c>
      <c r="O113" s="13"/>
      <c r="P113" s="1">
        <f>SUM(OSRRefP22_18x_0)</f>
        <v>662.72</v>
      </c>
      <c r="Q113" s="1"/>
      <c r="R113" s="5">
        <f t="shared" si="60"/>
        <v>1.8440452797260198E-3</v>
      </c>
      <c r="S113" s="1"/>
      <c r="T113" s="1">
        <f>SUM(OSRRefT22_18x_0)</f>
        <v>393.26</v>
      </c>
      <c r="U113" s="1"/>
      <c r="V113" s="5">
        <f t="shared" si="61"/>
        <v>1.3369781621347294E-3</v>
      </c>
      <c r="W113" s="1"/>
      <c r="X113" s="1">
        <f t="shared" si="62"/>
        <v>269.46000000000004</v>
      </c>
      <c r="Y113" s="1"/>
      <c r="Z113" s="5">
        <f t="shared" si="63"/>
        <v>0.6851955449321061</v>
      </c>
    </row>
    <row r="114" spans="1:26" s="24" customFormat="1" hidden="1" outlineLevel="2" x14ac:dyDescent="0.25">
      <c r="A114" s="25"/>
      <c r="B114" s="11" t="str">
        <f>CONCATENATE("          ", "6294", " - ", "TRAVEL OPERATIONAL")</f>
        <v xml:space="preserve">          6294 - TRAVEL OPERATIONAL</v>
      </c>
      <c r="C114" s="11"/>
      <c r="D114" s="6">
        <v>72.25</v>
      </c>
      <c r="E114" s="2"/>
      <c r="F114" s="7">
        <f t="shared" si="56"/>
        <v>9.6306778344317867E-4</v>
      </c>
      <c r="G114" s="2"/>
      <c r="H114" s="6">
        <v>41.13</v>
      </c>
      <c r="I114" s="2"/>
      <c r="J114" s="7">
        <f t="shared" si="57"/>
        <v>1.2858421062174985E-3</v>
      </c>
      <c r="K114" s="2"/>
      <c r="L114" s="6">
        <f t="shared" si="58"/>
        <v>31.119999999999997</v>
      </c>
      <c r="M114" s="2"/>
      <c r="N114" s="7">
        <f t="shared" si="59"/>
        <v>0.75662533430585932</v>
      </c>
      <c r="O114" s="11"/>
      <c r="P114" s="6">
        <v>662.72</v>
      </c>
      <c r="Q114" s="2"/>
      <c r="R114" s="7">
        <f t="shared" si="60"/>
        <v>1.8440452797260198E-3</v>
      </c>
      <c r="S114" s="2"/>
      <c r="T114" s="6">
        <v>393.26</v>
      </c>
      <c r="U114" s="2"/>
      <c r="V114" s="7">
        <f t="shared" si="61"/>
        <v>1.3369781621347294E-3</v>
      </c>
      <c r="W114" s="2"/>
      <c r="X114" s="6">
        <f t="shared" si="62"/>
        <v>269.46000000000004</v>
      </c>
      <c r="Y114" s="2"/>
      <c r="Z114" s="7">
        <f t="shared" si="63"/>
        <v>0.6851955449321061</v>
      </c>
    </row>
    <row r="115" spans="1:26" s="26" customFormat="1" outlineLevel="1" collapsed="1" x14ac:dyDescent="0.25">
      <c r="A115" s="27"/>
      <c r="B115" s="13" t="str">
        <f>CONCATENATE("     ","Utilities                                         ")</f>
        <v xml:space="preserve">     Utilities                                         </v>
      </c>
      <c r="C115" s="13"/>
      <c r="D115" s="1">
        <f>SUM(OSRRefD22_19x_0)</f>
        <v>163.13999999999999</v>
      </c>
      <c r="E115" s="1"/>
      <c r="F115" s="5">
        <f t="shared" si="56"/>
        <v>2.1746003901857462E-3</v>
      </c>
      <c r="G115" s="1"/>
      <c r="H115" s="1">
        <f>SUM(OSRRefH22_19x_0)</f>
        <v>141.04</v>
      </c>
      <c r="I115" s="1"/>
      <c r="J115" s="5">
        <f t="shared" si="57"/>
        <v>4.4093160870633599E-3</v>
      </c>
      <c r="K115" s="1"/>
      <c r="L115" s="1">
        <f t="shared" si="58"/>
        <v>22.099999999999994</v>
      </c>
      <c r="M115" s="1"/>
      <c r="N115" s="5">
        <f t="shared" si="59"/>
        <v>0.15669313669880883</v>
      </c>
      <c r="O115" s="13"/>
      <c r="P115" s="1">
        <f>SUM(OSRRefP22_19x_0)</f>
        <v>460.82</v>
      </c>
      <c r="Q115" s="1"/>
      <c r="R115" s="5">
        <f t="shared" si="60"/>
        <v>1.2822503407220914E-3</v>
      </c>
      <c r="S115" s="1"/>
      <c r="T115" s="1">
        <f>SUM(OSRRefT22_19x_0)</f>
        <v>511.77</v>
      </c>
      <c r="U115" s="1"/>
      <c r="V115" s="5">
        <f t="shared" si="61"/>
        <v>1.7398802675982568E-3</v>
      </c>
      <c r="W115" s="1"/>
      <c r="X115" s="1">
        <f t="shared" si="62"/>
        <v>-50.949999999999989</v>
      </c>
      <c r="Y115" s="1"/>
      <c r="Z115" s="5">
        <f t="shared" si="63"/>
        <v>-9.9556441370146728E-2</v>
      </c>
    </row>
    <row r="116" spans="1:26" s="24" customFormat="1" hidden="1" outlineLevel="2" x14ac:dyDescent="0.25">
      <c r="A116" s="25"/>
      <c r="B116" s="11" t="str">
        <f>CONCATENATE("          ", "6274", " - ", "UTILITIES")</f>
        <v xml:space="preserve">          6274 - UTILITIES</v>
      </c>
      <c r="C116" s="11"/>
      <c r="D116" s="6">
        <v>163.13999999999999</v>
      </c>
      <c r="E116" s="2"/>
      <c r="F116" s="7">
        <f t="shared" si="56"/>
        <v>2.1746003901857462E-3</v>
      </c>
      <c r="G116" s="2"/>
      <c r="H116" s="6">
        <v>141.04</v>
      </c>
      <c r="I116" s="2"/>
      <c r="J116" s="7">
        <f t="shared" si="57"/>
        <v>4.4093160870633599E-3</v>
      </c>
      <c r="K116" s="2"/>
      <c r="L116" s="6">
        <f t="shared" si="58"/>
        <v>22.099999999999994</v>
      </c>
      <c r="M116" s="2"/>
      <c r="N116" s="7">
        <f t="shared" si="59"/>
        <v>0.15669313669880883</v>
      </c>
      <c r="O116" s="11"/>
      <c r="P116" s="6">
        <v>460.82</v>
      </c>
      <c r="Q116" s="2"/>
      <c r="R116" s="7">
        <f t="shared" si="60"/>
        <v>1.2822503407220914E-3</v>
      </c>
      <c r="S116" s="2"/>
      <c r="T116" s="6">
        <v>511.77</v>
      </c>
      <c r="U116" s="2"/>
      <c r="V116" s="7">
        <f t="shared" si="61"/>
        <v>1.7398802675982568E-3</v>
      </c>
      <c r="W116" s="2"/>
      <c r="X116" s="6">
        <f t="shared" si="62"/>
        <v>-50.949999999999989</v>
      </c>
      <c r="Y116" s="2"/>
      <c r="Z116" s="7">
        <f t="shared" si="63"/>
        <v>-9.9556441370146728E-2</v>
      </c>
    </row>
    <row r="117" spans="1:26" s="59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9" t="s">
        <v>0</v>
      </c>
      <c r="C118" s="10"/>
      <c r="D118" s="4">
        <f>SUM(0)</f>
        <v>0</v>
      </c>
      <c r="E118" s="4"/>
      <c r="F118" s="12">
        <f>IF(D$12=0,0,D118/D$12)</f>
        <v>0</v>
      </c>
      <c r="G118" s="4"/>
      <c r="H118" s="4">
        <f>SUM(0)</f>
        <v>0</v>
      </c>
      <c r="I118" s="4"/>
      <c r="J118" s="12">
        <f>IF(H$12=0,0,H118/H$12)</f>
        <v>0</v>
      </c>
      <c r="K118" s="4"/>
      <c r="L118" s="4">
        <f>+D118-H118</f>
        <v>0</v>
      </c>
      <c r="M118" s="4"/>
      <c r="N118" s="12">
        <f>IF(H118=0,0,L118/H118)</f>
        <v>0</v>
      </c>
      <c r="O118" s="10"/>
      <c r="P118" s="4">
        <f>SUM(0)</f>
        <v>0</v>
      </c>
      <c r="Q118" s="4"/>
      <c r="R118" s="12">
        <f>IF(P$12=0,0,P118/P$12)</f>
        <v>0</v>
      </c>
      <c r="S118" s="4"/>
      <c r="T118" s="4">
        <f>SUM(0)</f>
        <v>0</v>
      </c>
      <c r="U118" s="4"/>
      <c r="V118" s="12">
        <f>IF(T$12=0,0,T118/T$12)</f>
        <v>0</v>
      </c>
      <c r="W118" s="4"/>
      <c r="X118" s="4">
        <f>+P118-T118</f>
        <v>0</v>
      </c>
      <c r="Y118" s="4"/>
      <c r="Z118" s="12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3</v>
      </c>
      <c r="C120" s="28"/>
      <c r="D120" s="21">
        <f>+D57-D59+D118</f>
        <v>16141.989999999991</v>
      </c>
      <c r="E120" s="14"/>
      <c r="F120" s="22">
        <f>IF(D$12=0,0,D120/D$12)</f>
        <v>0.21516720456279512</v>
      </c>
      <c r="G120" s="14"/>
      <c r="H120" s="21">
        <f>+H57-H59+H118</f>
        <v>-12419.449999999997</v>
      </c>
      <c r="I120" s="14"/>
      <c r="J120" s="22">
        <f>IF(H$12=0,0,H120/H$12)</f>
        <v>-0.38826773027140549</v>
      </c>
      <c r="K120" s="16"/>
      <c r="L120" s="21">
        <f>+D120-H120</f>
        <v>28561.439999999988</v>
      </c>
      <c r="M120" s="16"/>
      <c r="N120" s="22">
        <f>IF(H120=0,0,L120/H120)</f>
        <v>-2.2997346903445801</v>
      </c>
      <c r="O120" s="29"/>
      <c r="P120" s="21">
        <f>+P57-P59+P118</f>
        <v>-8236.5199999999022</v>
      </c>
      <c r="Q120" s="14"/>
      <c r="R120" s="22">
        <f>IF(P$12=0,0,P120/P$12)</f>
        <v>-2.2918450970800301E-2</v>
      </c>
      <c r="S120" s="14"/>
      <c r="T120" s="21">
        <f>+T57-T59+T118</f>
        <v>-34755.72000000003</v>
      </c>
      <c r="U120" s="14"/>
      <c r="V120" s="22">
        <f>IF(T$12=0,0,T120/T$12)</f>
        <v>-0.11816009421062222</v>
      </c>
      <c r="W120" s="16"/>
      <c r="X120" s="21">
        <f>+P120-T120</f>
        <v>26519.200000000128</v>
      </c>
      <c r="Y120" s="16"/>
      <c r="Z120" s="22">
        <f>IF(T120=0,0,X120/T120)</f>
        <v>-0.7630168501760316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1"/>
      <c r="B122" s="10" t="s">
        <v>13</v>
      </c>
      <c r="C122" s="10"/>
      <c r="D122" s="4">
        <v>6765.23</v>
      </c>
      <c r="E122" s="4"/>
      <c r="F122" s="12">
        <f>IF(D$12=0,0,D122/D$12)</f>
        <v>9.0178201530564647E-2</v>
      </c>
      <c r="G122" s="4"/>
      <c r="H122" s="4">
        <v>1638.58</v>
      </c>
      <c r="I122" s="4"/>
      <c r="J122" s="12">
        <f>IF(H$12=0,0,H122/H$12)</f>
        <v>5.1226724006950365E-2</v>
      </c>
      <c r="K122" s="4"/>
      <c r="L122" s="4">
        <f>+D122-H122</f>
        <v>5126.6499999999996</v>
      </c>
      <c r="M122" s="4"/>
      <c r="N122" s="12">
        <f>IF(H122=0,0,L122/H122)</f>
        <v>3.1287151069828751</v>
      </c>
      <c r="O122" s="10"/>
      <c r="P122" s="4">
        <v>37478.639999999999</v>
      </c>
      <c r="Q122" s="4"/>
      <c r="R122" s="12">
        <f>IF(P$12=0,0,P122/P$12)</f>
        <v>0.1042858359224873</v>
      </c>
      <c r="S122" s="4"/>
      <c r="T122" s="4">
        <v>29928.979999999996</v>
      </c>
      <c r="U122" s="4"/>
      <c r="V122" s="12">
        <f>IF(T$12=0,0,T122/T$12)</f>
        <v>0.10175047722872163</v>
      </c>
      <c r="W122" s="4"/>
      <c r="X122" s="4">
        <f>+P122-T122</f>
        <v>7549.6600000000035</v>
      </c>
      <c r="Y122" s="4"/>
      <c r="Z122" s="12">
        <f>IF(T122=0,0,X122/T122)</f>
        <v>0.25225249908282887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4</v>
      </c>
      <c r="C124" s="28"/>
      <c r="D124" s="34">
        <f>+D120-D122</f>
        <v>9376.7599999999911</v>
      </c>
      <c r="E124" s="14"/>
      <c r="F124" s="31">
        <f>IF(D$12=0,0,D124/D$12)</f>
        <v>0.12498900303223047</v>
      </c>
      <c r="G124" s="14"/>
      <c r="H124" s="34">
        <f>+H120-H122</f>
        <v>-14058.029999999997</v>
      </c>
      <c r="I124" s="14"/>
      <c r="J124" s="31">
        <f>IF(H$12=0,0,H124/H$12)</f>
        <v>-0.43949445427835587</v>
      </c>
      <c r="K124" s="16"/>
      <c r="L124" s="34">
        <f>D124-H124</f>
        <v>23434.789999999986</v>
      </c>
      <c r="M124" s="16"/>
      <c r="N124" s="31">
        <f>IF(H124=0,0,L124/H124)</f>
        <v>-1.6670038405096583</v>
      </c>
      <c r="O124" s="29"/>
      <c r="P124" s="34">
        <f>+P120-P122</f>
        <v>-45715.159999999902</v>
      </c>
      <c r="Q124" s="14"/>
      <c r="R124" s="31">
        <f>IF(P$12=0,0,P124/P$12)</f>
        <v>-0.12720428689328761</v>
      </c>
      <c r="S124" s="14"/>
      <c r="T124" s="34">
        <f>+T120-T122</f>
        <v>-64684.700000000026</v>
      </c>
      <c r="U124" s="14"/>
      <c r="V124" s="31">
        <f>IF(T$12=0,0,T124/T$12)</f>
        <v>-0.21991057143934387</v>
      </c>
      <c r="W124" s="16"/>
      <c r="X124" s="34">
        <f>P124-T124</f>
        <v>18969.540000000125</v>
      </c>
      <c r="Y124" s="16"/>
      <c r="Z124" s="31">
        <f>IF(T124=0,0,X124/T124)</f>
        <v>-0.29326162137259842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5</v>
      </c>
      <c r="C127" s="28"/>
      <c r="D127" s="30">
        <f>SUM(D124:D126)</f>
        <v>9376.7599999999911</v>
      </c>
      <c r="E127" s="14"/>
      <c r="F127" s="33">
        <f>IF(D$12=0,0,D127/D$12)</f>
        <v>0.12498900303223047</v>
      </c>
      <c r="G127" s="14"/>
      <c r="H127" s="30">
        <f>SUM(H124:H126)</f>
        <v>-14058.029999999997</v>
      </c>
      <c r="I127" s="14"/>
      <c r="J127" s="33">
        <f>IF(H$12=0,0,H127/H$12)</f>
        <v>-0.43949445427835587</v>
      </c>
      <c r="K127" s="16"/>
      <c r="L127" s="30">
        <f>+D127-H127</f>
        <v>23434.789999999986</v>
      </c>
      <c r="M127" s="16"/>
      <c r="N127" s="33">
        <f>IF(H127=0,0,L127/H127)</f>
        <v>-1.6670038405096583</v>
      </c>
      <c r="O127" s="29"/>
      <c r="P127" s="30">
        <f>SUM(P124:P126)</f>
        <v>-45715.159999999902</v>
      </c>
      <c r="Q127" s="14"/>
      <c r="R127" s="33">
        <f>IF(P$12=0,0,P127/P$12)</f>
        <v>-0.12720428689328761</v>
      </c>
      <c r="S127" s="14"/>
      <c r="T127" s="30">
        <f>SUM(T124:T126)</f>
        <v>-64684.700000000026</v>
      </c>
      <c r="U127" s="14"/>
      <c r="V127" s="33">
        <f>IF(T$12=0,0,T127/T$12)</f>
        <v>-0.21991057143934387</v>
      </c>
      <c r="W127" s="16"/>
      <c r="X127" s="30">
        <f>+P127-T127</f>
        <v>18969.540000000125</v>
      </c>
      <c r="Y127" s="16"/>
      <c r="Z127" s="33">
        <f>IF(T127=0,0,X127/T127)</f>
        <v>-0.29326162137259842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1">
        <v>43879.554048495367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5" t="s">
        <v>313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8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92505.27</v>
      </c>
      <c r="E12" s="4"/>
      <c r="F12" s="12"/>
      <c r="G12" s="4"/>
      <c r="H12" s="4">
        <f>SUM(OSRRefH13x_0)</f>
        <v>99426.38</v>
      </c>
      <c r="I12" s="4"/>
      <c r="J12" s="12"/>
      <c r="K12" s="4"/>
      <c r="L12" s="4">
        <f t="shared" ref="L12:L29" si="0">+D12-H12</f>
        <v>-6921.1100000000006</v>
      </c>
      <c r="M12" s="4"/>
      <c r="N12" s="12">
        <f t="shared" ref="N12:N29" si="1">IF(H12=0,0,L12/H12)</f>
        <v>-6.9610399171728871E-2</v>
      </c>
      <c r="O12" s="10"/>
      <c r="P12" s="4">
        <f>SUM(OSRRefP13x_0)</f>
        <v>400149.87000000005</v>
      </c>
      <c r="Q12" s="4"/>
      <c r="R12" s="12"/>
      <c r="S12" s="4"/>
      <c r="T12" s="4">
        <f>SUM(OSRRefT13x_0)</f>
        <v>420278.15999999992</v>
      </c>
      <c r="U12" s="4"/>
      <c r="V12" s="12"/>
      <c r="W12" s="4"/>
      <c r="X12" s="4">
        <f t="shared" ref="X12:X29" si="2">+P12-T12</f>
        <v>-20128.289999999863</v>
      </c>
      <c r="Y12" s="4"/>
      <c r="Z12" s="12">
        <f t="shared" ref="Z12:Z29" si="3">IF(T12=0,0,X12/T12)</f>
        <v>-4.7892781295130506E-2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--67657.65</f>
        <v>67657.649999999994</v>
      </c>
      <c r="E13" s="2"/>
      <c r="F13" s="19"/>
      <c r="G13" s="2"/>
      <c r="H13" s="2">
        <f>--70548.45</f>
        <v>70548.45</v>
      </c>
      <c r="I13" s="2"/>
      <c r="J13" s="19"/>
      <c r="K13" s="2"/>
      <c r="L13" s="2">
        <f t="shared" si="0"/>
        <v>-2890.8000000000029</v>
      </c>
      <c r="M13" s="2"/>
      <c r="N13" s="19">
        <f t="shared" si="1"/>
        <v>-4.0976095151629879E-2</v>
      </c>
      <c r="O13" s="11"/>
      <c r="P13" s="2">
        <f>--164722.53</f>
        <v>164722.53</v>
      </c>
      <c r="Q13" s="2"/>
      <c r="R13" s="19"/>
      <c r="S13" s="2"/>
      <c r="T13" s="2">
        <f>--181583.8</f>
        <v>181583.8</v>
      </c>
      <c r="U13" s="2"/>
      <c r="V13" s="19"/>
      <c r="W13" s="2"/>
      <c r="X13" s="2">
        <f t="shared" si="2"/>
        <v>-16861.26999999999</v>
      </c>
      <c r="Y13" s="2"/>
      <c r="Z13" s="19">
        <f t="shared" si="3"/>
        <v>-9.2856686554637538E-2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--5786.57</f>
        <v>5786.57</v>
      </c>
      <c r="E14" s="2"/>
      <c r="F14" s="19"/>
      <c r="G14" s="2"/>
      <c r="H14" s="2">
        <f>--8158.28</f>
        <v>8158.28</v>
      </c>
      <c r="I14" s="2"/>
      <c r="J14" s="19"/>
      <c r="K14" s="2"/>
      <c r="L14" s="2">
        <f t="shared" si="0"/>
        <v>-2371.71</v>
      </c>
      <c r="M14" s="2"/>
      <c r="N14" s="19">
        <f t="shared" si="1"/>
        <v>-0.29071201282623299</v>
      </c>
      <c r="O14" s="11"/>
      <c r="P14" s="2">
        <f>--53893.51</f>
        <v>53893.51</v>
      </c>
      <c r="Q14" s="2"/>
      <c r="R14" s="19"/>
      <c r="S14" s="2"/>
      <c r="T14" s="2">
        <f>--50253.55</f>
        <v>50253.55</v>
      </c>
      <c r="U14" s="2"/>
      <c r="V14" s="19"/>
      <c r="W14" s="2"/>
      <c r="X14" s="2">
        <f t="shared" si="2"/>
        <v>3639.9599999999991</v>
      </c>
      <c r="Y14" s="2"/>
      <c r="Z14" s="19">
        <f t="shared" si="3"/>
        <v>7.2431897846022802E-2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--85</f>
        <v>85</v>
      </c>
      <c r="E15" s="2"/>
      <c r="F15" s="19"/>
      <c r="G15" s="2"/>
      <c r="H15" s="2">
        <f>--30.55</f>
        <v>30.55</v>
      </c>
      <c r="I15" s="2"/>
      <c r="J15" s="19"/>
      <c r="K15" s="2"/>
      <c r="L15" s="2">
        <f t="shared" si="0"/>
        <v>54.45</v>
      </c>
      <c r="M15" s="2"/>
      <c r="N15" s="19">
        <f t="shared" si="1"/>
        <v>1.7823240589198037</v>
      </c>
      <c r="O15" s="11"/>
      <c r="P15" s="2">
        <f>--189.06</f>
        <v>189.06</v>
      </c>
      <c r="Q15" s="2"/>
      <c r="R15" s="19"/>
      <c r="S15" s="2"/>
      <c r="T15" s="2">
        <f>--539.05</f>
        <v>539.04999999999995</v>
      </c>
      <c r="U15" s="2"/>
      <c r="V15" s="19"/>
      <c r="W15" s="2"/>
      <c r="X15" s="2">
        <f t="shared" si="2"/>
        <v>-349.98999999999995</v>
      </c>
      <c r="Y15" s="2"/>
      <c r="Z15" s="19">
        <f t="shared" si="3"/>
        <v>-0.64927186717373153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--183.1</f>
        <v>183.1</v>
      </c>
      <c r="E16" s="2"/>
      <c r="F16" s="19"/>
      <c r="G16" s="2"/>
      <c r="H16" s="2">
        <f>--380.08</f>
        <v>380.08</v>
      </c>
      <c r="I16" s="2"/>
      <c r="J16" s="19"/>
      <c r="K16" s="2"/>
      <c r="L16" s="2">
        <f t="shared" si="0"/>
        <v>-196.98</v>
      </c>
      <c r="M16" s="2"/>
      <c r="N16" s="19">
        <f t="shared" si="1"/>
        <v>-0.51825931382866763</v>
      </c>
      <c r="O16" s="11"/>
      <c r="P16" s="2">
        <f>--1977.04</f>
        <v>1977.04</v>
      </c>
      <c r="Q16" s="2"/>
      <c r="R16" s="19"/>
      <c r="S16" s="2"/>
      <c r="T16" s="2">
        <f>--2272.36</f>
        <v>2272.36</v>
      </c>
      <c r="U16" s="2"/>
      <c r="V16" s="19"/>
      <c r="W16" s="2"/>
      <c r="X16" s="2">
        <f t="shared" si="2"/>
        <v>-295.32000000000016</v>
      </c>
      <c r="Y16" s="2"/>
      <c r="Z16" s="19">
        <f t="shared" si="3"/>
        <v>-0.12996180182717534</v>
      </c>
    </row>
    <row r="17" spans="1:26" s="24" customFormat="1" hidden="1" outlineLevel="1" x14ac:dyDescent="0.25">
      <c r="A17" s="44"/>
      <c r="B17" s="11" t="str">
        <f>CONCATENATE("          ", "4092", " - ", "TAXABLE SALES-GRAD MERCH")</f>
        <v xml:space="preserve">          4092 - TAXABLE SALES-GRAD MERCH</v>
      </c>
      <c r="C17" s="11"/>
      <c r="D17" s="2">
        <f>0</f>
        <v>0</v>
      </c>
      <c r="E17" s="2"/>
      <c r="F17" s="19"/>
      <c r="G17" s="2"/>
      <c r="H17" s="2">
        <f>--129.8</f>
        <v>129.80000000000001</v>
      </c>
      <c r="I17" s="2"/>
      <c r="J17" s="19"/>
      <c r="K17" s="2"/>
      <c r="L17" s="2">
        <f t="shared" si="0"/>
        <v>-129.80000000000001</v>
      </c>
      <c r="M17" s="2"/>
      <c r="N17" s="19">
        <f t="shared" si="1"/>
        <v>-1</v>
      </c>
      <c r="O17" s="11"/>
      <c r="P17" s="2">
        <f>--7699.32</f>
        <v>7699.32</v>
      </c>
      <c r="Q17" s="2"/>
      <c r="R17" s="19"/>
      <c r="S17" s="2"/>
      <c r="T17" s="2">
        <f>--7090.86</f>
        <v>7090.86</v>
      </c>
      <c r="U17" s="2"/>
      <c r="V17" s="19"/>
      <c r="W17" s="2"/>
      <c r="X17" s="2">
        <f t="shared" si="2"/>
        <v>608.46</v>
      </c>
      <c r="Y17" s="2"/>
      <c r="Z17" s="19">
        <f t="shared" si="3"/>
        <v>8.5809055601154177E-2</v>
      </c>
    </row>
    <row r="18" spans="1:26" s="24" customFormat="1" hidden="1" outlineLevel="1" x14ac:dyDescent="0.25">
      <c r="A18" s="44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--10.94</f>
        <v>10.94</v>
      </c>
      <c r="E18" s="2"/>
      <c r="F18" s="19"/>
      <c r="G18" s="2"/>
      <c r="H18" s="2">
        <f>--289.28</f>
        <v>289.27999999999997</v>
      </c>
      <c r="I18" s="2"/>
      <c r="J18" s="19"/>
      <c r="K18" s="2"/>
      <c r="L18" s="2">
        <f t="shared" si="0"/>
        <v>-278.33999999999997</v>
      </c>
      <c r="M18" s="2"/>
      <c r="N18" s="19">
        <f t="shared" si="1"/>
        <v>-0.96218196902654862</v>
      </c>
      <c r="O18" s="11"/>
      <c r="P18" s="2">
        <f>--279.56</f>
        <v>279.56</v>
      </c>
      <c r="Q18" s="2"/>
      <c r="R18" s="19"/>
      <c r="S18" s="2"/>
      <c r="T18" s="2">
        <f>--1606.22</f>
        <v>1606.22</v>
      </c>
      <c r="U18" s="2"/>
      <c r="V18" s="19"/>
      <c r="W18" s="2"/>
      <c r="X18" s="2">
        <f t="shared" si="2"/>
        <v>-1326.66</v>
      </c>
      <c r="Y18" s="2"/>
      <c r="Z18" s="19">
        <f t="shared" si="3"/>
        <v>-0.82595161310405796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--698.4</f>
        <v>698.4</v>
      </c>
      <c r="E19" s="2"/>
      <c r="F19" s="19"/>
      <c r="G19" s="2"/>
      <c r="H19" s="2">
        <f>--696.85</f>
        <v>696.85</v>
      </c>
      <c r="I19" s="2"/>
      <c r="J19" s="19"/>
      <c r="K19" s="2"/>
      <c r="L19" s="2">
        <f t="shared" si="0"/>
        <v>1.5499999999999545</v>
      </c>
      <c r="M19" s="2"/>
      <c r="N19" s="19">
        <f t="shared" si="1"/>
        <v>2.2242950419745348E-3</v>
      </c>
      <c r="O19" s="11"/>
      <c r="P19" s="2">
        <f>--851.15</f>
        <v>851.15</v>
      </c>
      <c r="Q19" s="2"/>
      <c r="R19" s="19"/>
      <c r="S19" s="2"/>
      <c r="T19" s="2">
        <f>--1884.3</f>
        <v>1884.3</v>
      </c>
      <c r="U19" s="2"/>
      <c r="V19" s="19"/>
      <c r="W19" s="2"/>
      <c r="X19" s="2">
        <f t="shared" si="2"/>
        <v>-1033.1500000000001</v>
      </c>
      <c r="Y19" s="2"/>
      <c r="Z19" s="19">
        <f t="shared" si="3"/>
        <v>-0.54829379610465434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--1402.33</f>
        <v>1402.33</v>
      </c>
      <c r="E20" s="2"/>
      <c r="F20" s="19"/>
      <c r="G20" s="2"/>
      <c r="H20" s="2">
        <f>--564.2</f>
        <v>564.20000000000005</v>
      </c>
      <c r="I20" s="2"/>
      <c r="J20" s="19"/>
      <c r="K20" s="2"/>
      <c r="L20" s="2">
        <f t="shared" si="0"/>
        <v>838.12999999999988</v>
      </c>
      <c r="M20" s="2"/>
      <c r="N20" s="19">
        <f t="shared" si="1"/>
        <v>1.4855193193902867</v>
      </c>
      <c r="O20" s="11"/>
      <c r="P20" s="2">
        <f>--8159.22</f>
        <v>8159.22</v>
      </c>
      <c r="Q20" s="2"/>
      <c r="R20" s="19"/>
      <c r="S20" s="2"/>
      <c r="T20" s="2">
        <f>--8016.84</f>
        <v>8016.84</v>
      </c>
      <c r="U20" s="2"/>
      <c r="V20" s="19"/>
      <c r="W20" s="2"/>
      <c r="X20" s="2">
        <f t="shared" si="2"/>
        <v>142.38000000000011</v>
      </c>
      <c r="Y20" s="2"/>
      <c r="Z20" s="19">
        <f t="shared" si="3"/>
        <v>1.7760114958013395E-2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--17086.55</f>
        <v>17086.55</v>
      </c>
      <c r="E21" s="2"/>
      <c r="F21" s="19"/>
      <c r="G21" s="2"/>
      <c r="H21" s="2">
        <f>--18820.04</f>
        <v>18820.04</v>
      </c>
      <c r="I21" s="2"/>
      <c r="J21" s="19"/>
      <c r="K21" s="2"/>
      <c r="L21" s="2">
        <f t="shared" si="0"/>
        <v>-1733.4900000000016</v>
      </c>
      <c r="M21" s="2"/>
      <c r="N21" s="19">
        <f t="shared" si="1"/>
        <v>-9.2108730905991781E-2</v>
      </c>
      <c r="O21" s="11"/>
      <c r="P21" s="2">
        <f>--163554.5</f>
        <v>163554.5</v>
      </c>
      <c r="Q21" s="2"/>
      <c r="R21" s="19"/>
      <c r="S21" s="2"/>
      <c r="T21" s="2">
        <f>--168304.04</f>
        <v>168304.04</v>
      </c>
      <c r="U21" s="2"/>
      <c r="V21" s="19"/>
      <c r="W21" s="2"/>
      <c r="X21" s="2">
        <f t="shared" si="2"/>
        <v>-4749.5400000000081</v>
      </c>
      <c r="Y21" s="2"/>
      <c r="Z21" s="19">
        <f t="shared" si="3"/>
        <v>-2.8219999947713719E-2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--11.5</f>
        <v>11.5</v>
      </c>
      <c r="E22" s="2"/>
      <c r="F22" s="19"/>
      <c r="G22" s="2"/>
      <c r="H22" s="2">
        <f>--31</f>
        <v>31</v>
      </c>
      <c r="I22" s="2"/>
      <c r="J22" s="19"/>
      <c r="K22" s="2"/>
      <c r="L22" s="2">
        <f t="shared" si="0"/>
        <v>-19.5</v>
      </c>
      <c r="M22" s="2"/>
      <c r="N22" s="19">
        <f t="shared" si="1"/>
        <v>-0.62903225806451613</v>
      </c>
      <c r="O22" s="11"/>
      <c r="P22" s="2">
        <f>--318.9</f>
        <v>318.89999999999998</v>
      </c>
      <c r="Q22" s="2"/>
      <c r="R22" s="19"/>
      <c r="S22" s="2"/>
      <c r="T22" s="2">
        <f>--439.5</f>
        <v>439.5</v>
      </c>
      <c r="U22" s="2"/>
      <c r="V22" s="19"/>
      <c r="W22" s="2"/>
      <c r="X22" s="2">
        <f t="shared" si="2"/>
        <v>-120.60000000000002</v>
      </c>
      <c r="Y22" s="2"/>
      <c r="Z22" s="19">
        <f t="shared" si="3"/>
        <v>-0.27440273037542667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-323.35</f>
        <v>-323.35000000000002</v>
      </c>
      <c r="E23" s="2"/>
      <c r="F23" s="19"/>
      <c r="G23" s="2"/>
      <c r="H23" s="2">
        <f>-222.15</f>
        <v>-222.15</v>
      </c>
      <c r="I23" s="2"/>
      <c r="J23" s="19"/>
      <c r="K23" s="2"/>
      <c r="L23" s="2">
        <f t="shared" si="0"/>
        <v>-101.20000000000002</v>
      </c>
      <c r="M23" s="2"/>
      <c r="N23" s="19">
        <f t="shared" si="1"/>
        <v>0.45554805311726315</v>
      </c>
      <c r="O23" s="11"/>
      <c r="P23" s="2">
        <f>-958.1</f>
        <v>-958.1</v>
      </c>
      <c r="Q23" s="2"/>
      <c r="R23" s="19"/>
      <c r="S23" s="2"/>
      <c r="T23" s="2">
        <f>-1029.25</f>
        <v>-1029.25</v>
      </c>
      <c r="U23" s="2"/>
      <c r="V23" s="19"/>
      <c r="W23" s="2"/>
      <c r="X23" s="2">
        <f t="shared" si="2"/>
        <v>71.149999999999977</v>
      </c>
      <c r="Y23" s="2"/>
      <c r="Z23" s="19">
        <f t="shared" si="3"/>
        <v>-6.9128005829487471E-2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-54</f>
        <v>-54</v>
      </c>
      <c r="E24" s="2"/>
      <c r="F24" s="19"/>
      <c r="G24" s="2"/>
      <c r="H24" s="2">
        <f t="shared" ref="H24:H29" si="4">0</f>
        <v>0</v>
      </c>
      <c r="I24" s="2"/>
      <c r="J24" s="19"/>
      <c r="K24" s="2"/>
      <c r="L24" s="2">
        <f t="shared" si="0"/>
        <v>-54</v>
      </c>
      <c r="M24" s="2"/>
      <c r="N24" s="19">
        <f t="shared" si="1"/>
        <v>0</v>
      </c>
      <c r="O24" s="11"/>
      <c r="P24" s="2">
        <f>-70.2</f>
        <v>-70.2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-70.2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 t="shared" ref="D25:D27" si="5">0</f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-419.05</f>
        <v>-419.05</v>
      </c>
      <c r="Q25" s="2"/>
      <c r="R25" s="19"/>
      <c r="S25" s="2"/>
      <c r="T25" s="2">
        <f>-548.24</f>
        <v>-548.24</v>
      </c>
      <c r="U25" s="2"/>
      <c r="V25" s="19"/>
      <c r="W25" s="2"/>
      <c r="X25" s="2">
        <f t="shared" si="2"/>
        <v>129.19</v>
      </c>
      <c r="Y25" s="2"/>
      <c r="Z25" s="19">
        <f t="shared" si="3"/>
        <v>-0.23564497300452356</v>
      </c>
    </row>
    <row r="26" spans="1:26" s="24" customFormat="1" hidden="1" outlineLevel="1" x14ac:dyDescent="0.25">
      <c r="A26" s="44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si="5"/>
        <v>0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27" si="6">0</f>
        <v>0</v>
      </c>
      <c r="Q26" s="2"/>
      <c r="R26" s="19"/>
      <c r="S26" s="2"/>
      <c r="T26" s="2">
        <f>-126.72</f>
        <v>-126.72</v>
      </c>
      <c r="U26" s="2"/>
      <c r="V26" s="19"/>
      <c r="W26" s="2"/>
      <c r="X26" s="2">
        <f t="shared" si="2"/>
        <v>126.72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5"/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"4342", " - ", "SALES RETURN NON TAXABLE-EVERY")</f>
        <v xml:space="preserve">          4342 - SALES RETURN NON TAXABLE-EVERY</v>
      </c>
      <c r="C28" s="11"/>
      <c r="D28" s="2">
        <f>-39.42</f>
        <v>-39.42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-39.42</v>
      </c>
      <c r="M28" s="2"/>
      <c r="N28" s="19">
        <f t="shared" si="1"/>
        <v>0</v>
      </c>
      <c r="O28" s="11"/>
      <c r="P28" s="2">
        <f>-39.42</f>
        <v>-39.42</v>
      </c>
      <c r="Q28" s="2"/>
      <c r="R28" s="19"/>
      <c r="S28" s="2"/>
      <c r="T28" s="2">
        <f t="shared" ref="T28:T29" si="7">0</f>
        <v>0</v>
      </c>
      <c r="U28" s="2"/>
      <c r="V28" s="19"/>
      <c r="W28" s="2"/>
      <c r="X28" s="2">
        <f t="shared" si="2"/>
        <v>-39.42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"4346", " - ", "SALES RETURN NON TAXABLE-COIN-")</f>
        <v xml:space="preserve">          4346 - SALES RETURN NON TAXABLE-COIN-</v>
      </c>
      <c r="C29" s="11"/>
      <c r="D29" s="2">
        <f>0</f>
        <v>0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-8.15</f>
        <v>-8.15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-8.15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9" t="s">
        <v>8</v>
      </c>
      <c r="C31" s="10"/>
      <c r="D31" s="4">
        <f>SUM(OSRRefD16x_0)</f>
        <v>0.71999999999999886</v>
      </c>
      <c r="E31" s="4"/>
      <c r="F31" s="12">
        <f t="shared" ref="F31:F36" si="8">IF(D$12=0,0,D31/D$12)</f>
        <v>7.7833403437447283E-6</v>
      </c>
      <c r="G31" s="4"/>
      <c r="H31" s="4">
        <f>SUM(OSRRefH16x_0)</f>
        <v>56.67999999999995</v>
      </c>
      <c r="I31" s="4"/>
      <c r="J31" s="12">
        <f t="shared" ref="J31:J36" si="9">IF(H$12=0,0,H31/H$12)</f>
        <v>5.7007003573900561E-4</v>
      </c>
      <c r="K31" s="4"/>
      <c r="L31" s="4">
        <f t="shared" ref="L31:L36" si="10">+D31-H31</f>
        <v>-55.959999999999951</v>
      </c>
      <c r="M31" s="4"/>
      <c r="N31" s="12">
        <f t="shared" ref="N31:N36" si="11">IF(H31=0,0,L31/H31)</f>
        <v>-0.98729710656316161</v>
      </c>
      <c r="O31" s="10"/>
      <c r="P31" s="4">
        <f>SUM(OSRRefP16x_0)</f>
        <v>3803.84</v>
      </c>
      <c r="Q31" s="4"/>
      <c r="R31" s="12">
        <f t="shared" ref="R31:R36" si="12">IF(P$12=0,0,P31/P$12)</f>
        <v>9.5060383250905461E-3</v>
      </c>
      <c r="S31" s="4"/>
      <c r="T31" s="4">
        <f>SUM(OSRRefT16x_0)</f>
        <v>2680.34</v>
      </c>
      <c r="U31" s="4"/>
      <c r="V31" s="12">
        <f t="shared" ref="V31:V36" si="13">IF(T$12=0,0,T31/T$12)</f>
        <v>6.3775381523512916E-3</v>
      </c>
      <c r="W31" s="4"/>
      <c r="X31" s="4">
        <f t="shared" ref="X31:X36" si="14">+P31-T31</f>
        <v>1123.5</v>
      </c>
      <c r="Y31" s="4"/>
      <c r="Z31" s="12">
        <f t="shared" ref="Z31:Z36" si="15">IF(T31=0,0,X31/T31)</f>
        <v>0.41916324048441611</v>
      </c>
    </row>
    <row r="32" spans="1:26" s="24" customFormat="1" hidden="1" outlineLevel="1" x14ac:dyDescent="0.25">
      <c r="A32" s="44"/>
      <c r="B32" s="11" t="str">
        <f>CONCATENATE("          ", "5092", " - ", "PURCHASES @ COST-GRAD MERCH")</f>
        <v xml:space="preserve">          5092 - PURCHASES @ COST-GRAD MERCH</v>
      </c>
      <c r="C32" s="11"/>
      <c r="D32" s="2">
        <v>122.72</v>
      </c>
      <c r="E32" s="2"/>
      <c r="F32" s="19">
        <f t="shared" si="8"/>
        <v>1.3266271208116035E-3</v>
      </c>
      <c r="G32" s="2"/>
      <c r="H32" s="2">
        <v>-820</v>
      </c>
      <c r="I32" s="2"/>
      <c r="J32" s="19">
        <f t="shared" si="9"/>
        <v>-8.2473082093504763E-3</v>
      </c>
      <c r="K32" s="2"/>
      <c r="L32" s="2">
        <f t="shared" si="10"/>
        <v>942.72</v>
      </c>
      <c r="M32" s="2"/>
      <c r="N32" s="19">
        <f t="shared" si="11"/>
        <v>-1.149658536585366</v>
      </c>
      <c r="O32" s="11"/>
      <c r="P32" s="2">
        <v>2107.21</v>
      </c>
      <c r="Q32" s="2"/>
      <c r="R32" s="19">
        <f t="shared" si="12"/>
        <v>5.2660519419886346E-3</v>
      </c>
      <c r="S32" s="2"/>
      <c r="T32" s="2">
        <v>-2690.04</v>
      </c>
      <c r="U32" s="2"/>
      <c r="V32" s="19">
        <f t="shared" si="13"/>
        <v>-6.4006181049236542E-3</v>
      </c>
      <c r="W32" s="2"/>
      <c r="X32" s="2">
        <f t="shared" si="14"/>
        <v>4797.25</v>
      </c>
      <c r="Y32" s="2"/>
      <c r="Z32" s="19">
        <f t="shared" si="15"/>
        <v>-1.7833377942335431</v>
      </c>
    </row>
    <row r="33" spans="1:26" s="24" customFormat="1" hidden="1" outlineLevel="1" x14ac:dyDescent="0.25">
      <c r="A33" s="44"/>
      <c r="B33" s="11" t="str">
        <f>CONCATENATE("          ", "5095", " - ", "PURCHASES @ COST-CUSTOMER SERV")</f>
        <v xml:space="preserve">          5095 - PURCHASES @ COST-CUSTOMER SERV</v>
      </c>
      <c r="C33" s="11"/>
      <c r="D33" s="2"/>
      <c r="E33" s="2"/>
      <c r="F33" s="19">
        <f t="shared" si="8"/>
        <v>0</v>
      </c>
      <c r="G33" s="2"/>
      <c r="H33" s="2">
        <v>-4.32</v>
      </c>
      <c r="I33" s="2"/>
      <c r="J33" s="19">
        <f t="shared" si="9"/>
        <v>-4.3449233493163488E-5</v>
      </c>
      <c r="K33" s="2"/>
      <c r="L33" s="2">
        <f t="shared" si="10"/>
        <v>4.32</v>
      </c>
      <c r="M33" s="2"/>
      <c r="N33" s="19">
        <f t="shared" si="11"/>
        <v>-1</v>
      </c>
      <c r="O33" s="11"/>
      <c r="P33" s="2">
        <v>11.85</v>
      </c>
      <c r="Q33" s="2"/>
      <c r="R33" s="19">
        <f t="shared" si="12"/>
        <v>2.9613904410365042E-5</v>
      </c>
      <c r="S33" s="2"/>
      <c r="T33" s="2">
        <v>-61.92</v>
      </c>
      <c r="U33" s="2"/>
      <c r="V33" s="19">
        <f t="shared" si="13"/>
        <v>-1.4733099621450711E-4</v>
      </c>
      <c r="W33" s="2"/>
      <c r="X33" s="2">
        <f t="shared" si="14"/>
        <v>73.77</v>
      </c>
      <c r="Y33" s="2"/>
      <c r="Z33" s="19">
        <f t="shared" si="15"/>
        <v>-1.1913759689922481</v>
      </c>
    </row>
    <row r="34" spans="1:26" s="24" customFormat="1" hidden="1" outlineLevel="1" x14ac:dyDescent="0.25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-123</v>
      </c>
      <c r="E34" s="2"/>
      <c r="F34" s="19">
        <f t="shared" si="8"/>
        <v>-1.3296539753897263E-3</v>
      </c>
      <c r="G34" s="2"/>
      <c r="H34" s="2">
        <v>824</v>
      </c>
      <c r="I34" s="2"/>
      <c r="J34" s="19">
        <f t="shared" si="9"/>
        <v>8.2875389811034057E-3</v>
      </c>
      <c r="K34" s="2"/>
      <c r="L34" s="2">
        <f t="shared" si="10"/>
        <v>-947</v>
      </c>
      <c r="M34" s="2"/>
      <c r="N34" s="19">
        <f t="shared" si="11"/>
        <v>-1.1492718446601942</v>
      </c>
      <c r="O34" s="11"/>
      <c r="P34" s="2">
        <v>-2226</v>
      </c>
      <c r="Q34" s="2"/>
      <c r="R34" s="19">
        <f t="shared" si="12"/>
        <v>-5.5629157145546488E-3</v>
      </c>
      <c r="S34" s="2"/>
      <c r="T34" s="2">
        <v>2639</v>
      </c>
      <c r="U34" s="2"/>
      <c r="V34" s="19">
        <f t="shared" si="13"/>
        <v>6.2791747256150561E-3</v>
      </c>
      <c r="W34" s="2"/>
      <c r="X34" s="2">
        <f t="shared" si="14"/>
        <v>-4865</v>
      </c>
      <c r="Y34" s="2"/>
      <c r="Z34" s="19">
        <f t="shared" si="15"/>
        <v>-1.8435013262599469</v>
      </c>
    </row>
    <row r="35" spans="1:26" s="24" customFormat="1" hidden="1" outlineLevel="1" x14ac:dyDescent="0.25">
      <c r="A35" s="44"/>
      <c r="B35" s="11" t="str">
        <f>CONCATENATE("          ", "5300", " - ", "COG$ OFFSET")</f>
        <v xml:space="preserve">          5300 - COG$ OFFSET</v>
      </c>
      <c r="C35" s="11"/>
      <c r="D35" s="2">
        <v>1</v>
      </c>
      <c r="E35" s="2"/>
      <c r="F35" s="19">
        <f t="shared" si="8"/>
        <v>1.0810194921867694E-5</v>
      </c>
      <c r="G35" s="2"/>
      <c r="H35" s="2">
        <v>57</v>
      </c>
      <c r="I35" s="2"/>
      <c r="J35" s="19">
        <f t="shared" si="9"/>
        <v>5.7328849747924034E-4</v>
      </c>
      <c r="K35" s="2"/>
      <c r="L35" s="2">
        <f t="shared" si="10"/>
        <v>-56</v>
      </c>
      <c r="M35" s="2"/>
      <c r="N35" s="19">
        <f t="shared" si="11"/>
        <v>-0.98245614035087714</v>
      </c>
      <c r="O35" s="11"/>
      <c r="P35" s="2">
        <v>3805</v>
      </c>
      <c r="Q35" s="2"/>
      <c r="R35" s="19">
        <f t="shared" si="12"/>
        <v>9.5089372389399983E-3</v>
      </c>
      <c r="S35" s="2"/>
      <c r="T35" s="2">
        <v>2679</v>
      </c>
      <c r="U35" s="2"/>
      <c r="V35" s="19">
        <f t="shared" si="13"/>
        <v>6.37434978776913E-3</v>
      </c>
      <c r="W35" s="2"/>
      <c r="X35" s="2">
        <f t="shared" si="14"/>
        <v>1126</v>
      </c>
      <c r="Y35" s="2"/>
      <c r="Z35" s="19">
        <f t="shared" si="15"/>
        <v>0.42030608435983574</v>
      </c>
    </row>
    <row r="36" spans="1:26" s="24" customFormat="1" hidden="1" outlineLevel="1" x14ac:dyDescent="0.25">
      <c r="A36" s="44"/>
      <c r="B36" s="11" t="str">
        <f>CONCATENATE("          ", "5592", " - ", "FREIGHT-IN-GRAD MERCH")</f>
        <v xml:space="preserve">          5592 - FREIGHT-IN-GRAD MERCH</v>
      </c>
      <c r="C36" s="11"/>
      <c r="D36" s="2"/>
      <c r="E36" s="2"/>
      <c r="F36" s="19">
        <f t="shared" si="8"/>
        <v>0</v>
      </c>
      <c r="G36" s="2"/>
      <c r="H36" s="2"/>
      <c r="I36" s="2"/>
      <c r="J36" s="19">
        <f t="shared" si="9"/>
        <v>0</v>
      </c>
      <c r="K36" s="2"/>
      <c r="L36" s="2">
        <f t="shared" si="10"/>
        <v>0</v>
      </c>
      <c r="M36" s="2"/>
      <c r="N36" s="19">
        <f t="shared" si="11"/>
        <v>0</v>
      </c>
      <c r="O36" s="11"/>
      <c r="P36" s="2">
        <v>105.78</v>
      </c>
      <c r="Q36" s="2"/>
      <c r="R36" s="19">
        <f t="shared" si="12"/>
        <v>2.6435095430619532E-4</v>
      </c>
      <c r="S36" s="2"/>
      <c r="T36" s="2">
        <v>114.3</v>
      </c>
      <c r="U36" s="2"/>
      <c r="V36" s="19">
        <f t="shared" si="13"/>
        <v>2.7196274010526749E-4</v>
      </c>
      <c r="W36" s="2"/>
      <c r="X36" s="2">
        <f t="shared" si="14"/>
        <v>-8.519999999999996</v>
      </c>
      <c r="Y36" s="2"/>
      <c r="Z36" s="19">
        <f t="shared" si="15"/>
        <v>-7.4540682414698134E-2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8" t="s">
        <v>6</v>
      </c>
      <c r="C38" s="28"/>
      <c r="D38" s="21">
        <f>D12-D31</f>
        <v>92504.55</v>
      </c>
      <c r="E38" s="14"/>
      <c r="F38" s="22">
        <f>IF(D$12=0,0,D38/D$12)</f>
        <v>0.99999221665965621</v>
      </c>
      <c r="G38" s="14"/>
      <c r="H38" s="21">
        <f>H12-H31</f>
        <v>99369.700000000012</v>
      </c>
      <c r="I38" s="14"/>
      <c r="J38" s="22">
        <f>IF(H$12=0,0,H38/H$12)</f>
        <v>0.99942992996426105</v>
      </c>
      <c r="K38" s="16"/>
      <c r="L38" s="21">
        <f>+D38-H38</f>
        <v>-6865.1500000000087</v>
      </c>
      <c r="M38" s="16"/>
      <c r="N38" s="22">
        <f>IF(H38=0,0,L38/H38)</f>
        <v>-6.9086955077855811E-2</v>
      </c>
      <c r="O38" s="29"/>
      <c r="P38" s="21">
        <f>P12-P31</f>
        <v>396346.03</v>
      </c>
      <c r="Q38" s="14"/>
      <c r="R38" s="22">
        <f>IF(P$12=0,0,P38/P$12)</f>
        <v>0.99049396167490944</v>
      </c>
      <c r="S38" s="14"/>
      <c r="T38" s="21">
        <f>T12-T31</f>
        <v>417597.81999999989</v>
      </c>
      <c r="U38" s="14"/>
      <c r="V38" s="22">
        <f>IF(T$12=0,0,T38/T$12)</f>
        <v>0.99362246184764869</v>
      </c>
      <c r="W38" s="16"/>
      <c r="X38" s="21">
        <f>+P38-T38</f>
        <v>-21251.789999999863</v>
      </c>
      <c r="Y38" s="16"/>
      <c r="Z38" s="22">
        <f>IF(T38=0,0,X38/T38)</f>
        <v>-5.0890567388498023E-2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9" t="s">
        <v>9</v>
      </c>
      <c r="C40" s="10"/>
      <c r="D40" s="20">
        <f>SUM(OSRRefD22x_0)</f>
        <v>42449.7</v>
      </c>
      <c r="E40" s="20"/>
      <c r="F40" s="32">
        <f t="shared" ref="F40:F49" si="16">IF(D$12=0,0,D40/D$12)</f>
        <v>0.45888953137480704</v>
      </c>
      <c r="G40" s="20"/>
      <c r="H40" s="20">
        <f>SUM(OSRRefH22x_0)</f>
        <v>44158.68</v>
      </c>
      <c r="I40" s="20"/>
      <c r="J40" s="32">
        <f t="shared" ref="J40:J49" si="17">IF(H$12=0,0,H40/H$12)</f>
        <v>0.44413444399765933</v>
      </c>
      <c r="K40" s="4"/>
      <c r="L40" s="20">
        <f t="shared" ref="L40:L49" si="18">+D40-H40</f>
        <v>-1708.9800000000032</v>
      </c>
      <c r="M40" s="4"/>
      <c r="N40" s="32">
        <f t="shared" ref="N40:N49" si="19">IF(H40=0,0,L40/H40)</f>
        <v>-3.8700885080804118E-2</v>
      </c>
      <c r="O40" s="10"/>
      <c r="P40" s="20">
        <f>SUM(OSRRefP22x_0)</f>
        <v>317412.26000000007</v>
      </c>
      <c r="Q40" s="20"/>
      <c r="R40" s="32">
        <f t="shared" ref="R40:R49" si="20">IF(P$12=0,0,P40/P$12)</f>
        <v>0.79323344525889772</v>
      </c>
      <c r="S40" s="20"/>
      <c r="T40" s="20">
        <f>SUM(OSRRefT22x_0)</f>
        <v>337651.01000000007</v>
      </c>
      <c r="U40" s="20"/>
      <c r="V40" s="32">
        <f t="shared" ref="V40:V49" si="21">IF(T$12=0,0,T40/T$12)</f>
        <v>0.80339889657839969</v>
      </c>
      <c r="W40" s="4"/>
      <c r="X40" s="20">
        <f t="shared" ref="X40:X49" si="22">+P40-T40</f>
        <v>-20238.75</v>
      </c>
      <c r="Y40" s="4"/>
      <c r="Z40" s="32">
        <f t="shared" ref="Z40:Z49" si="23">IF(T40=0,0,X40/T40)</f>
        <v>-5.9939847358963905E-2</v>
      </c>
    </row>
    <row r="41" spans="1:26" s="26" customFormat="1" outlineLevel="1" collapsed="1" x14ac:dyDescent="0.25">
      <c r="A41" s="27"/>
      <c r="B41" s="13" t="str">
        <f>CONCATENATE("     ","*Benefits                                         ")</f>
        <v xml:space="preserve">     *Benefits                                         </v>
      </c>
      <c r="C41" s="13"/>
      <c r="D41" s="1">
        <f>SUM(OSRRefD22_0x_0)</f>
        <v>8275.4700000000012</v>
      </c>
      <c r="E41" s="1"/>
      <c r="F41" s="5">
        <f t="shared" si="16"/>
        <v>8.9459443770068453E-2</v>
      </c>
      <c r="G41" s="1"/>
      <c r="H41" s="1">
        <f>SUM(OSRRefH22_0x_0)</f>
        <v>7703.27</v>
      </c>
      <c r="I41" s="1"/>
      <c r="J41" s="5">
        <f t="shared" si="17"/>
        <v>7.7477124280296641E-2</v>
      </c>
      <c r="K41" s="1"/>
      <c r="L41" s="1">
        <f t="shared" si="18"/>
        <v>572.20000000000073</v>
      </c>
      <c r="M41" s="1"/>
      <c r="N41" s="5">
        <f t="shared" si="19"/>
        <v>7.4280143367686804E-2</v>
      </c>
      <c r="O41" s="13"/>
      <c r="P41" s="1">
        <f>SUM(OSRRefP22_0x_0)</f>
        <v>56378.12000000001</v>
      </c>
      <c r="Q41" s="1"/>
      <c r="R41" s="5">
        <f t="shared" si="20"/>
        <v>0.1408925110984042</v>
      </c>
      <c r="S41" s="1"/>
      <c r="T41" s="1">
        <f>SUM(OSRRefT22_0x_0)</f>
        <v>51751.54</v>
      </c>
      <c r="U41" s="1"/>
      <c r="V41" s="5">
        <f t="shared" si="21"/>
        <v>0.12313640090172663</v>
      </c>
      <c r="W41" s="1"/>
      <c r="X41" s="1">
        <f t="shared" si="22"/>
        <v>4626.580000000009</v>
      </c>
      <c r="Y41" s="1"/>
      <c r="Z41" s="5">
        <f t="shared" si="23"/>
        <v>8.9399851675911648E-2</v>
      </c>
    </row>
    <row r="42" spans="1:26" s="24" customFormat="1" hidden="1" outlineLevel="2" x14ac:dyDescent="0.25">
      <c r="A42" s="25"/>
      <c r="B42" s="11" t="str">
        <f>CONCATENATE("          ", "6111", " - ", "F.I.C.A.")</f>
        <v xml:space="preserve">          6111 - F.I.C.A.</v>
      </c>
      <c r="C42" s="11"/>
      <c r="D42" s="6">
        <v>1152.92</v>
      </c>
      <c r="E42" s="2"/>
      <c r="F42" s="7">
        <f t="shared" si="16"/>
        <v>1.2463289929319703E-2</v>
      </c>
      <c r="G42" s="2"/>
      <c r="H42" s="6">
        <v>1189.5999999999999</v>
      </c>
      <c r="I42" s="2"/>
      <c r="J42" s="7">
        <f t="shared" si="17"/>
        <v>1.1964631519321128E-2</v>
      </c>
      <c r="K42" s="2"/>
      <c r="L42" s="6">
        <f t="shared" si="18"/>
        <v>-36.679999999999836</v>
      </c>
      <c r="M42" s="2"/>
      <c r="N42" s="7">
        <f t="shared" si="19"/>
        <v>-3.0833893745796773E-2</v>
      </c>
      <c r="O42" s="11"/>
      <c r="P42" s="6">
        <v>9206.74</v>
      </c>
      <c r="Q42" s="2"/>
      <c r="R42" s="7">
        <f t="shared" si="20"/>
        <v>2.3008229391652681E-2</v>
      </c>
      <c r="S42" s="2"/>
      <c r="T42" s="6">
        <v>8749.59</v>
      </c>
      <c r="U42" s="2"/>
      <c r="V42" s="7">
        <f t="shared" si="21"/>
        <v>2.0818569301816688E-2</v>
      </c>
      <c r="W42" s="2"/>
      <c r="X42" s="6">
        <f t="shared" si="22"/>
        <v>457.14999999999964</v>
      </c>
      <c r="Y42" s="2"/>
      <c r="Z42" s="7">
        <f t="shared" si="23"/>
        <v>5.2248162485327841E-2</v>
      </c>
    </row>
    <row r="43" spans="1:26" s="24" customFormat="1" hidden="1" outlineLevel="2" x14ac:dyDescent="0.25">
      <c r="A43" s="25"/>
      <c r="B43" s="11" t="str">
        <f>CONCATENATE("          ", "6112", " - ", "COMPENSATION INSURANCE")</f>
        <v xml:space="preserve">          6112 - COMPENSATION INSURANCE</v>
      </c>
      <c r="C43" s="11"/>
      <c r="D43" s="6">
        <v>237.16</v>
      </c>
      <c r="E43" s="2"/>
      <c r="F43" s="7">
        <f t="shared" si="16"/>
        <v>2.5637458276701421E-3</v>
      </c>
      <c r="G43" s="2"/>
      <c r="H43" s="6">
        <v>147.56</v>
      </c>
      <c r="I43" s="2"/>
      <c r="J43" s="7">
        <f t="shared" si="17"/>
        <v>1.4841131699655564E-3</v>
      </c>
      <c r="K43" s="2"/>
      <c r="L43" s="6">
        <f t="shared" si="18"/>
        <v>89.6</v>
      </c>
      <c r="M43" s="2"/>
      <c r="N43" s="7">
        <f t="shared" si="19"/>
        <v>0.60721062618595822</v>
      </c>
      <c r="O43" s="11"/>
      <c r="P43" s="6">
        <v>1452.57</v>
      </c>
      <c r="Q43" s="2"/>
      <c r="R43" s="7">
        <f t="shared" si="20"/>
        <v>3.6300649054315567E-3</v>
      </c>
      <c r="S43" s="2"/>
      <c r="T43" s="6">
        <v>1540.09</v>
      </c>
      <c r="U43" s="2"/>
      <c r="V43" s="7">
        <f t="shared" si="21"/>
        <v>3.6644540368217095E-3</v>
      </c>
      <c r="W43" s="2"/>
      <c r="X43" s="6">
        <f t="shared" si="22"/>
        <v>-87.519999999999982</v>
      </c>
      <c r="Y43" s="2"/>
      <c r="Z43" s="7">
        <f t="shared" si="23"/>
        <v>-5.6827847723184999E-2</v>
      </c>
    </row>
    <row r="44" spans="1:26" s="24" customFormat="1" hidden="1" outlineLevel="2" x14ac:dyDescent="0.25">
      <c r="A44" s="25"/>
      <c r="B44" s="11" t="str">
        <f>CONCATENATE("          ", "6113", " - ", "GROUP INSURANCE")</f>
        <v xml:space="preserve">          6113 - GROUP INSURANCE</v>
      </c>
      <c r="C44" s="11"/>
      <c r="D44" s="6">
        <v>3218.03</v>
      </c>
      <c r="E44" s="2"/>
      <c r="F44" s="7">
        <f t="shared" si="16"/>
        <v>3.4787531564417898E-2</v>
      </c>
      <c r="G44" s="2"/>
      <c r="H44" s="6">
        <v>2656.29</v>
      </c>
      <c r="I44" s="2"/>
      <c r="J44" s="7">
        <f t="shared" si="17"/>
        <v>2.6716149174897043E-2</v>
      </c>
      <c r="K44" s="2"/>
      <c r="L44" s="6">
        <f t="shared" si="18"/>
        <v>561.74000000000024</v>
      </c>
      <c r="M44" s="2"/>
      <c r="N44" s="7">
        <f t="shared" si="19"/>
        <v>0.21147540366450962</v>
      </c>
      <c r="O44" s="11"/>
      <c r="P44" s="6">
        <v>20906.73</v>
      </c>
      <c r="Q44" s="2"/>
      <c r="R44" s="7">
        <f t="shared" si="20"/>
        <v>5.2247249261882796E-2</v>
      </c>
      <c r="S44" s="2"/>
      <c r="T44" s="6">
        <v>17628.289999999997</v>
      </c>
      <c r="U44" s="2"/>
      <c r="V44" s="7">
        <f t="shared" si="21"/>
        <v>4.1944339910501179E-2</v>
      </c>
      <c r="W44" s="2"/>
      <c r="X44" s="6">
        <f t="shared" si="22"/>
        <v>3278.4400000000023</v>
      </c>
      <c r="Y44" s="2"/>
      <c r="Z44" s="7">
        <f t="shared" si="23"/>
        <v>0.18597606460978364</v>
      </c>
    </row>
    <row r="45" spans="1:26" s="24" customFormat="1" hidden="1" outlineLevel="2" x14ac:dyDescent="0.25">
      <c r="A45" s="25"/>
      <c r="B45" s="11" t="str">
        <f>CONCATENATE("          ", "6114", " - ", "STATE UNEMPLOYMENT INSURANCE")</f>
        <v xml:space="preserve">          6114 - STATE UNEMPLOYMENT INSURANCE</v>
      </c>
      <c r="C45" s="11"/>
      <c r="D45" s="6">
        <v>46.79</v>
      </c>
      <c r="E45" s="2"/>
      <c r="F45" s="7">
        <f t="shared" si="16"/>
        <v>5.0580902039418945E-4</v>
      </c>
      <c r="G45" s="2"/>
      <c r="H45" s="6">
        <v>44.8</v>
      </c>
      <c r="I45" s="2"/>
      <c r="J45" s="7">
        <f t="shared" si="17"/>
        <v>4.5058464363280647E-4</v>
      </c>
      <c r="K45" s="2"/>
      <c r="L45" s="6">
        <f t="shared" si="18"/>
        <v>1.990000000000002</v>
      </c>
      <c r="M45" s="2"/>
      <c r="N45" s="7">
        <f t="shared" si="19"/>
        <v>4.4419642857142907E-2</v>
      </c>
      <c r="O45" s="11"/>
      <c r="P45" s="6">
        <v>363.79</v>
      </c>
      <c r="Q45" s="2"/>
      <c r="R45" s="7">
        <f t="shared" si="20"/>
        <v>9.0913437007989026E-4</v>
      </c>
      <c r="S45" s="2"/>
      <c r="T45" s="6">
        <v>349.06</v>
      </c>
      <c r="U45" s="2"/>
      <c r="V45" s="7">
        <f t="shared" si="21"/>
        <v>8.3054517988752992E-4</v>
      </c>
      <c r="W45" s="2"/>
      <c r="X45" s="6">
        <f t="shared" si="22"/>
        <v>14.730000000000018</v>
      </c>
      <c r="Y45" s="2"/>
      <c r="Z45" s="7">
        <f t="shared" si="23"/>
        <v>4.2199048874119113E-2</v>
      </c>
    </row>
    <row r="46" spans="1:26" s="24" customFormat="1" hidden="1" outlineLevel="2" x14ac:dyDescent="0.25">
      <c r="A46" s="25"/>
      <c r="B46" s="11" t="str">
        <f>CONCATENATE("          ", "6115", " - ", "P.E.R.S.")</f>
        <v xml:space="preserve">          6115 - P.E.R.S.</v>
      </c>
      <c r="C46" s="11"/>
      <c r="D46" s="6">
        <v>1781.63</v>
      </c>
      <c r="E46" s="2"/>
      <c r="F46" s="7">
        <f t="shared" si="16"/>
        <v>1.9259767578647141E-2</v>
      </c>
      <c r="G46" s="2"/>
      <c r="H46" s="6">
        <v>1574.02</v>
      </c>
      <c r="I46" s="2"/>
      <c r="J46" s="7">
        <f t="shared" si="17"/>
        <v>1.5831009838636386E-2</v>
      </c>
      <c r="K46" s="2"/>
      <c r="L46" s="6">
        <f t="shared" si="18"/>
        <v>207.61000000000013</v>
      </c>
      <c r="M46" s="2"/>
      <c r="N46" s="7">
        <f t="shared" si="19"/>
        <v>0.13189794284697789</v>
      </c>
      <c r="O46" s="11"/>
      <c r="P46" s="6">
        <v>9737.16</v>
      </c>
      <c r="Q46" s="2"/>
      <c r="R46" s="7">
        <f t="shared" si="20"/>
        <v>2.4333782739951904E-2</v>
      </c>
      <c r="S46" s="2"/>
      <c r="T46" s="6">
        <v>9220.33</v>
      </c>
      <c r="U46" s="2"/>
      <c r="V46" s="7">
        <f t="shared" si="21"/>
        <v>2.1938637020776912E-2</v>
      </c>
      <c r="W46" s="2"/>
      <c r="X46" s="6">
        <f t="shared" si="22"/>
        <v>516.82999999999993</v>
      </c>
      <c r="Y46" s="2"/>
      <c r="Z46" s="7">
        <f t="shared" si="23"/>
        <v>5.6053308287230492E-2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6">
        <v>969.46</v>
      </c>
      <c r="E47" s="2"/>
      <c r="F47" s="7">
        <f t="shared" si="16"/>
        <v>1.0480051568953855E-2</v>
      </c>
      <c r="G47" s="2"/>
      <c r="H47" s="6">
        <v>1040.47</v>
      </c>
      <c r="I47" s="2"/>
      <c r="J47" s="7">
        <f t="shared" si="17"/>
        <v>1.0464727771442549E-2</v>
      </c>
      <c r="K47" s="2"/>
      <c r="L47" s="6">
        <f t="shared" si="18"/>
        <v>-71.009999999999991</v>
      </c>
      <c r="M47" s="2"/>
      <c r="N47" s="7">
        <f t="shared" si="19"/>
        <v>-6.8248003306198152E-2</v>
      </c>
      <c r="O47" s="11"/>
      <c r="P47" s="6">
        <v>7990.51</v>
      </c>
      <c r="Q47" s="2"/>
      <c r="R47" s="7">
        <f t="shared" si="20"/>
        <v>1.9968793192410631E-2</v>
      </c>
      <c r="S47" s="2"/>
      <c r="T47" s="6">
        <v>7295.16</v>
      </c>
      <c r="U47" s="2"/>
      <c r="V47" s="7">
        <f t="shared" si="21"/>
        <v>1.7357932660597927E-2</v>
      </c>
      <c r="W47" s="2"/>
      <c r="X47" s="6">
        <f t="shared" si="22"/>
        <v>695.35000000000036</v>
      </c>
      <c r="Y47" s="2"/>
      <c r="Z47" s="7">
        <f t="shared" si="23"/>
        <v>9.5316620882886782E-2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6">
        <v>556.53</v>
      </c>
      <c r="E48" s="2"/>
      <c r="F48" s="7">
        <f t="shared" si="16"/>
        <v>6.0161977798670278E-3</v>
      </c>
      <c r="G48" s="2"/>
      <c r="H48" s="6">
        <v>603.46</v>
      </c>
      <c r="I48" s="2"/>
      <c r="J48" s="7">
        <f t="shared" si="17"/>
        <v>6.0694153805056564E-3</v>
      </c>
      <c r="K48" s="2"/>
      <c r="L48" s="6">
        <f t="shared" si="18"/>
        <v>-46.930000000000064</v>
      </c>
      <c r="M48" s="2"/>
      <c r="N48" s="7">
        <f t="shared" si="19"/>
        <v>-7.7768203360620528E-2</v>
      </c>
      <c r="O48" s="11"/>
      <c r="P48" s="6">
        <v>4741.3900000000003</v>
      </c>
      <c r="Q48" s="2"/>
      <c r="R48" s="7">
        <f t="shared" si="20"/>
        <v>1.1849035462638035E-2</v>
      </c>
      <c r="S48" s="2"/>
      <c r="T48" s="6">
        <v>4929.59</v>
      </c>
      <c r="U48" s="2"/>
      <c r="V48" s="7">
        <f t="shared" si="21"/>
        <v>1.1729350866102585E-2</v>
      </c>
      <c r="W48" s="2"/>
      <c r="X48" s="6">
        <f t="shared" si="22"/>
        <v>-188.19999999999982</v>
      </c>
      <c r="Y48" s="2"/>
      <c r="Z48" s="7">
        <f t="shared" si="23"/>
        <v>-3.8177617205487638E-2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6">
        <v>312.95</v>
      </c>
      <c r="E49" s="2"/>
      <c r="F49" s="7">
        <f t="shared" si="16"/>
        <v>3.383050500798495E-3</v>
      </c>
      <c r="G49" s="2"/>
      <c r="H49" s="6">
        <v>447.07</v>
      </c>
      <c r="I49" s="2"/>
      <c r="J49" s="7">
        <f t="shared" si="17"/>
        <v>4.4964927818955088E-3</v>
      </c>
      <c r="K49" s="2"/>
      <c r="L49" s="6">
        <f t="shared" si="18"/>
        <v>-134.12</v>
      </c>
      <c r="M49" s="2"/>
      <c r="N49" s="7">
        <f t="shared" si="19"/>
        <v>-0.29999776321381438</v>
      </c>
      <c r="O49" s="11"/>
      <c r="P49" s="6">
        <v>1979.23</v>
      </c>
      <c r="Q49" s="2"/>
      <c r="R49" s="7">
        <f t="shared" si="20"/>
        <v>4.9462217743566923E-3</v>
      </c>
      <c r="S49" s="2"/>
      <c r="T49" s="6">
        <v>2039.43</v>
      </c>
      <c r="U49" s="2"/>
      <c r="V49" s="7">
        <f t="shared" si="21"/>
        <v>4.8525719252220968E-3</v>
      </c>
      <c r="W49" s="2"/>
      <c r="X49" s="6">
        <f t="shared" si="22"/>
        <v>-60.200000000000045</v>
      </c>
      <c r="Y49" s="2"/>
      <c r="Z49" s="7">
        <f t="shared" si="23"/>
        <v>-2.9518051612460367E-2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22550.149999999998</v>
      </c>
      <c r="E50" s="1"/>
      <c r="F50" s="5">
        <f t="shared" ref="F50:F54" si="24">IF(D$12=0,0,D50/D$12)</f>
        <v>0.24377151701735475</v>
      </c>
      <c r="G50" s="1"/>
      <c r="H50" s="1">
        <f>SUM(OSRRefH22_1x_0)</f>
        <v>21148.14</v>
      </c>
      <c r="I50" s="1"/>
      <c r="J50" s="5">
        <f t="shared" ref="J50:J54" si="25">IF(H$12=0,0,H50/H$12)</f>
        <v>0.21270149833474777</v>
      </c>
      <c r="K50" s="1"/>
      <c r="L50" s="1">
        <f t="shared" ref="L50:L54" si="26">+D50-H50</f>
        <v>1402.0099999999984</v>
      </c>
      <c r="M50" s="1"/>
      <c r="N50" s="5">
        <f t="shared" ref="N50:N54" si="27">IF(H50=0,0,L50/H50)</f>
        <v>6.6294719062763838E-2</v>
      </c>
      <c r="O50" s="13"/>
      <c r="P50" s="1">
        <f>SUM(OSRRefP22_1x_0)</f>
        <v>126397.31999999999</v>
      </c>
      <c r="Q50" s="1"/>
      <c r="R50" s="5">
        <f t="shared" ref="R50:R54" si="28">IF(P$12=0,0,P50/P$12)</f>
        <v>0.31587494955327605</v>
      </c>
      <c r="S50" s="1"/>
      <c r="T50" s="1">
        <f>SUM(OSRRefT22_1x_0)</f>
        <v>118713.9</v>
      </c>
      <c r="U50" s="1"/>
      <c r="V50" s="5">
        <f t="shared" ref="V50:V54" si="29">IF(T$12=0,0,T50/T$12)</f>
        <v>0.28246507027631418</v>
      </c>
      <c r="W50" s="1"/>
      <c r="X50" s="1">
        <f t="shared" ref="X50:X54" si="30">+P50-T50</f>
        <v>7683.4199999999983</v>
      </c>
      <c r="Y50" s="1"/>
      <c r="Z50" s="5">
        <f t="shared" ref="Z50:Z54" si="31">IF(T50=0,0,X50/T50)</f>
        <v>6.4722159747089419E-2</v>
      </c>
    </row>
    <row r="51" spans="1:26" s="24" customFormat="1" hidden="1" outlineLevel="2" x14ac:dyDescent="0.25">
      <c r="A51" s="25"/>
      <c r="B51" s="11" t="str">
        <f>CONCATENATE("          ", "6002", " - ", "STAFF SALARIES")</f>
        <v xml:space="preserve">          6002 - STAFF SALARIES</v>
      </c>
      <c r="C51" s="11"/>
      <c r="D51" s="6">
        <v>14900.849999999999</v>
      </c>
      <c r="E51" s="2"/>
      <c r="F51" s="7">
        <f t="shared" si="24"/>
        <v>0.16108109300151222</v>
      </c>
      <c r="G51" s="2"/>
      <c r="H51" s="6">
        <v>13770.96</v>
      </c>
      <c r="I51" s="2"/>
      <c r="J51" s="7">
        <f t="shared" si="25"/>
        <v>0.13850408714467929</v>
      </c>
      <c r="K51" s="2"/>
      <c r="L51" s="6">
        <f t="shared" si="26"/>
        <v>1129.8899999999994</v>
      </c>
      <c r="M51" s="2"/>
      <c r="N51" s="7">
        <f t="shared" si="27"/>
        <v>8.2048746056919739E-2</v>
      </c>
      <c r="O51" s="11"/>
      <c r="P51" s="6">
        <v>84366.61</v>
      </c>
      <c r="Q51" s="2"/>
      <c r="R51" s="7">
        <f t="shared" si="28"/>
        <v>0.2108375294486538</v>
      </c>
      <c r="S51" s="2"/>
      <c r="T51" s="6">
        <v>81841.260000000009</v>
      </c>
      <c r="U51" s="2"/>
      <c r="V51" s="7">
        <f t="shared" si="29"/>
        <v>0.194731175181694</v>
      </c>
      <c r="W51" s="2"/>
      <c r="X51" s="6">
        <f t="shared" si="30"/>
        <v>2525.3499999999913</v>
      </c>
      <c r="Y51" s="2"/>
      <c r="Z51" s="7">
        <f t="shared" si="31"/>
        <v>3.0856685246536904E-2</v>
      </c>
    </row>
    <row r="52" spans="1:26" s="24" customFormat="1" hidden="1" outlineLevel="2" x14ac:dyDescent="0.25">
      <c r="A52" s="25"/>
      <c r="B52" s="11" t="str">
        <f>CONCATENATE("          ", "6005", " - ", "TEMPORARY WAGES-HOURLY")</f>
        <v xml:space="preserve">          6005 - TEMPORARY WAGES-HOURLY</v>
      </c>
      <c r="C52" s="11"/>
      <c r="D52" s="6">
        <v>2285.92</v>
      </c>
      <c r="E52" s="2"/>
      <c r="F52" s="7">
        <f t="shared" si="24"/>
        <v>2.4711240775795801E-2</v>
      </c>
      <c r="G52" s="2"/>
      <c r="H52" s="6">
        <v>1784.18</v>
      </c>
      <c r="I52" s="2"/>
      <c r="J52" s="7">
        <f t="shared" si="25"/>
        <v>1.7944734586535283E-2</v>
      </c>
      <c r="K52" s="2"/>
      <c r="L52" s="6">
        <f t="shared" si="26"/>
        <v>501.74</v>
      </c>
      <c r="M52" s="2"/>
      <c r="N52" s="7">
        <f t="shared" si="27"/>
        <v>0.28121602080507574</v>
      </c>
      <c r="O52" s="11"/>
      <c r="P52" s="6">
        <v>14143.92</v>
      </c>
      <c r="Q52" s="2"/>
      <c r="R52" s="7">
        <f t="shared" si="28"/>
        <v>3.5346556528932517E-2</v>
      </c>
      <c r="S52" s="2"/>
      <c r="T52" s="6">
        <v>8923.86</v>
      </c>
      <c r="U52" s="2"/>
      <c r="V52" s="7">
        <f t="shared" si="29"/>
        <v>2.1233223253856452E-2</v>
      </c>
      <c r="W52" s="2"/>
      <c r="X52" s="6">
        <f t="shared" si="30"/>
        <v>5220.0599999999995</v>
      </c>
      <c r="Y52" s="2"/>
      <c r="Z52" s="7">
        <f t="shared" si="31"/>
        <v>0.5849553892598045</v>
      </c>
    </row>
    <row r="53" spans="1:26" s="24" customFormat="1" hidden="1" outlineLevel="2" x14ac:dyDescent="0.25">
      <c r="A53" s="25"/>
      <c r="B53" s="11" t="str">
        <f>CONCATENATE("          ", "6006", " - ", "TEMPORARY PART TIME")</f>
        <v xml:space="preserve">          6006 - TEMPORARY PART TIME</v>
      </c>
      <c r="C53" s="11"/>
      <c r="D53" s="6">
        <v>120.31</v>
      </c>
      <c r="E53" s="2"/>
      <c r="F53" s="7">
        <f t="shared" si="24"/>
        <v>1.3005745510499024E-3</v>
      </c>
      <c r="G53" s="2"/>
      <c r="H53" s="6">
        <v>1266</v>
      </c>
      <c r="I53" s="2"/>
      <c r="J53" s="7">
        <f t="shared" si="25"/>
        <v>1.2733039259802076E-2</v>
      </c>
      <c r="K53" s="2"/>
      <c r="L53" s="6">
        <f t="shared" si="26"/>
        <v>-1145.69</v>
      </c>
      <c r="M53" s="2"/>
      <c r="N53" s="7">
        <f t="shared" si="27"/>
        <v>-0.90496840442338078</v>
      </c>
      <c r="O53" s="11"/>
      <c r="P53" s="6">
        <v>177.68</v>
      </c>
      <c r="Q53" s="2"/>
      <c r="R53" s="7">
        <f t="shared" si="28"/>
        <v>4.440336316990431E-4</v>
      </c>
      <c r="S53" s="2"/>
      <c r="T53" s="6">
        <v>6001.65</v>
      </c>
      <c r="U53" s="2"/>
      <c r="V53" s="7">
        <f t="shared" si="29"/>
        <v>1.4280185294425008E-2</v>
      </c>
      <c r="W53" s="2"/>
      <c r="X53" s="6">
        <f t="shared" si="30"/>
        <v>-5823.9699999999993</v>
      </c>
      <c r="Y53" s="2"/>
      <c r="Z53" s="7">
        <f t="shared" si="31"/>
        <v>-0.97039480809444068</v>
      </c>
    </row>
    <row r="54" spans="1:26" s="24" customFormat="1" hidden="1" outlineLevel="2" x14ac:dyDescent="0.25">
      <c r="A54" s="25"/>
      <c r="B54" s="11" t="str">
        <f>CONCATENATE("          ", "6007", " - ", "STUDENT HOURLY")</f>
        <v xml:space="preserve">          6007 - STUDENT HOURLY</v>
      </c>
      <c r="C54" s="11"/>
      <c r="D54" s="6">
        <v>5243.07</v>
      </c>
      <c r="E54" s="2"/>
      <c r="F54" s="7">
        <f t="shared" si="24"/>
        <v>5.6678608688996851E-2</v>
      </c>
      <c r="G54" s="2"/>
      <c r="H54" s="6">
        <v>4327</v>
      </c>
      <c r="I54" s="2"/>
      <c r="J54" s="7">
        <f t="shared" si="25"/>
        <v>4.3519637343731106E-2</v>
      </c>
      <c r="K54" s="2"/>
      <c r="L54" s="6">
        <f t="shared" si="26"/>
        <v>916.06999999999971</v>
      </c>
      <c r="M54" s="2"/>
      <c r="N54" s="7">
        <f t="shared" si="27"/>
        <v>0.21171019181881204</v>
      </c>
      <c r="O54" s="11"/>
      <c r="P54" s="6">
        <v>27709.11</v>
      </c>
      <c r="Q54" s="2"/>
      <c r="R54" s="7">
        <f t="shared" si="28"/>
        <v>6.9246829943990729E-2</v>
      </c>
      <c r="S54" s="2"/>
      <c r="T54" s="6">
        <v>21947.129999999997</v>
      </c>
      <c r="U54" s="2"/>
      <c r="V54" s="7">
        <f t="shared" si="29"/>
        <v>5.2220486546338742E-2</v>
      </c>
      <c r="W54" s="2"/>
      <c r="X54" s="6">
        <f t="shared" si="30"/>
        <v>5761.9800000000032</v>
      </c>
      <c r="Y54" s="2"/>
      <c r="Z54" s="7">
        <f t="shared" si="31"/>
        <v>0.26253911103638627</v>
      </c>
    </row>
    <row r="55" spans="1:26" s="26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353.5</v>
      </c>
      <c r="E55" s="1"/>
      <c r="F55" s="5">
        <f t="shared" ref="F55:F65" si="32">IF(D$12=0,0,D55/D$12)</f>
        <v>3.8214039048802299E-3</v>
      </c>
      <c r="G55" s="1"/>
      <c r="H55" s="1">
        <f>SUM(OSRRefH22_2x_0)</f>
        <v>276.07</v>
      </c>
      <c r="I55" s="1"/>
      <c r="J55" s="5">
        <f t="shared" ref="J55:J65" si="33">IF(H$12=0,0,H55/H$12)</f>
        <v>2.7766272894577874E-3</v>
      </c>
      <c r="K55" s="1"/>
      <c r="L55" s="1">
        <f t="shared" ref="L55:L65" si="34">+D55-H55</f>
        <v>77.430000000000007</v>
      </c>
      <c r="M55" s="1"/>
      <c r="N55" s="5">
        <f t="shared" ref="N55:N65" si="35">IF(H55=0,0,L55/H55)</f>
        <v>0.28047234397073212</v>
      </c>
      <c r="O55" s="13"/>
      <c r="P55" s="1">
        <f>SUM(OSRRefP22_2x_0)</f>
        <v>-106.46</v>
      </c>
      <c r="Q55" s="1"/>
      <c r="R55" s="5">
        <f t="shared" ref="R55:R65" si="36">IF(P$12=0,0,P55/P$12)</f>
        <v>-2.660503175972542E-4</v>
      </c>
      <c r="S55" s="1"/>
      <c r="T55" s="1">
        <f>SUM(OSRRefT22_2x_0)</f>
        <v>845.57</v>
      </c>
      <c r="U55" s="1"/>
      <c r="V55" s="5">
        <f t="shared" ref="V55:V65" si="37">IF(T$12=0,0,T55/T$12)</f>
        <v>2.0119294326405167E-3</v>
      </c>
      <c r="W55" s="1"/>
      <c r="X55" s="1">
        <f t="shared" ref="X55:X65" si="38">+P55-T55</f>
        <v>-952.03000000000009</v>
      </c>
      <c r="Y55" s="1"/>
      <c r="Z55" s="5">
        <f t="shared" ref="Z55:Z65" si="39">IF(T55=0,0,X55/T55)</f>
        <v>-1.1259032368698039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6">
        <v>353.5</v>
      </c>
      <c r="E56" s="2"/>
      <c r="F56" s="7">
        <f t="shared" si="32"/>
        <v>3.8214039048802299E-3</v>
      </c>
      <c r="G56" s="2"/>
      <c r="H56" s="6">
        <v>276.07</v>
      </c>
      <c r="I56" s="2"/>
      <c r="J56" s="7">
        <f t="shared" si="33"/>
        <v>2.7766272894577874E-3</v>
      </c>
      <c r="K56" s="2"/>
      <c r="L56" s="6">
        <f t="shared" si="34"/>
        <v>77.430000000000007</v>
      </c>
      <c r="M56" s="2"/>
      <c r="N56" s="7">
        <f t="shared" si="35"/>
        <v>0.28047234397073212</v>
      </c>
      <c r="O56" s="11"/>
      <c r="P56" s="6">
        <v>-106.46</v>
      </c>
      <c r="Q56" s="2"/>
      <c r="R56" s="7">
        <f t="shared" si="36"/>
        <v>-2.660503175972542E-4</v>
      </c>
      <c r="S56" s="2"/>
      <c r="T56" s="6">
        <v>845.57</v>
      </c>
      <c r="U56" s="2"/>
      <c r="V56" s="7">
        <f t="shared" si="37"/>
        <v>2.0119294326405167E-3</v>
      </c>
      <c r="W56" s="2"/>
      <c r="X56" s="6">
        <f t="shared" si="38"/>
        <v>-952.03000000000009</v>
      </c>
      <c r="Y56" s="2"/>
      <c r="Z56" s="7">
        <f t="shared" si="39"/>
        <v>-1.1259032368698039</v>
      </c>
    </row>
    <row r="57" spans="1:26" s="26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SUM(OSRRefD22_3x_0)</f>
        <v>169.88</v>
      </c>
      <c r="E57" s="1"/>
      <c r="F57" s="5">
        <f t="shared" si="32"/>
        <v>1.8364359133268839E-3</v>
      </c>
      <c r="G57" s="1"/>
      <c r="H57" s="1">
        <f>SUM(OSRRefH22_3x_0)</f>
        <v>0</v>
      </c>
      <c r="I57" s="1"/>
      <c r="J57" s="5">
        <f t="shared" si="33"/>
        <v>0</v>
      </c>
      <c r="K57" s="1"/>
      <c r="L57" s="1">
        <f t="shared" si="34"/>
        <v>169.88</v>
      </c>
      <c r="M57" s="1"/>
      <c r="N57" s="5">
        <f t="shared" si="35"/>
        <v>0</v>
      </c>
      <c r="O57" s="13"/>
      <c r="P57" s="1">
        <f>SUM(OSRRefP22_3x_0)</f>
        <v>339.76</v>
      </c>
      <c r="Q57" s="1"/>
      <c r="R57" s="5">
        <f t="shared" si="36"/>
        <v>8.490818702502639E-4</v>
      </c>
      <c r="S57" s="1"/>
      <c r="T57" s="1">
        <f>SUM(OSRRefT22_3x_0)</f>
        <v>0</v>
      </c>
      <c r="U57" s="1"/>
      <c r="V57" s="5">
        <f t="shared" si="37"/>
        <v>0</v>
      </c>
      <c r="W57" s="1"/>
      <c r="X57" s="1">
        <f t="shared" si="38"/>
        <v>339.76</v>
      </c>
      <c r="Y57" s="1"/>
      <c r="Z57" s="5">
        <f t="shared" si="39"/>
        <v>0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169.88</v>
      </c>
      <c r="E58" s="2"/>
      <c r="F58" s="7">
        <f t="shared" si="32"/>
        <v>1.8364359133268839E-3</v>
      </c>
      <c r="G58" s="2"/>
      <c r="H58" s="6"/>
      <c r="I58" s="2"/>
      <c r="J58" s="7">
        <f t="shared" si="33"/>
        <v>0</v>
      </c>
      <c r="K58" s="2"/>
      <c r="L58" s="6">
        <f t="shared" si="34"/>
        <v>169.88</v>
      </c>
      <c r="M58" s="2"/>
      <c r="N58" s="7">
        <f t="shared" si="35"/>
        <v>0</v>
      </c>
      <c r="O58" s="11"/>
      <c r="P58" s="6">
        <v>339.76</v>
      </c>
      <c r="Q58" s="2"/>
      <c r="R58" s="7">
        <f t="shared" si="36"/>
        <v>8.490818702502639E-4</v>
      </c>
      <c r="S58" s="2"/>
      <c r="T58" s="6"/>
      <c r="U58" s="2"/>
      <c r="V58" s="7">
        <f t="shared" si="37"/>
        <v>0</v>
      </c>
      <c r="W58" s="2"/>
      <c r="X58" s="6">
        <f t="shared" si="38"/>
        <v>339.76</v>
      </c>
      <c r="Y58" s="2"/>
      <c r="Z58" s="7">
        <f t="shared" si="39"/>
        <v>0</v>
      </c>
    </row>
    <row r="59" spans="1:26" s="26" customFormat="1" outlineLevel="1" collapsed="1" x14ac:dyDescent="0.25">
      <c r="A59" s="27"/>
      <c r="B59" s="13" t="str">
        <f>CONCATENATE("     ","Discounts and Markdowns                           ")</f>
        <v xml:space="preserve">     Discounts and Markdowns                           </v>
      </c>
      <c r="C59" s="13"/>
      <c r="D59" s="1">
        <f>SUM(OSRRefD22_4x_0)</f>
        <v>170.62</v>
      </c>
      <c r="E59" s="1"/>
      <c r="F59" s="5">
        <f t="shared" si="32"/>
        <v>1.8444354575690659E-3</v>
      </c>
      <c r="G59" s="1"/>
      <c r="H59" s="1">
        <f>SUM(OSRRefH22_4x_0)</f>
        <v>209.51</v>
      </c>
      <c r="I59" s="1"/>
      <c r="J59" s="5">
        <f t="shared" si="33"/>
        <v>2.1071872474890466E-3</v>
      </c>
      <c r="K59" s="1"/>
      <c r="L59" s="1">
        <f t="shared" si="34"/>
        <v>-38.889999999999986</v>
      </c>
      <c r="M59" s="1"/>
      <c r="N59" s="5">
        <f t="shared" si="35"/>
        <v>-0.18562359791895369</v>
      </c>
      <c r="O59" s="13"/>
      <c r="P59" s="1">
        <f>SUM(OSRRefP22_4x_0)</f>
        <v>922.18</v>
      </c>
      <c r="Q59" s="1"/>
      <c r="R59" s="5">
        <f t="shared" si="36"/>
        <v>2.3045865290422306E-3</v>
      </c>
      <c r="S59" s="1"/>
      <c r="T59" s="1">
        <f>SUM(OSRRefT22_4x_0)</f>
        <v>1473.83</v>
      </c>
      <c r="U59" s="1"/>
      <c r="V59" s="5">
        <f t="shared" si="37"/>
        <v>3.5067965463634852E-3</v>
      </c>
      <c r="W59" s="1"/>
      <c r="X59" s="1">
        <f t="shared" si="38"/>
        <v>-551.65</v>
      </c>
      <c r="Y59" s="1"/>
      <c r="Z59" s="5">
        <f t="shared" si="39"/>
        <v>-0.37429689991382997</v>
      </c>
    </row>
    <row r="60" spans="1:26" s="24" customFormat="1" hidden="1" outlineLevel="2" x14ac:dyDescent="0.25">
      <c r="A60" s="25"/>
      <c r="B60" s="11" t="str">
        <f>CONCATENATE("          ", "6382", " - ", "DISCOUNTS/MARK DOWNS")</f>
        <v xml:space="preserve">          6382 - DISCOUNTS/MARK DOWNS</v>
      </c>
      <c r="C60" s="11"/>
      <c r="D60" s="6">
        <v>170.62</v>
      </c>
      <c r="E60" s="2"/>
      <c r="F60" s="7">
        <f t="shared" si="32"/>
        <v>1.8444354575690659E-3</v>
      </c>
      <c r="G60" s="2"/>
      <c r="H60" s="6">
        <v>209.51</v>
      </c>
      <c r="I60" s="2"/>
      <c r="J60" s="7">
        <f t="shared" si="33"/>
        <v>2.1071872474890466E-3</v>
      </c>
      <c r="K60" s="2"/>
      <c r="L60" s="6">
        <f t="shared" si="34"/>
        <v>-38.889999999999986</v>
      </c>
      <c r="M60" s="2"/>
      <c r="N60" s="7">
        <f t="shared" si="35"/>
        <v>-0.18562359791895369</v>
      </c>
      <c r="O60" s="11"/>
      <c r="P60" s="6">
        <v>922.18</v>
      </c>
      <c r="Q60" s="2"/>
      <c r="R60" s="7">
        <f t="shared" si="36"/>
        <v>2.3045865290422306E-3</v>
      </c>
      <c r="S60" s="2"/>
      <c r="T60" s="6">
        <v>1473.83</v>
      </c>
      <c r="U60" s="2"/>
      <c r="V60" s="7">
        <f t="shared" si="37"/>
        <v>3.5067965463634852E-3</v>
      </c>
      <c r="W60" s="2"/>
      <c r="X60" s="6">
        <f t="shared" si="38"/>
        <v>-551.65</v>
      </c>
      <c r="Y60" s="2"/>
      <c r="Z60" s="7">
        <f t="shared" si="39"/>
        <v>-0.37429689991382997</v>
      </c>
    </row>
    <row r="61" spans="1:26" s="26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SUM(OSRRefD22_5x_0)</f>
        <v>1205.6400000000001</v>
      </c>
      <c r="E61" s="1"/>
      <c r="F61" s="5">
        <f t="shared" si="32"/>
        <v>1.3033203405600567E-2</v>
      </c>
      <c r="G61" s="1"/>
      <c r="H61" s="1">
        <f>SUM(OSRRefH22_5x_0)</f>
        <v>3167.75</v>
      </c>
      <c r="I61" s="1"/>
      <c r="J61" s="5">
        <f t="shared" si="33"/>
        <v>3.1860256805085328E-2</v>
      </c>
      <c r="K61" s="1"/>
      <c r="L61" s="1">
        <f t="shared" si="34"/>
        <v>-1962.11</v>
      </c>
      <c r="M61" s="1"/>
      <c r="N61" s="5">
        <f t="shared" si="35"/>
        <v>-0.61940178360034726</v>
      </c>
      <c r="O61" s="13"/>
      <c r="P61" s="1">
        <f>SUM(OSRRefP22_5x_0)</f>
        <v>11137.8</v>
      </c>
      <c r="Q61" s="1"/>
      <c r="R61" s="5">
        <f t="shared" si="36"/>
        <v>2.7834071269347151E-2</v>
      </c>
      <c r="S61" s="1"/>
      <c r="T61" s="1">
        <f>SUM(OSRRefT22_5x_0)</f>
        <v>22358.969999999998</v>
      </c>
      <c r="U61" s="1"/>
      <c r="V61" s="5">
        <f t="shared" si="37"/>
        <v>5.3200408986277092E-2</v>
      </c>
      <c r="W61" s="1"/>
      <c r="X61" s="1">
        <f t="shared" si="38"/>
        <v>-11221.169999999998</v>
      </c>
      <c r="Y61" s="1"/>
      <c r="Z61" s="5">
        <f t="shared" si="39"/>
        <v>-0.50186435242768335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>
        <v>1205.6400000000001</v>
      </c>
      <c r="E62" s="2"/>
      <c r="F62" s="7">
        <f t="shared" si="32"/>
        <v>1.3033203405600567E-2</v>
      </c>
      <c r="G62" s="2"/>
      <c r="H62" s="6">
        <v>3167.75</v>
      </c>
      <c r="I62" s="2"/>
      <c r="J62" s="7">
        <f t="shared" si="33"/>
        <v>3.1860256805085328E-2</v>
      </c>
      <c r="K62" s="2"/>
      <c r="L62" s="6">
        <f t="shared" si="34"/>
        <v>-1962.11</v>
      </c>
      <c r="M62" s="2"/>
      <c r="N62" s="7">
        <f t="shared" si="35"/>
        <v>-0.61940178360034726</v>
      </c>
      <c r="O62" s="11"/>
      <c r="P62" s="6">
        <v>11137.8</v>
      </c>
      <c r="Q62" s="2"/>
      <c r="R62" s="7">
        <f t="shared" si="36"/>
        <v>2.7834071269347151E-2</v>
      </c>
      <c r="S62" s="2"/>
      <c r="T62" s="6">
        <v>22358.969999999998</v>
      </c>
      <c r="U62" s="2"/>
      <c r="V62" s="7">
        <f t="shared" si="37"/>
        <v>5.3200408986277092E-2</v>
      </c>
      <c r="W62" s="2"/>
      <c r="X62" s="6">
        <f t="shared" si="38"/>
        <v>-11221.169999999998</v>
      </c>
      <c r="Y62" s="2"/>
      <c r="Z62" s="7">
        <f t="shared" si="39"/>
        <v>-0.50186435242768335</v>
      </c>
    </row>
    <row r="63" spans="1:26" s="26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SUM(OSRRefD22_6x_0)</f>
        <v>-13804.1</v>
      </c>
      <c r="E63" s="1"/>
      <c r="F63" s="5">
        <f t="shared" si="32"/>
        <v>-0.14922501172095384</v>
      </c>
      <c r="G63" s="1"/>
      <c r="H63" s="1">
        <f>SUM(OSRRefH22_6x_0)</f>
        <v>-10172.48</v>
      </c>
      <c r="I63" s="1"/>
      <c r="J63" s="5">
        <f t="shared" si="33"/>
        <v>-0.10231168026030918</v>
      </c>
      <c r="K63" s="1"/>
      <c r="L63" s="1">
        <f t="shared" si="34"/>
        <v>-3631.6200000000008</v>
      </c>
      <c r="M63" s="1"/>
      <c r="N63" s="5">
        <f t="shared" si="35"/>
        <v>0.35700438831042192</v>
      </c>
      <c r="O63" s="13"/>
      <c r="P63" s="1">
        <f>SUM(OSRRefP22_6x_0)</f>
        <v>-19688.419999999998</v>
      </c>
      <c r="Q63" s="1"/>
      <c r="R63" s="5">
        <f t="shared" si="36"/>
        <v>-4.9202615010221037E-2</v>
      </c>
      <c r="S63" s="1"/>
      <c r="T63" s="1">
        <f>SUM(OSRRefT22_6x_0)</f>
        <v>-12976.920000000002</v>
      </c>
      <c r="U63" s="1"/>
      <c r="V63" s="5">
        <f t="shared" si="37"/>
        <v>-3.087697918921127E-2</v>
      </c>
      <c r="W63" s="1"/>
      <c r="X63" s="1">
        <f t="shared" si="38"/>
        <v>-6711.4999999999964</v>
      </c>
      <c r="Y63" s="1"/>
      <c r="Z63" s="5">
        <f t="shared" si="39"/>
        <v>0.51718743738884076</v>
      </c>
    </row>
    <row r="64" spans="1:26" s="24" customFormat="1" hidden="1" outlineLevel="2" x14ac:dyDescent="0.25">
      <c r="A64" s="25"/>
      <c r="B64" s="11" t="str">
        <f>CONCATENATE("          ", "6305", " - ", "FREIGHT OUT")</f>
        <v xml:space="preserve">          6305 - FREIGHT OUT</v>
      </c>
      <c r="C64" s="11"/>
      <c r="D64" s="6">
        <v>2286.77</v>
      </c>
      <c r="E64" s="2"/>
      <c r="F64" s="7">
        <f t="shared" si="32"/>
        <v>2.4720429441479386E-2</v>
      </c>
      <c r="G64" s="2"/>
      <c r="H64" s="6">
        <v>5731</v>
      </c>
      <c r="I64" s="2"/>
      <c r="J64" s="7">
        <f t="shared" si="33"/>
        <v>5.7640638229009243E-2</v>
      </c>
      <c r="K64" s="2"/>
      <c r="L64" s="6">
        <f t="shared" si="34"/>
        <v>-3444.23</v>
      </c>
      <c r="M64" s="2"/>
      <c r="N64" s="7">
        <f t="shared" si="35"/>
        <v>-0.60098237654859532</v>
      </c>
      <c r="O64" s="11"/>
      <c r="P64" s="6">
        <v>24971.68</v>
      </c>
      <c r="Q64" s="2"/>
      <c r="R64" s="7">
        <f t="shared" si="36"/>
        <v>6.2405818100103337E-2</v>
      </c>
      <c r="S64" s="2"/>
      <c r="T64" s="6">
        <v>27899.01</v>
      </c>
      <c r="U64" s="2"/>
      <c r="V64" s="7">
        <f t="shared" si="37"/>
        <v>6.6382250269678547E-2</v>
      </c>
      <c r="W64" s="2"/>
      <c r="X64" s="6">
        <f t="shared" si="38"/>
        <v>-2927.3299999999981</v>
      </c>
      <c r="Y64" s="2"/>
      <c r="Z64" s="7">
        <f t="shared" si="39"/>
        <v>-0.10492594540092993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>
        <v>-16090.87</v>
      </c>
      <c r="E65" s="2"/>
      <c r="F65" s="7">
        <f t="shared" si="32"/>
        <v>-0.17394544116243324</v>
      </c>
      <c r="G65" s="2"/>
      <c r="H65" s="6">
        <v>-15903.48</v>
      </c>
      <c r="I65" s="2"/>
      <c r="J65" s="7">
        <f t="shared" si="33"/>
        <v>-0.15995231848931843</v>
      </c>
      <c r="K65" s="2"/>
      <c r="L65" s="6">
        <f t="shared" si="34"/>
        <v>-187.39000000000124</v>
      </c>
      <c r="M65" s="2"/>
      <c r="N65" s="7">
        <f t="shared" si="35"/>
        <v>1.1782955680140525E-2</v>
      </c>
      <c r="O65" s="11"/>
      <c r="P65" s="6">
        <v>-44660.1</v>
      </c>
      <c r="Q65" s="2"/>
      <c r="R65" s="7">
        <f t="shared" si="36"/>
        <v>-0.11160843311032437</v>
      </c>
      <c r="S65" s="2"/>
      <c r="T65" s="6">
        <v>-40875.93</v>
      </c>
      <c r="U65" s="2"/>
      <c r="V65" s="7">
        <f t="shared" si="37"/>
        <v>-9.7259229458889818E-2</v>
      </c>
      <c r="W65" s="2"/>
      <c r="X65" s="6">
        <f t="shared" si="38"/>
        <v>-3784.1699999999983</v>
      </c>
      <c r="Y65" s="2"/>
      <c r="Z65" s="7">
        <f t="shared" si="39"/>
        <v>9.2576976230265548E-2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SUM(OSRRefD22_7x_0)</f>
        <v>0</v>
      </c>
      <c r="E66" s="1"/>
      <c r="F66" s="5">
        <f t="shared" ref="F66:F72" si="40">IF(D$12=0,0,D66/D$12)</f>
        <v>0</v>
      </c>
      <c r="G66" s="1"/>
      <c r="H66" s="1">
        <f>SUM(OSRRefH22_7x_0)</f>
        <v>0</v>
      </c>
      <c r="I66" s="1"/>
      <c r="J66" s="5">
        <f t="shared" ref="J66:J72" si="41">IF(H$12=0,0,H66/H$12)</f>
        <v>0</v>
      </c>
      <c r="K66" s="1"/>
      <c r="L66" s="1">
        <f t="shared" ref="L66:L72" si="42">+D66-H66</f>
        <v>0</v>
      </c>
      <c r="M66" s="1"/>
      <c r="N66" s="5">
        <f t="shared" ref="N66:N72" si="43">IF(H66=0,0,L66/H66)</f>
        <v>0</v>
      </c>
      <c r="O66" s="13"/>
      <c r="P66" s="1">
        <f>SUM(OSRRefP22_7x_0)</f>
        <v>155.16999999999999</v>
      </c>
      <c r="Q66" s="1"/>
      <c r="R66" s="5">
        <f t="shared" ref="R66:R72" si="44">IF(P$12=0,0,P66/P$12)</f>
        <v>3.8777970863766611E-4</v>
      </c>
      <c r="S66" s="1"/>
      <c r="T66" s="1">
        <f>SUM(OSRRefT22_7x_0)</f>
        <v>268.68</v>
      </c>
      <c r="U66" s="1"/>
      <c r="V66" s="5">
        <f t="shared" ref="V66:V72" si="45">IF(T$12=0,0,T66/T$12)</f>
        <v>6.3929089248891745E-4</v>
      </c>
      <c r="W66" s="1"/>
      <c r="X66" s="1">
        <f t="shared" ref="X66:X72" si="46">+P66-T66</f>
        <v>-113.51000000000002</v>
      </c>
      <c r="Y66" s="1"/>
      <c r="Z66" s="5">
        <f t="shared" ref="Z66:Z72" si="47">IF(T66=0,0,X66/T66)</f>
        <v>-0.4224728301324997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155.16999999999999</v>
      </c>
      <c r="Q67" s="2"/>
      <c r="R67" s="7">
        <f t="shared" si="44"/>
        <v>3.8777970863766611E-4</v>
      </c>
      <c r="S67" s="2"/>
      <c r="T67" s="6">
        <v>268.68</v>
      </c>
      <c r="U67" s="2"/>
      <c r="V67" s="7">
        <f t="shared" si="45"/>
        <v>6.3929089248891745E-4</v>
      </c>
      <c r="W67" s="2"/>
      <c r="X67" s="6">
        <f t="shared" si="46"/>
        <v>-113.51000000000002</v>
      </c>
      <c r="Y67" s="2"/>
      <c r="Z67" s="7">
        <f t="shared" si="47"/>
        <v>-0.4224728301324997</v>
      </c>
    </row>
    <row r="68" spans="1:26" s="26" customFormat="1" outlineLevel="1" collapsed="1" x14ac:dyDescent="0.25">
      <c r="A68" s="27"/>
      <c r="B68" s="13" t="str">
        <f>CONCATENATE("     ","Inventory Adjustment                              ")</f>
        <v xml:space="preserve">     Inventory Adjustment                              </v>
      </c>
      <c r="C68" s="13"/>
      <c r="D68" s="1">
        <f>SUM(OSRRefD22_8x_0)</f>
        <v>100</v>
      </c>
      <c r="E68" s="1"/>
      <c r="F68" s="5">
        <f t="shared" si="40"/>
        <v>1.0810194921867693E-3</v>
      </c>
      <c r="G68" s="1"/>
      <c r="H68" s="1">
        <f>SUM(OSRRefH22_8x_0)</f>
        <v>100</v>
      </c>
      <c r="I68" s="1"/>
      <c r="J68" s="5">
        <f t="shared" si="41"/>
        <v>1.0057692938232287E-3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SUM(OSRRefP22_8x_0)</f>
        <v>600</v>
      </c>
      <c r="Q68" s="1"/>
      <c r="R68" s="5">
        <f t="shared" si="44"/>
        <v>1.4994381979931666E-3</v>
      </c>
      <c r="S68" s="1"/>
      <c r="T68" s="1">
        <f>SUM(OSRRefT22_8x_0)</f>
        <v>700</v>
      </c>
      <c r="U68" s="1"/>
      <c r="V68" s="5">
        <f t="shared" si="45"/>
        <v>1.6655635876963012E-3</v>
      </c>
      <c r="W68" s="1"/>
      <c r="X68" s="1">
        <f t="shared" si="46"/>
        <v>-100</v>
      </c>
      <c r="Y68" s="1"/>
      <c r="Z68" s="5">
        <f t="shared" si="47"/>
        <v>-0.14285714285714285</v>
      </c>
    </row>
    <row r="69" spans="1:26" s="24" customFormat="1" hidden="1" outlineLevel="2" x14ac:dyDescent="0.25">
      <c r="A69" s="25"/>
      <c r="B69" s="11" t="str">
        <f>CONCATENATE("          ", "6408", " - ", "INVENTORY ADJUSTMENT")</f>
        <v xml:space="preserve">          6408 - INVENTORY ADJUSTMENT</v>
      </c>
      <c r="C69" s="11"/>
      <c r="D69" s="6">
        <v>100</v>
      </c>
      <c r="E69" s="2"/>
      <c r="F69" s="7">
        <f t="shared" si="40"/>
        <v>1.0810194921867693E-3</v>
      </c>
      <c r="G69" s="2"/>
      <c r="H69" s="6">
        <v>100</v>
      </c>
      <c r="I69" s="2"/>
      <c r="J69" s="7">
        <f t="shared" si="41"/>
        <v>1.0057692938232287E-3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600</v>
      </c>
      <c r="Q69" s="2"/>
      <c r="R69" s="7">
        <f t="shared" si="44"/>
        <v>1.4994381979931666E-3</v>
      </c>
      <c r="S69" s="2"/>
      <c r="T69" s="6">
        <v>700</v>
      </c>
      <c r="U69" s="2"/>
      <c r="V69" s="7">
        <f t="shared" si="45"/>
        <v>1.6655635876963012E-3</v>
      </c>
      <c r="W69" s="2"/>
      <c r="X69" s="6">
        <f t="shared" si="46"/>
        <v>-100</v>
      </c>
      <c r="Y69" s="2"/>
      <c r="Z69" s="7">
        <f t="shared" si="47"/>
        <v>-0.14285714285714285</v>
      </c>
    </row>
    <row r="70" spans="1:26" s="26" customFormat="1" outlineLevel="1" collapsed="1" x14ac:dyDescent="0.25">
      <c r="A70" s="27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SUM(OSRRefD22_9x_0)</f>
        <v>9249.09</v>
      </c>
      <c r="E70" s="1"/>
      <c r="F70" s="5">
        <f t="shared" si="40"/>
        <v>9.9984465749897278E-2</v>
      </c>
      <c r="G70" s="1"/>
      <c r="H70" s="1">
        <f>SUM(OSRRefH22_9x_0)</f>
        <v>7176.58</v>
      </c>
      <c r="I70" s="1"/>
      <c r="J70" s="5">
        <f t="shared" si="41"/>
        <v>7.2179837986659071E-2</v>
      </c>
      <c r="K70" s="1"/>
      <c r="L70" s="1">
        <f t="shared" si="42"/>
        <v>2072.5100000000002</v>
      </c>
      <c r="M70" s="1"/>
      <c r="N70" s="5">
        <f t="shared" si="43"/>
        <v>0.28878797421613084</v>
      </c>
      <c r="O70" s="13"/>
      <c r="P70" s="1">
        <f>SUM(OSRRefP22_9x_0)</f>
        <v>45765.26</v>
      </c>
      <c r="Q70" s="1"/>
      <c r="R70" s="5">
        <f t="shared" si="44"/>
        <v>0.11437029830848126</v>
      </c>
      <c r="S70" s="1"/>
      <c r="T70" s="1">
        <f>SUM(OSRRefT22_9x_0)</f>
        <v>48278.94</v>
      </c>
      <c r="U70" s="1"/>
      <c r="V70" s="5">
        <f t="shared" si="45"/>
        <v>0.11487377788082068</v>
      </c>
      <c r="W70" s="1"/>
      <c r="X70" s="1">
        <f t="shared" si="46"/>
        <v>-2513.6800000000003</v>
      </c>
      <c r="Y70" s="1"/>
      <c r="Z70" s="5">
        <f t="shared" si="47"/>
        <v>-5.2065766149795335E-2</v>
      </c>
    </row>
    <row r="71" spans="1:26" s="24" customFormat="1" hidden="1" outlineLevel="2" x14ac:dyDescent="0.25">
      <c r="A71" s="25"/>
      <c r="B71" s="11" t="str">
        <f>CONCATENATE("          ", "6373", " - ", "MAINTENANCE CONTRACTS")</f>
        <v xml:space="preserve">          6373 - MAINTENANCE CONTRACTS</v>
      </c>
      <c r="C71" s="11"/>
      <c r="D71" s="6">
        <v>8733.11</v>
      </c>
      <c r="E71" s="2"/>
      <c r="F71" s="7">
        <f t="shared" si="40"/>
        <v>9.4406621374111988E-2</v>
      </c>
      <c r="G71" s="2"/>
      <c r="H71" s="6">
        <v>7176.58</v>
      </c>
      <c r="I71" s="2"/>
      <c r="J71" s="7">
        <f t="shared" si="41"/>
        <v>7.2179837986659071E-2</v>
      </c>
      <c r="K71" s="2"/>
      <c r="L71" s="6">
        <f t="shared" si="42"/>
        <v>1556.5300000000007</v>
      </c>
      <c r="M71" s="2"/>
      <c r="N71" s="7">
        <f t="shared" si="43"/>
        <v>0.21689021790323534</v>
      </c>
      <c r="O71" s="11"/>
      <c r="P71" s="6">
        <v>44879.8</v>
      </c>
      <c r="Q71" s="2"/>
      <c r="R71" s="7">
        <f t="shared" si="44"/>
        <v>0.11215747739715622</v>
      </c>
      <c r="S71" s="2"/>
      <c r="T71" s="6">
        <v>48130.400000000001</v>
      </c>
      <c r="U71" s="2"/>
      <c r="V71" s="7">
        <f t="shared" si="45"/>
        <v>0.11452034528751151</v>
      </c>
      <c r="W71" s="2"/>
      <c r="X71" s="6">
        <f t="shared" si="46"/>
        <v>-3250.5999999999985</v>
      </c>
      <c r="Y71" s="2"/>
      <c r="Z71" s="7">
        <f t="shared" si="47"/>
        <v>-6.7537356847231653E-2</v>
      </c>
    </row>
    <row r="72" spans="1:26" s="24" customFormat="1" hidden="1" outlineLevel="2" x14ac:dyDescent="0.25">
      <c r="A72" s="25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515.98</v>
      </c>
      <c r="E72" s="2"/>
      <c r="F72" s="7">
        <f t="shared" si="40"/>
        <v>5.5778443757852928E-3</v>
      </c>
      <c r="G72" s="2"/>
      <c r="H72" s="6"/>
      <c r="I72" s="2"/>
      <c r="J72" s="7">
        <f t="shared" si="41"/>
        <v>0</v>
      </c>
      <c r="K72" s="2"/>
      <c r="L72" s="6">
        <f t="shared" si="42"/>
        <v>515.98</v>
      </c>
      <c r="M72" s="2"/>
      <c r="N72" s="7">
        <f t="shared" si="43"/>
        <v>0</v>
      </c>
      <c r="O72" s="11"/>
      <c r="P72" s="6">
        <v>885.46</v>
      </c>
      <c r="Q72" s="2"/>
      <c r="R72" s="7">
        <f t="shared" si="44"/>
        <v>2.2128209113250492E-3</v>
      </c>
      <c r="S72" s="2"/>
      <c r="T72" s="6">
        <v>148.54</v>
      </c>
      <c r="U72" s="2"/>
      <c r="V72" s="7">
        <f t="shared" si="45"/>
        <v>3.534325933091551E-4</v>
      </c>
      <c r="W72" s="2"/>
      <c r="X72" s="6">
        <f t="shared" si="46"/>
        <v>736.92000000000007</v>
      </c>
      <c r="Y72" s="2"/>
      <c r="Z72" s="7">
        <f t="shared" si="47"/>
        <v>4.9610879224451336</v>
      </c>
    </row>
    <row r="73" spans="1:26" s="26" customFormat="1" outlineLevel="1" collapsed="1" x14ac:dyDescent="0.25">
      <c r="A73" s="27"/>
      <c r="B73" s="13" t="str">
        <f>CONCATENATE("     ","Royalty &amp; Commissions                             ")</f>
        <v xml:space="preserve">     Royalty &amp; Commissions                             </v>
      </c>
      <c r="C73" s="13"/>
      <c r="D73" s="1">
        <f>SUM(OSRRefD22_10x_0)</f>
        <v>7840.58</v>
      </c>
      <c r="E73" s="1"/>
      <c r="F73" s="5">
        <f t="shared" ref="F73:F80" si="48">IF(D$12=0,0,D73/D$12)</f>
        <v>8.4758198100497409E-2</v>
      </c>
      <c r="G73" s="1"/>
      <c r="H73" s="1">
        <f>SUM(OSRRefH22_10x_0)</f>
        <v>5560.16</v>
      </c>
      <c r="I73" s="1"/>
      <c r="J73" s="5">
        <f t="shared" ref="J73:J80" si="49">IF(H$12=0,0,H73/H$12)</f>
        <v>5.5922381967441634E-2</v>
      </c>
      <c r="K73" s="1"/>
      <c r="L73" s="1">
        <f t="shared" ref="L73:L80" si="50">+D73-H73</f>
        <v>2280.42</v>
      </c>
      <c r="M73" s="1"/>
      <c r="N73" s="5">
        <f t="shared" ref="N73:N80" si="51">IF(H73=0,0,L73/H73)</f>
        <v>0.41013567954878999</v>
      </c>
      <c r="O73" s="13"/>
      <c r="P73" s="1">
        <f>SUM(OSRRefP22_10x_0)</f>
        <v>64400.56</v>
      </c>
      <c r="Q73" s="1"/>
      <c r="R73" s="5">
        <f t="shared" ref="R73:R80" si="52">IF(P$12=0,0,P73/P$12)</f>
        <v>0.16094109939358467</v>
      </c>
      <c r="S73" s="1"/>
      <c r="T73" s="1">
        <f>SUM(OSRRefT22_10x_0)</f>
        <v>60810.39</v>
      </c>
      <c r="U73" s="1"/>
      <c r="V73" s="5">
        <f t="shared" ref="V73:V80" si="53">IF(T$12=0,0,T73/T$12)</f>
        <v>0.14469081619658755</v>
      </c>
      <c r="W73" s="1"/>
      <c r="X73" s="1">
        <f t="shared" ref="X73:X80" si="54">+P73-T73</f>
        <v>3590.1699999999983</v>
      </c>
      <c r="Y73" s="1"/>
      <c r="Z73" s="5">
        <f t="shared" ref="Z73:Z80" si="55">IF(T73=0,0,X73/T73)</f>
        <v>5.9038759659327929E-2</v>
      </c>
    </row>
    <row r="74" spans="1:26" s="24" customFormat="1" hidden="1" outlineLevel="2" x14ac:dyDescent="0.25">
      <c r="A74" s="25"/>
      <c r="B74" s="11" t="str">
        <f>CONCATENATE("          ", "6259", " - ", "ROYALTY &amp; COMMISSIONS")</f>
        <v xml:space="preserve">          6259 - ROYALTY &amp; COMMISSIONS</v>
      </c>
      <c r="C74" s="11"/>
      <c r="D74" s="6">
        <v>7840.58</v>
      </c>
      <c r="E74" s="2"/>
      <c r="F74" s="7">
        <f t="shared" si="48"/>
        <v>8.4758198100497409E-2</v>
      </c>
      <c r="G74" s="2"/>
      <c r="H74" s="6">
        <v>5560.16</v>
      </c>
      <c r="I74" s="2"/>
      <c r="J74" s="7">
        <f t="shared" si="49"/>
        <v>5.5922381967441634E-2</v>
      </c>
      <c r="K74" s="2"/>
      <c r="L74" s="6">
        <f t="shared" si="50"/>
        <v>2280.42</v>
      </c>
      <c r="M74" s="2"/>
      <c r="N74" s="7">
        <f t="shared" si="51"/>
        <v>0.41013567954878999</v>
      </c>
      <c r="O74" s="11"/>
      <c r="P74" s="6">
        <v>64400.56</v>
      </c>
      <c r="Q74" s="2"/>
      <c r="R74" s="7">
        <f t="shared" si="52"/>
        <v>0.16094109939358467</v>
      </c>
      <c r="S74" s="2"/>
      <c r="T74" s="6">
        <v>60810.39</v>
      </c>
      <c r="U74" s="2"/>
      <c r="V74" s="7">
        <f t="shared" si="53"/>
        <v>0.14469081619658755</v>
      </c>
      <c r="W74" s="2"/>
      <c r="X74" s="6">
        <f t="shared" si="54"/>
        <v>3590.1699999999983</v>
      </c>
      <c r="Y74" s="2"/>
      <c r="Z74" s="7">
        <f t="shared" si="55"/>
        <v>5.9038759659327929E-2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SUM(OSRRefD22_11x_0)</f>
        <v>6148.22</v>
      </c>
      <c r="E75" s="1"/>
      <c r="F75" s="5">
        <f t="shared" si="48"/>
        <v>6.6463456622525396E-2</v>
      </c>
      <c r="G75" s="1"/>
      <c r="H75" s="1">
        <f>SUM(OSRRefH22_11x_0)</f>
        <v>8864.93</v>
      </c>
      <c r="I75" s="1"/>
      <c r="J75" s="5">
        <f t="shared" si="49"/>
        <v>8.9160743858923558E-2</v>
      </c>
      <c r="K75" s="1"/>
      <c r="L75" s="1">
        <f t="shared" si="50"/>
        <v>-2716.71</v>
      </c>
      <c r="M75" s="1"/>
      <c r="N75" s="5">
        <f t="shared" si="51"/>
        <v>-0.30645588854057504</v>
      </c>
      <c r="O75" s="13"/>
      <c r="P75" s="1">
        <f>SUM(OSRRefP22_11x_0)</f>
        <v>29596.760000000002</v>
      </c>
      <c r="Q75" s="1"/>
      <c r="R75" s="5">
        <f t="shared" si="52"/>
        <v>7.3964187468060397E-2</v>
      </c>
      <c r="S75" s="1"/>
      <c r="T75" s="1">
        <f>SUM(OSRRefT22_11x_0)</f>
        <v>43481.06</v>
      </c>
      <c r="U75" s="1"/>
      <c r="V75" s="5">
        <f t="shared" si="53"/>
        <v>0.1034578147006259</v>
      </c>
      <c r="W75" s="1"/>
      <c r="X75" s="1">
        <f t="shared" si="54"/>
        <v>-13884.299999999996</v>
      </c>
      <c r="Y75" s="1"/>
      <c r="Z75" s="5">
        <f t="shared" si="55"/>
        <v>-0.31931834228512362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>
        <v>1017.27</v>
      </c>
      <c r="Q76" s="2"/>
      <c r="R76" s="7">
        <f t="shared" si="52"/>
        <v>2.5422224927875146E-3</v>
      </c>
      <c r="S76" s="2"/>
      <c r="T76" s="6">
        <v>856.68</v>
      </c>
      <c r="U76" s="2"/>
      <c r="V76" s="7">
        <f t="shared" si="53"/>
        <v>2.0383643061538106E-3</v>
      </c>
      <c r="W76" s="2"/>
      <c r="X76" s="6">
        <f t="shared" si="54"/>
        <v>160.59000000000003</v>
      </c>
      <c r="Y76" s="2"/>
      <c r="Z76" s="7">
        <f t="shared" si="55"/>
        <v>0.18745622636223566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1524.87</v>
      </c>
      <c r="E77" s="2"/>
      <c r="F77" s="7">
        <f t="shared" si="48"/>
        <v>1.648414193050839E-2</v>
      </c>
      <c r="G77" s="2"/>
      <c r="H77" s="6"/>
      <c r="I77" s="2"/>
      <c r="J77" s="7">
        <f t="shared" si="49"/>
        <v>0</v>
      </c>
      <c r="K77" s="2"/>
      <c r="L77" s="6">
        <f t="shared" si="50"/>
        <v>1524.87</v>
      </c>
      <c r="M77" s="2"/>
      <c r="N77" s="7">
        <f t="shared" si="51"/>
        <v>0</v>
      </c>
      <c r="O77" s="11"/>
      <c r="P77" s="6">
        <v>1694.29</v>
      </c>
      <c r="Q77" s="2"/>
      <c r="R77" s="7">
        <f t="shared" si="52"/>
        <v>4.2341385741297369E-3</v>
      </c>
      <c r="S77" s="2"/>
      <c r="T77" s="6">
        <v>1.59</v>
      </c>
      <c r="U77" s="2"/>
      <c r="V77" s="7">
        <f t="shared" si="53"/>
        <v>3.7832087206244559E-6</v>
      </c>
      <c r="W77" s="2"/>
      <c r="X77" s="6">
        <f t="shared" si="54"/>
        <v>1692.7</v>
      </c>
      <c r="Y77" s="2"/>
      <c r="Z77" s="7">
        <f t="shared" si="55"/>
        <v>1064.5911949685535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6">
        <v>2294.33</v>
      </c>
      <c r="E78" s="2"/>
      <c r="F78" s="7">
        <f t="shared" si="48"/>
        <v>2.4802154515088708E-2</v>
      </c>
      <c r="G78" s="2"/>
      <c r="H78" s="6">
        <v>2957.88</v>
      </c>
      <c r="I78" s="2"/>
      <c r="J78" s="7">
        <f t="shared" si="49"/>
        <v>2.9749448788138521E-2</v>
      </c>
      <c r="K78" s="2"/>
      <c r="L78" s="6">
        <f t="shared" si="50"/>
        <v>-663.55000000000018</v>
      </c>
      <c r="M78" s="2"/>
      <c r="N78" s="7">
        <f t="shared" si="51"/>
        <v>-0.22433296820695908</v>
      </c>
      <c r="O78" s="11"/>
      <c r="P78" s="6">
        <v>11852.83</v>
      </c>
      <c r="Q78" s="2"/>
      <c r="R78" s="7">
        <f t="shared" si="52"/>
        <v>2.9620976760532245E-2</v>
      </c>
      <c r="S78" s="2"/>
      <c r="T78" s="6">
        <v>22116.63</v>
      </c>
      <c r="U78" s="2"/>
      <c r="V78" s="7">
        <f t="shared" si="53"/>
        <v>5.2623790872216643E-2</v>
      </c>
      <c r="W78" s="2"/>
      <c r="X78" s="6">
        <f t="shared" si="54"/>
        <v>-10263.800000000001</v>
      </c>
      <c r="Y78" s="2"/>
      <c r="Z78" s="7">
        <f t="shared" si="55"/>
        <v>-0.46407612733042969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>
        <v>794.09</v>
      </c>
      <c r="E79" s="2"/>
      <c r="F79" s="7">
        <f t="shared" si="48"/>
        <v>8.5842676855059172E-3</v>
      </c>
      <c r="G79" s="2"/>
      <c r="H79" s="6">
        <v>4075.37</v>
      </c>
      <c r="I79" s="2"/>
      <c r="J79" s="7">
        <f t="shared" si="49"/>
        <v>4.0988820069683719E-2</v>
      </c>
      <c r="K79" s="2"/>
      <c r="L79" s="6">
        <f t="shared" si="50"/>
        <v>-3281.2799999999997</v>
      </c>
      <c r="M79" s="2"/>
      <c r="N79" s="7">
        <f t="shared" si="51"/>
        <v>-0.80514898033798155</v>
      </c>
      <c r="O79" s="11"/>
      <c r="P79" s="6">
        <v>2007.27</v>
      </c>
      <c r="Q79" s="2"/>
      <c r="R79" s="7">
        <f t="shared" si="52"/>
        <v>5.0162955194762394E-3</v>
      </c>
      <c r="S79" s="2"/>
      <c r="T79" s="6">
        <v>9029.7000000000007</v>
      </c>
      <c r="U79" s="2"/>
      <c r="V79" s="7">
        <f t="shared" si="53"/>
        <v>2.1485056468316131E-2</v>
      </c>
      <c r="W79" s="2"/>
      <c r="X79" s="6">
        <f t="shared" si="54"/>
        <v>-7022.43</v>
      </c>
      <c r="Y79" s="2"/>
      <c r="Z79" s="7">
        <f t="shared" si="55"/>
        <v>-0.77770357819196645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>
        <v>1534.93</v>
      </c>
      <c r="E80" s="2"/>
      <c r="F80" s="7">
        <f t="shared" si="48"/>
        <v>1.659289249142238E-2</v>
      </c>
      <c r="G80" s="2"/>
      <c r="H80" s="6">
        <v>1831.68</v>
      </c>
      <c r="I80" s="2"/>
      <c r="J80" s="7">
        <f t="shared" si="49"/>
        <v>1.8422475001101318E-2</v>
      </c>
      <c r="K80" s="2"/>
      <c r="L80" s="6">
        <f t="shared" si="50"/>
        <v>-296.75</v>
      </c>
      <c r="M80" s="2"/>
      <c r="N80" s="7">
        <f t="shared" si="51"/>
        <v>-0.16200973969252272</v>
      </c>
      <c r="O80" s="11"/>
      <c r="P80" s="6">
        <v>13025.1</v>
      </c>
      <c r="Q80" s="2"/>
      <c r="R80" s="7">
        <f t="shared" si="52"/>
        <v>3.255055412113466E-2</v>
      </c>
      <c r="S80" s="2"/>
      <c r="T80" s="6">
        <v>11476.46</v>
      </c>
      <c r="U80" s="2"/>
      <c r="V80" s="7">
        <f t="shared" si="53"/>
        <v>2.7306819845218704E-2</v>
      </c>
      <c r="W80" s="2"/>
      <c r="X80" s="6">
        <f t="shared" si="54"/>
        <v>1548.6400000000012</v>
      </c>
      <c r="Y80" s="2"/>
      <c r="Z80" s="7">
        <f t="shared" si="55"/>
        <v>0.13494056529626744</v>
      </c>
    </row>
    <row r="81" spans="1:26" s="26" customFormat="1" outlineLevel="1" collapsed="1" x14ac:dyDescent="0.25">
      <c r="A81" s="27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SUM(OSRRefD22_12x_0)</f>
        <v>190.65</v>
      </c>
      <c r="E81" s="1"/>
      <c r="F81" s="5">
        <f t="shared" ref="F81:F84" si="56">IF(D$12=0,0,D81/D$12)</f>
        <v>2.0609636618540762E-3</v>
      </c>
      <c r="G81" s="1"/>
      <c r="H81" s="1">
        <f>SUM(OSRRefH22_12x_0)</f>
        <v>124.75</v>
      </c>
      <c r="I81" s="1"/>
      <c r="J81" s="5">
        <f t="shared" ref="J81:J84" si="57">IF(H$12=0,0,H81/H$12)</f>
        <v>1.2546971940444779E-3</v>
      </c>
      <c r="K81" s="1"/>
      <c r="L81" s="1">
        <f t="shared" ref="L81:L84" si="58">+D81-H81</f>
        <v>65.900000000000006</v>
      </c>
      <c r="M81" s="1"/>
      <c r="N81" s="5">
        <f t="shared" ref="N81:N84" si="59">IF(H81=0,0,L81/H81)</f>
        <v>0.52825651302605214</v>
      </c>
      <c r="O81" s="13"/>
      <c r="P81" s="1">
        <f>SUM(OSRRefP22_12x_0)</f>
        <v>1416.5</v>
      </c>
      <c r="Q81" s="1"/>
      <c r="R81" s="5">
        <f t="shared" ref="R81:R84" si="60">IF(P$12=0,0,P81/P$12)</f>
        <v>3.5399236790955345E-3</v>
      </c>
      <c r="S81" s="1"/>
      <c r="T81" s="1">
        <f>SUM(OSRRefT22_12x_0)</f>
        <v>1945.05</v>
      </c>
      <c r="U81" s="1"/>
      <c r="V81" s="5">
        <f t="shared" ref="V81:V84" si="61">IF(T$12=0,0,T81/T$12)</f>
        <v>4.628006366069558E-3</v>
      </c>
      <c r="W81" s="1"/>
      <c r="X81" s="1">
        <f t="shared" ref="X81:X84" si="62">+P81-T81</f>
        <v>-528.54999999999995</v>
      </c>
      <c r="Y81" s="1"/>
      <c r="Z81" s="5">
        <f t="shared" ref="Z81:Z84" si="63">IF(T81=0,0,X81/T81)</f>
        <v>-0.27174108634739463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190.65</v>
      </c>
      <c r="E82" s="2"/>
      <c r="F82" s="7">
        <f t="shared" si="56"/>
        <v>2.0609636618540762E-3</v>
      </c>
      <c r="G82" s="2"/>
      <c r="H82" s="6">
        <v>124.75</v>
      </c>
      <c r="I82" s="2"/>
      <c r="J82" s="7">
        <f t="shared" si="57"/>
        <v>1.2546971940444779E-3</v>
      </c>
      <c r="K82" s="2"/>
      <c r="L82" s="6">
        <f t="shared" si="58"/>
        <v>65.900000000000006</v>
      </c>
      <c r="M82" s="2"/>
      <c r="N82" s="7">
        <f t="shared" si="59"/>
        <v>0.52825651302605214</v>
      </c>
      <c r="O82" s="11"/>
      <c r="P82" s="6">
        <v>1416.5</v>
      </c>
      <c r="Q82" s="2"/>
      <c r="R82" s="7">
        <f t="shared" si="60"/>
        <v>3.5399236790955345E-3</v>
      </c>
      <c r="S82" s="2"/>
      <c r="T82" s="6">
        <v>1945.05</v>
      </c>
      <c r="U82" s="2"/>
      <c r="V82" s="7">
        <f t="shared" si="61"/>
        <v>4.628006366069558E-3</v>
      </c>
      <c r="W82" s="2"/>
      <c r="X82" s="6">
        <f t="shared" si="62"/>
        <v>-528.54999999999995</v>
      </c>
      <c r="Y82" s="2"/>
      <c r="Z82" s="7">
        <f t="shared" si="63"/>
        <v>-0.27174108634739463</v>
      </c>
    </row>
    <row r="83" spans="1:26" s="26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SUM(OSRRefD22_13x_0)</f>
        <v>0</v>
      </c>
      <c r="E83" s="1"/>
      <c r="F83" s="5">
        <f t="shared" si="56"/>
        <v>0</v>
      </c>
      <c r="G83" s="1"/>
      <c r="H83" s="1">
        <f>SUM(OSRRefH22_13x_0)</f>
        <v>0</v>
      </c>
      <c r="I83" s="1"/>
      <c r="J83" s="5">
        <f t="shared" si="57"/>
        <v>0</v>
      </c>
      <c r="K83" s="1"/>
      <c r="L83" s="1">
        <f t="shared" si="58"/>
        <v>0</v>
      </c>
      <c r="M83" s="1"/>
      <c r="N83" s="5">
        <f t="shared" si="59"/>
        <v>0</v>
      </c>
      <c r="O83" s="13"/>
      <c r="P83" s="1">
        <f>SUM(OSRRefP22_13x_0)</f>
        <v>97.71</v>
      </c>
      <c r="Q83" s="1"/>
      <c r="R83" s="5">
        <f t="shared" si="60"/>
        <v>2.4418351054318718E-4</v>
      </c>
      <c r="S83" s="1"/>
      <c r="T83" s="1">
        <f>SUM(OSRRefT22_13x_0)</f>
        <v>0</v>
      </c>
      <c r="U83" s="1"/>
      <c r="V83" s="5">
        <f t="shared" si="61"/>
        <v>0</v>
      </c>
      <c r="W83" s="1"/>
      <c r="X83" s="1">
        <f t="shared" si="62"/>
        <v>97.71</v>
      </c>
      <c r="Y83" s="1"/>
      <c r="Z83" s="5">
        <f t="shared" si="63"/>
        <v>0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>
        <v>97.71</v>
      </c>
      <c r="Q84" s="2"/>
      <c r="R84" s="7">
        <f t="shared" si="60"/>
        <v>2.4418351054318718E-4</v>
      </c>
      <c r="S84" s="2"/>
      <c r="T84" s="6"/>
      <c r="U84" s="2"/>
      <c r="V84" s="7">
        <f t="shared" si="61"/>
        <v>0</v>
      </c>
      <c r="W84" s="2"/>
      <c r="X84" s="6">
        <f t="shared" si="62"/>
        <v>97.71</v>
      </c>
      <c r="Y84" s="2"/>
      <c r="Z84" s="7">
        <f t="shared" si="63"/>
        <v>0</v>
      </c>
    </row>
    <row r="85" spans="1:26" s="59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9" t="s">
        <v>0</v>
      </c>
      <c r="C86" s="10"/>
      <c r="D86" s="4">
        <f>SUM(OSRRefD25x_0)</f>
        <v>16826.099999999999</v>
      </c>
      <c r="E86" s="4"/>
      <c r="F86" s="12">
        <f t="shared" ref="F86:F92" si="64">IF(D$12=0,0,D86/D$12)</f>
        <v>0.181893420774838</v>
      </c>
      <c r="G86" s="4"/>
      <c r="H86" s="4">
        <f>SUM(OSRRefH25x_0)</f>
        <v>17015.400000000001</v>
      </c>
      <c r="I86" s="4"/>
      <c r="J86" s="12">
        <f t="shared" ref="J86:J92" si="65">IF(H$12=0,0,H86/H$12)</f>
        <v>0.17113566842119768</v>
      </c>
      <c r="K86" s="4"/>
      <c r="L86" s="4">
        <f t="shared" ref="L86:L92" si="66">+D86-H86</f>
        <v>-189.30000000000291</v>
      </c>
      <c r="M86" s="4"/>
      <c r="N86" s="12">
        <f t="shared" ref="N86:N92" si="67">IF(H86=0,0,L86/H86)</f>
        <v>-1.1125215980817548E-2</v>
      </c>
      <c r="O86" s="10"/>
      <c r="P86" s="4">
        <f>SUM(OSRRefP25x_0)</f>
        <v>182173.5</v>
      </c>
      <c r="Q86" s="4"/>
      <c r="R86" s="12">
        <f t="shared" ref="R86:R92" si="68">IF(P$12=0,0,P86/P$12)</f>
        <v>0.45526317427018026</v>
      </c>
      <c r="S86" s="4"/>
      <c r="T86" s="4">
        <f>SUM(OSRRefT25x_0)</f>
        <v>92782.9</v>
      </c>
      <c r="U86" s="4"/>
      <c r="V86" s="12">
        <f t="shared" ref="V86:V92" si="69">IF(T$12=0,0,T86/T$12)</f>
        <v>0.22076545685838164</v>
      </c>
      <c r="W86" s="4"/>
      <c r="X86" s="4">
        <f t="shared" ref="X86:X92" si="70">+P86-T86</f>
        <v>89390.6</v>
      </c>
      <c r="Y86" s="4"/>
      <c r="Z86" s="12">
        <f t="shared" ref="Z86:Z92" si="71">IF(T86=0,0,X86/T86)</f>
        <v>0.96343830598095137</v>
      </c>
    </row>
    <row r="87" spans="1:26" s="24" customFormat="1" hidden="1" outlineLevel="1" x14ac:dyDescent="0.25">
      <c r="A87" s="44"/>
      <c r="B87" s="11" t="str">
        <f>CONCATENATE("          ", "4098", " - ", "TAXABLE SALES-GRAD RENTALS")</f>
        <v xml:space="preserve">          4098 - TAXABLE SALES-GRAD RENTALS</v>
      </c>
      <c r="C87" s="11"/>
      <c r="D87" s="2">
        <f>--320</f>
        <v>320</v>
      </c>
      <c r="E87" s="2"/>
      <c r="F87" s="19">
        <f t="shared" si="64"/>
        <v>3.4592623749976621E-3</v>
      </c>
      <c r="G87" s="2"/>
      <c r="H87" s="2">
        <f>0</f>
        <v>0</v>
      </c>
      <c r="I87" s="2"/>
      <c r="J87" s="19">
        <f t="shared" si="65"/>
        <v>0</v>
      </c>
      <c r="K87" s="2"/>
      <c r="L87" s="2">
        <f t="shared" si="66"/>
        <v>320</v>
      </c>
      <c r="M87" s="2"/>
      <c r="N87" s="19">
        <f t="shared" si="67"/>
        <v>0</v>
      </c>
      <c r="O87" s="11"/>
      <c r="P87" s="2">
        <f>--1946.85</f>
        <v>1946.85</v>
      </c>
      <c r="Q87" s="2"/>
      <c r="R87" s="19">
        <f t="shared" si="68"/>
        <v>4.8653020929383273E-3</v>
      </c>
      <c r="S87" s="2"/>
      <c r="T87" s="2">
        <f>--2269.5</f>
        <v>2269.5</v>
      </c>
      <c r="U87" s="2"/>
      <c r="V87" s="19">
        <f t="shared" si="69"/>
        <v>5.3999950889667943E-3</v>
      </c>
      <c r="W87" s="2"/>
      <c r="X87" s="2">
        <f t="shared" si="70"/>
        <v>-322.65000000000009</v>
      </c>
      <c r="Y87" s="2"/>
      <c r="Z87" s="19">
        <f t="shared" si="71"/>
        <v>-0.14216787838731001</v>
      </c>
    </row>
    <row r="88" spans="1:26" s="24" customFormat="1" hidden="1" outlineLevel="1" x14ac:dyDescent="0.25">
      <c r="A88" s="44"/>
      <c r="B88" s="11" t="str">
        <f>CONCATENATE("          ", "4197", " - ", "NON-TAXABLE SALES-RETURNED CHE")</f>
        <v xml:space="preserve">          4197 - NON-TAXABLE SALES-RETURNED CHE</v>
      </c>
      <c r="C88" s="11"/>
      <c r="D88" s="2">
        <f>0</f>
        <v>0</v>
      </c>
      <c r="E88" s="2"/>
      <c r="F88" s="19">
        <f t="shared" si="64"/>
        <v>0</v>
      </c>
      <c r="G88" s="2"/>
      <c r="H88" s="2">
        <f>--75</f>
        <v>75</v>
      </c>
      <c r="I88" s="2"/>
      <c r="J88" s="19">
        <f t="shared" si="65"/>
        <v>7.5432697036742155E-4</v>
      </c>
      <c r="K88" s="2"/>
      <c r="L88" s="2">
        <f t="shared" si="66"/>
        <v>-75</v>
      </c>
      <c r="M88" s="2"/>
      <c r="N88" s="19">
        <f t="shared" si="67"/>
        <v>-1</v>
      </c>
      <c r="O88" s="11"/>
      <c r="P88" s="2">
        <f>--30</f>
        <v>30</v>
      </c>
      <c r="Q88" s="2"/>
      <c r="R88" s="19">
        <f t="shared" si="68"/>
        <v>7.4971909899658329E-5</v>
      </c>
      <c r="S88" s="2"/>
      <c r="T88" s="2">
        <f>--335</f>
        <v>335</v>
      </c>
      <c r="U88" s="2"/>
      <c r="V88" s="19">
        <f t="shared" si="69"/>
        <v>7.9709114554037271E-4</v>
      </c>
      <c r="W88" s="2"/>
      <c r="X88" s="2">
        <f t="shared" si="70"/>
        <v>-305</v>
      </c>
      <c r="Y88" s="2"/>
      <c r="Z88" s="19">
        <f t="shared" si="71"/>
        <v>-0.91044776119402981</v>
      </c>
    </row>
    <row r="89" spans="1:26" s="24" customFormat="1" hidden="1" outlineLevel="1" x14ac:dyDescent="0.25">
      <c r="A89" s="44"/>
      <c r="B89" s="11" t="str">
        <f>CONCATENATE("          ", "4198", " - ", "NON-TAXABLE SALES-GRAD RENTALS")</f>
        <v xml:space="preserve">          4198 - NON-TAXABLE SALES-GRAD RENTALS</v>
      </c>
      <c r="C89" s="11"/>
      <c r="D89" s="2">
        <f>--3237.1</f>
        <v>3237.1</v>
      </c>
      <c r="E89" s="2"/>
      <c r="F89" s="19">
        <f t="shared" si="64"/>
        <v>3.4993681981577915E-2</v>
      </c>
      <c r="G89" s="2"/>
      <c r="H89" s="2">
        <f>--15</f>
        <v>15</v>
      </c>
      <c r="I89" s="2"/>
      <c r="J89" s="19">
        <f t="shared" si="65"/>
        <v>1.5086539407348432E-4</v>
      </c>
      <c r="K89" s="2"/>
      <c r="L89" s="2">
        <f t="shared" si="66"/>
        <v>3222.1</v>
      </c>
      <c r="M89" s="2"/>
      <c r="N89" s="19">
        <f t="shared" si="67"/>
        <v>214.80666666666667</v>
      </c>
      <c r="O89" s="11"/>
      <c r="P89" s="2">
        <f>--3732.1</f>
        <v>3732.1</v>
      </c>
      <c r="Q89" s="2"/>
      <c r="R89" s="19">
        <f t="shared" si="68"/>
        <v>9.3267554978838287E-3</v>
      </c>
      <c r="S89" s="2"/>
      <c r="T89" s="2">
        <f>--465</f>
        <v>465</v>
      </c>
      <c r="U89" s="2"/>
      <c r="V89" s="19">
        <f t="shared" si="69"/>
        <v>1.1064100975411145E-3</v>
      </c>
      <c r="W89" s="2"/>
      <c r="X89" s="2">
        <f t="shared" si="70"/>
        <v>3267.1</v>
      </c>
      <c r="Y89" s="2"/>
      <c r="Z89" s="19">
        <f t="shared" si="71"/>
        <v>7.0260215053763435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--13269</f>
        <v>13269</v>
      </c>
      <c r="E90" s="2"/>
      <c r="F90" s="19">
        <f t="shared" si="64"/>
        <v>0.14344047641826244</v>
      </c>
      <c r="G90" s="2"/>
      <c r="H90" s="2">
        <f>--16345.4</f>
        <v>16345.4</v>
      </c>
      <c r="I90" s="2"/>
      <c r="J90" s="19">
        <f t="shared" si="65"/>
        <v>0.16439701415258204</v>
      </c>
      <c r="K90" s="2"/>
      <c r="L90" s="2">
        <f t="shared" si="66"/>
        <v>-3076.3999999999996</v>
      </c>
      <c r="M90" s="2"/>
      <c r="N90" s="19">
        <f t="shared" si="67"/>
        <v>-0.18821197401103673</v>
      </c>
      <c r="O90" s="11"/>
      <c r="P90" s="2">
        <f>--92883</f>
        <v>92883</v>
      </c>
      <c r="Q90" s="2"/>
      <c r="R90" s="19">
        <f t="shared" si="68"/>
        <v>0.23212053024033216</v>
      </c>
      <c r="S90" s="2"/>
      <c r="T90" s="2">
        <f>--88843.4</f>
        <v>88843.4</v>
      </c>
      <c r="U90" s="2"/>
      <c r="V90" s="19">
        <f t="shared" si="69"/>
        <v>0.21139190292448223</v>
      </c>
      <c r="W90" s="2"/>
      <c r="X90" s="2">
        <f t="shared" si="70"/>
        <v>4039.6000000000058</v>
      </c>
      <c r="Y90" s="2"/>
      <c r="Z90" s="19">
        <f t="shared" si="71"/>
        <v>4.5468768642352796E-2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 t="shared" ref="D91:D92" si="72">0</f>
        <v>0</v>
      </c>
      <c r="E91" s="2"/>
      <c r="F91" s="19">
        <f t="shared" si="64"/>
        <v>0</v>
      </c>
      <c r="G91" s="2"/>
      <c r="H91" s="2">
        <f>--580</f>
        <v>580</v>
      </c>
      <c r="I91" s="2"/>
      <c r="J91" s="19">
        <f t="shared" si="65"/>
        <v>5.8334619041747271E-3</v>
      </c>
      <c r="K91" s="2"/>
      <c r="L91" s="2">
        <f t="shared" si="66"/>
        <v>-580</v>
      </c>
      <c r="M91" s="2"/>
      <c r="N91" s="19">
        <f t="shared" si="67"/>
        <v>-1</v>
      </c>
      <c r="O91" s="11"/>
      <c r="P91" s="2">
        <f>--22475</f>
        <v>22475</v>
      </c>
      <c r="Q91" s="2"/>
      <c r="R91" s="19">
        <f t="shared" si="68"/>
        <v>5.6166455833160704E-2</v>
      </c>
      <c r="S91" s="2"/>
      <c r="T91" s="2">
        <f>--870</f>
        <v>870</v>
      </c>
      <c r="U91" s="2"/>
      <c r="V91" s="19">
        <f t="shared" si="69"/>
        <v>2.0700576018511173E-3</v>
      </c>
      <c r="W91" s="2"/>
      <c r="X91" s="2">
        <f t="shared" si="70"/>
        <v>21605</v>
      </c>
      <c r="Y91" s="2"/>
      <c r="Z91" s="19">
        <f t="shared" si="71"/>
        <v>24.833333333333332</v>
      </c>
    </row>
    <row r="92" spans="1:26" s="24" customFormat="1" hidden="1" outlineLevel="1" x14ac:dyDescent="0.25">
      <c r="A92" s="44"/>
      <c r="B92" s="11" t="str">
        <f>CONCATENATE("          ", "9163", " - ", "MISC. INCOME")</f>
        <v xml:space="preserve">          9163 - MISC. INCOME</v>
      </c>
      <c r="C92" s="11"/>
      <c r="D92" s="2">
        <f t="shared" si="72"/>
        <v>0</v>
      </c>
      <c r="E92" s="2"/>
      <c r="F92" s="19">
        <f t="shared" si="64"/>
        <v>0</v>
      </c>
      <c r="G92" s="2"/>
      <c r="H92" s="2">
        <f>0</f>
        <v>0</v>
      </c>
      <c r="I92" s="2"/>
      <c r="J92" s="19">
        <f t="shared" si="65"/>
        <v>0</v>
      </c>
      <c r="K92" s="2"/>
      <c r="L92" s="2">
        <f t="shared" si="66"/>
        <v>0</v>
      </c>
      <c r="M92" s="2"/>
      <c r="N92" s="19">
        <f t="shared" si="67"/>
        <v>0</v>
      </c>
      <c r="O92" s="11"/>
      <c r="P92" s="2">
        <f>--61106.55</f>
        <v>61106.55</v>
      </c>
      <c r="Q92" s="2"/>
      <c r="R92" s="19">
        <f t="shared" si="68"/>
        <v>0.15270915869596557</v>
      </c>
      <c r="S92" s="2"/>
      <c r="T92" s="2">
        <f>0</f>
        <v>0</v>
      </c>
      <c r="U92" s="2"/>
      <c r="V92" s="19">
        <f t="shared" si="69"/>
        <v>0</v>
      </c>
      <c r="W92" s="2"/>
      <c r="X92" s="2">
        <f t="shared" si="70"/>
        <v>61106.55</v>
      </c>
      <c r="Y92" s="2"/>
      <c r="Z92" s="19">
        <f t="shared" si="71"/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8" t="s">
        <v>3</v>
      </c>
      <c r="C94" s="28"/>
      <c r="D94" s="21">
        <f>+D38-D40+D86</f>
        <v>66880.950000000012</v>
      </c>
      <c r="E94" s="14"/>
      <c r="F94" s="22">
        <f>IF(D$12=0,0,D94/D$12)</f>
        <v>0.72299610605968734</v>
      </c>
      <c r="G94" s="14"/>
      <c r="H94" s="21">
        <f>+H38-H40+H86</f>
        <v>72226.420000000013</v>
      </c>
      <c r="I94" s="14"/>
      <c r="J94" s="22">
        <f>IF(H$12=0,0,H94/H$12)</f>
        <v>0.72643115438779937</v>
      </c>
      <c r="K94" s="16"/>
      <c r="L94" s="21">
        <f>+D94-H94</f>
        <v>-5345.4700000000012</v>
      </c>
      <c r="M94" s="16"/>
      <c r="N94" s="22">
        <f>IF(H94=0,0,L94/H94)</f>
        <v>-7.4009898316987052E-2</v>
      </c>
      <c r="O94" s="29"/>
      <c r="P94" s="21">
        <f>+P38-P40+P86</f>
        <v>261107.26999999996</v>
      </c>
      <c r="Q94" s="14"/>
      <c r="R94" s="22">
        <f>IF(P$12=0,0,P94/P$12)</f>
        <v>0.65252369068619198</v>
      </c>
      <c r="S94" s="14"/>
      <c r="T94" s="21">
        <f>+T38-T40+T86</f>
        <v>172729.70999999982</v>
      </c>
      <c r="U94" s="14"/>
      <c r="V94" s="22">
        <f>IF(T$12=0,0,T94/T$12)</f>
        <v>0.41098902212763055</v>
      </c>
      <c r="W94" s="16"/>
      <c r="X94" s="21">
        <f>+P94-T94</f>
        <v>88377.560000000143</v>
      </c>
      <c r="Y94" s="16"/>
      <c r="Z94" s="22">
        <f>IF(T94=0,0,X94/T94)</f>
        <v>0.51165233821095535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8501.9699999999993</v>
      </c>
      <c r="E96" s="4"/>
      <c r="F96" s="12">
        <f>IF(D$12=0,0,D96/D$12)</f>
        <v>9.1907952919871472E-2</v>
      </c>
      <c r="G96" s="4"/>
      <c r="H96" s="4">
        <v>8138.74</v>
      </c>
      <c r="I96" s="4"/>
      <c r="J96" s="12">
        <f>IF(H$12=0,0,H96/H$12)</f>
        <v>8.1856947824108642E-2</v>
      </c>
      <c r="K96" s="4"/>
      <c r="L96" s="4">
        <f>+D96-H96</f>
        <v>363.22999999999956</v>
      </c>
      <c r="M96" s="4"/>
      <c r="N96" s="12">
        <f>IF(H96=0,0,L96/H96)</f>
        <v>4.4629758414693133E-2</v>
      </c>
      <c r="O96" s="10"/>
      <c r="P96" s="4">
        <v>41729.96</v>
      </c>
      <c r="Q96" s="4"/>
      <c r="R96" s="12">
        <f>IF(P$12=0,0,P96/P$12)</f>
        <v>0.10428582670787821</v>
      </c>
      <c r="S96" s="4"/>
      <c r="T96" s="4">
        <v>42763.5</v>
      </c>
      <c r="U96" s="4"/>
      <c r="V96" s="12">
        <f>IF(T$12=0,0,T96/T$12)</f>
        <v>0.10175046926064397</v>
      </c>
      <c r="W96" s="4"/>
      <c r="X96" s="4">
        <f>+P96-T96</f>
        <v>-1033.5400000000009</v>
      </c>
      <c r="Y96" s="4"/>
      <c r="Z96" s="12">
        <f>IF(T96=0,0,X96/T96)</f>
        <v>-2.4168742034679128E-2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4</v>
      </c>
      <c r="C98" s="28"/>
      <c r="D98" s="34">
        <f>+D94-D96</f>
        <v>58378.98000000001</v>
      </c>
      <c r="E98" s="14"/>
      <c r="F98" s="31">
        <f>IF(D$12=0,0,D98/D$12)</f>
        <v>0.63108815313981581</v>
      </c>
      <c r="G98" s="14"/>
      <c r="H98" s="34">
        <f>+H94-H96</f>
        <v>64087.680000000015</v>
      </c>
      <c r="I98" s="14"/>
      <c r="J98" s="31">
        <f>IF(H$12=0,0,H98/H$12)</f>
        <v>0.6445742065636908</v>
      </c>
      <c r="K98" s="16"/>
      <c r="L98" s="34">
        <f>D98-H98</f>
        <v>-5708.7000000000044</v>
      </c>
      <c r="M98" s="16"/>
      <c r="N98" s="31">
        <f>IF(H98=0,0,L98/H98)</f>
        <v>-8.9076402828125512E-2</v>
      </c>
      <c r="O98" s="29"/>
      <c r="P98" s="34">
        <f>+P94-P96</f>
        <v>219377.30999999997</v>
      </c>
      <c r="Q98" s="14"/>
      <c r="R98" s="31">
        <f>IF(P$12=0,0,P98/P$12)</f>
        <v>0.54823786397831376</v>
      </c>
      <c r="S98" s="14"/>
      <c r="T98" s="34">
        <f>+T94-T96</f>
        <v>129966.20999999982</v>
      </c>
      <c r="U98" s="14"/>
      <c r="V98" s="31">
        <f>IF(T$12=0,0,T98/T$12)</f>
        <v>0.30923855286698659</v>
      </c>
      <c r="W98" s="16"/>
      <c r="X98" s="34">
        <f>P98-T98</f>
        <v>89411.100000000151</v>
      </c>
      <c r="Y98" s="16"/>
      <c r="Z98" s="31">
        <f>IF(T98=0,0,X98/T98)</f>
        <v>0.68795650808006381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5</v>
      </c>
      <c r="C101" s="28"/>
      <c r="D101" s="30">
        <f>SUM(D98:D100)</f>
        <v>58378.98000000001</v>
      </c>
      <c r="E101" s="14"/>
      <c r="F101" s="33">
        <f>IF(D$12=0,0,D101/D$12)</f>
        <v>0.63108815313981581</v>
      </c>
      <c r="G101" s="14"/>
      <c r="H101" s="30">
        <f>SUM(H98:H100)</f>
        <v>64087.680000000015</v>
      </c>
      <c r="I101" s="14"/>
      <c r="J101" s="33">
        <f>IF(H$12=0,0,H101/H$12)</f>
        <v>0.6445742065636908</v>
      </c>
      <c r="K101" s="16"/>
      <c r="L101" s="30">
        <f>+D101-H101</f>
        <v>-5708.7000000000044</v>
      </c>
      <c r="M101" s="16"/>
      <c r="N101" s="33">
        <f>IF(H101=0,0,L101/H101)</f>
        <v>-8.9076402828125512E-2</v>
      </c>
      <c r="O101" s="29"/>
      <c r="P101" s="30">
        <f>SUM(P98:P100)</f>
        <v>219377.30999999997</v>
      </c>
      <c r="Q101" s="14"/>
      <c r="R101" s="33">
        <f>IF(P$12=0,0,P101/P$12)</f>
        <v>0.54823786397831376</v>
      </c>
      <c r="S101" s="14"/>
      <c r="T101" s="30">
        <f>SUM(T98:T100)</f>
        <v>129966.20999999982</v>
      </c>
      <c r="U101" s="14"/>
      <c r="V101" s="33">
        <f>IF(T$12=0,0,T101/T$12)</f>
        <v>0.30923855286698659</v>
      </c>
      <c r="W101" s="16"/>
      <c r="X101" s="30">
        <f>+P101-T101</f>
        <v>89411.100000000151</v>
      </c>
      <c r="Y101" s="16"/>
      <c r="Z101" s="33">
        <f>IF(T101=0,0,X101/T101)</f>
        <v>0.68795650808006381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1">
        <v>43879.55339155093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5" t="s">
        <v>313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8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","316", " - ", "Campus Copy Center")</f>
        <v>Department 316 - Campus Copy Center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92494.33</v>
      </c>
      <c r="E12" s="4"/>
      <c r="F12" s="12"/>
      <c r="G12" s="4"/>
      <c r="H12" s="4">
        <f>SUM(OSRRefH13x_0)</f>
        <v>99007.300000000017</v>
      </c>
      <c r="I12" s="4"/>
      <c r="J12" s="12"/>
      <c r="K12" s="4"/>
      <c r="L12" s="4">
        <f t="shared" ref="L12:L25" si="0">+D12-H12</f>
        <v>-6512.9700000000157</v>
      </c>
      <c r="M12" s="4"/>
      <c r="N12" s="12">
        <f t="shared" ref="N12:N25" si="1">IF(H12=0,0,L12/H12)</f>
        <v>-6.5782725112188842E-2</v>
      </c>
      <c r="O12" s="10"/>
      <c r="P12" s="4">
        <f>SUM(OSRRefP13x_0)</f>
        <v>392590.04000000004</v>
      </c>
      <c r="Q12" s="4"/>
      <c r="R12" s="12"/>
      <c r="S12" s="4"/>
      <c r="T12" s="4">
        <f>SUM(OSRRefT13x_0)</f>
        <v>412256.03999999992</v>
      </c>
      <c r="U12" s="4"/>
      <c r="V12" s="12"/>
      <c r="W12" s="4"/>
      <c r="X12" s="4">
        <f t="shared" ref="X12:X25" si="2">+P12-T12</f>
        <v>-19665.999999999884</v>
      </c>
      <c r="Y12" s="4"/>
      <c r="Z12" s="12">
        <f t="shared" ref="Z12:Z25" si="3">IF(T12=0,0,X12/T12)</f>
        <v>-4.7703364152044653E-2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--67657.65</f>
        <v>67657.649999999994</v>
      </c>
      <c r="E13" s="2"/>
      <c r="F13" s="19"/>
      <c r="G13" s="2"/>
      <c r="H13" s="2">
        <f>--70548.45</f>
        <v>70548.45</v>
      </c>
      <c r="I13" s="2"/>
      <c r="J13" s="19"/>
      <c r="K13" s="2"/>
      <c r="L13" s="2">
        <f t="shared" si="0"/>
        <v>-2890.8000000000029</v>
      </c>
      <c r="M13" s="2"/>
      <c r="N13" s="19">
        <f t="shared" si="1"/>
        <v>-4.0976095151629879E-2</v>
      </c>
      <c r="O13" s="11"/>
      <c r="P13" s="2">
        <f>--164722.53</f>
        <v>164722.53</v>
      </c>
      <c r="Q13" s="2"/>
      <c r="R13" s="19"/>
      <c r="S13" s="2"/>
      <c r="T13" s="2">
        <f>--181583.8</f>
        <v>181583.8</v>
      </c>
      <c r="U13" s="2"/>
      <c r="V13" s="19"/>
      <c r="W13" s="2"/>
      <c r="X13" s="2">
        <f t="shared" si="2"/>
        <v>-16861.26999999999</v>
      </c>
      <c r="Y13" s="2"/>
      <c r="Z13" s="19">
        <f t="shared" si="3"/>
        <v>-9.2856686554637538E-2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--5786.57</f>
        <v>5786.57</v>
      </c>
      <c r="E14" s="2"/>
      <c r="F14" s="19"/>
      <c r="G14" s="2"/>
      <c r="H14" s="2">
        <f>--8158.28</f>
        <v>8158.28</v>
      </c>
      <c r="I14" s="2"/>
      <c r="J14" s="19"/>
      <c r="K14" s="2"/>
      <c r="L14" s="2">
        <f t="shared" si="0"/>
        <v>-2371.71</v>
      </c>
      <c r="M14" s="2"/>
      <c r="N14" s="19">
        <f t="shared" si="1"/>
        <v>-0.29071201282623299</v>
      </c>
      <c r="O14" s="11"/>
      <c r="P14" s="2">
        <f>--53893.51</f>
        <v>53893.51</v>
      </c>
      <c r="Q14" s="2"/>
      <c r="R14" s="19"/>
      <c r="S14" s="2"/>
      <c r="T14" s="2">
        <f>--50253.55</f>
        <v>50253.55</v>
      </c>
      <c r="U14" s="2"/>
      <c r="V14" s="19"/>
      <c r="W14" s="2"/>
      <c r="X14" s="2">
        <f t="shared" si="2"/>
        <v>3639.9599999999991</v>
      </c>
      <c r="Y14" s="2"/>
      <c r="Z14" s="19">
        <f t="shared" si="3"/>
        <v>7.2431897846022802E-2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--85</f>
        <v>85</v>
      </c>
      <c r="E15" s="2"/>
      <c r="F15" s="19"/>
      <c r="G15" s="2"/>
      <c r="H15" s="2">
        <f>--30.55</f>
        <v>30.55</v>
      </c>
      <c r="I15" s="2"/>
      <c r="J15" s="19"/>
      <c r="K15" s="2"/>
      <c r="L15" s="2">
        <f t="shared" si="0"/>
        <v>54.45</v>
      </c>
      <c r="M15" s="2"/>
      <c r="N15" s="19">
        <f t="shared" si="1"/>
        <v>1.7823240589198037</v>
      </c>
      <c r="O15" s="11"/>
      <c r="P15" s="2">
        <f>--189.06</f>
        <v>189.06</v>
      </c>
      <c r="Q15" s="2"/>
      <c r="R15" s="19"/>
      <c r="S15" s="2"/>
      <c r="T15" s="2">
        <f>--539.05</f>
        <v>539.04999999999995</v>
      </c>
      <c r="U15" s="2"/>
      <c r="V15" s="19"/>
      <c r="W15" s="2"/>
      <c r="X15" s="2">
        <f t="shared" si="2"/>
        <v>-349.98999999999995</v>
      </c>
      <c r="Y15" s="2"/>
      <c r="Z15" s="19">
        <f t="shared" si="3"/>
        <v>-0.64927186717373153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--183.1</f>
        <v>183.1</v>
      </c>
      <c r="E16" s="2"/>
      <c r="F16" s="19"/>
      <c r="G16" s="2"/>
      <c r="H16" s="2">
        <f>--380.08</f>
        <v>380.08</v>
      </c>
      <c r="I16" s="2"/>
      <c r="J16" s="19"/>
      <c r="K16" s="2"/>
      <c r="L16" s="2">
        <f t="shared" si="0"/>
        <v>-196.98</v>
      </c>
      <c r="M16" s="2"/>
      <c r="N16" s="19">
        <f t="shared" si="1"/>
        <v>-0.51825931382866763</v>
      </c>
      <c r="O16" s="11"/>
      <c r="P16" s="2">
        <f>--1977.04</f>
        <v>1977.04</v>
      </c>
      <c r="Q16" s="2"/>
      <c r="R16" s="19"/>
      <c r="S16" s="2"/>
      <c r="T16" s="2">
        <f>--2272.36</f>
        <v>2272.36</v>
      </c>
      <c r="U16" s="2"/>
      <c r="V16" s="19"/>
      <c r="W16" s="2"/>
      <c r="X16" s="2">
        <f t="shared" si="2"/>
        <v>-295.32000000000016</v>
      </c>
      <c r="Y16" s="2"/>
      <c r="Z16" s="19">
        <f t="shared" si="3"/>
        <v>-0.12996180182717534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--698.4</f>
        <v>698.4</v>
      </c>
      <c r="E17" s="2"/>
      <c r="F17" s="19"/>
      <c r="G17" s="2"/>
      <c r="H17" s="2">
        <f>--696.85</f>
        <v>696.85</v>
      </c>
      <c r="I17" s="2"/>
      <c r="J17" s="19"/>
      <c r="K17" s="2"/>
      <c r="L17" s="2">
        <f t="shared" si="0"/>
        <v>1.5499999999999545</v>
      </c>
      <c r="M17" s="2"/>
      <c r="N17" s="19">
        <f t="shared" si="1"/>
        <v>2.2242950419745348E-3</v>
      </c>
      <c r="O17" s="11"/>
      <c r="P17" s="2">
        <f>--851.15</f>
        <v>851.15</v>
      </c>
      <c r="Q17" s="2"/>
      <c r="R17" s="19"/>
      <c r="S17" s="2"/>
      <c r="T17" s="2">
        <f>--1884.3</f>
        <v>1884.3</v>
      </c>
      <c r="U17" s="2"/>
      <c r="V17" s="19"/>
      <c r="W17" s="2"/>
      <c r="X17" s="2">
        <f t="shared" si="2"/>
        <v>-1033.1500000000001</v>
      </c>
      <c r="Y17" s="2"/>
      <c r="Z17" s="19">
        <f t="shared" si="3"/>
        <v>-0.54829379610465434</v>
      </c>
    </row>
    <row r="18" spans="1:26" s="24" customFormat="1" hidden="1" outlineLevel="1" x14ac:dyDescent="0.25">
      <c r="A18" s="44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--1402.33</f>
        <v>1402.33</v>
      </c>
      <c r="E18" s="2"/>
      <c r="F18" s="19"/>
      <c r="G18" s="2"/>
      <c r="H18" s="2">
        <f>--564.2</f>
        <v>564.20000000000005</v>
      </c>
      <c r="I18" s="2"/>
      <c r="J18" s="19"/>
      <c r="K18" s="2"/>
      <c r="L18" s="2">
        <f t="shared" si="0"/>
        <v>838.12999999999988</v>
      </c>
      <c r="M18" s="2"/>
      <c r="N18" s="19">
        <f t="shared" si="1"/>
        <v>1.4855193193902867</v>
      </c>
      <c r="O18" s="11"/>
      <c r="P18" s="2">
        <f>--8159.22</f>
        <v>8159.22</v>
      </c>
      <c r="Q18" s="2"/>
      <c r="R18" s="19"/>
      <c r="S18" s="2"/>
      <c r="T18" s="2">
        <f>--8016.84</f>
        <v>8016.84</v>
      </c>
      <c r="U18" s="2"/>
      <c r="V18" s="19"/>
      <c r="W18" s="2"/>
      <c r="X18" s="2">
        <f t="shared" si="2"/>
        <v>142.38000000000011</v>
      </c>
      <c r="Y18" s="2"/>
      <c r="Z18" s="19">
        <f t="shared" si="3"/>
        <v>1.7760114958013395E-2</v>
      </c>
    </row>
    <row r="19" spans="1:26" s="24" customFormat="1" hidden="1" outlineLevel="1" x14ac:dyDescent="0.25">
      <c r="A19" s="44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--17086.55</f>
        <v>17086.55</v>
      </c>
      <c r="E19" s="2"/>
      <c r="F19" s="19"/>
      <c r="G19" s="2"/>
      <c r="H19" s="2">
        <f>--18820.04</f>
        <v>18820.04</v>
      </c>
      <c r="I19" s="2"/>
      <c r="J19" s="19"/>
      <c r="K19" s="2"/>
      <c r="L19" s="2">
        <f t="shared" si="0"/>
        <v>-1733.4900000000016</v>
      </c>
      <c r="M19" s="2"/>
      <c r="N19" s="19">
        <f t="shared" si="1"/>
        <v>-9.2108730905991781E-2</v>
      </c>
      <c r="O19" s="11"/>
      <c r="P19" s="2">
        <f>--163554.5</f>
        <v>163554.5</v>
      </c>
      <c r="Q19" s="2"/>
      <c r="R19" s="19"/>
      <c r="S19" s="2"/>
      <c r="T19" s="2">
        <f>--168304.04</f>
        <v>168304.04</v>
      </c>
      <c r="U19" s="2"/>
      <c r="V19" s="19"/>
      <c r="W19" s="2"/>
      <c r="X19" s="2">
        <f t="shared" si="2"/>
        <v>-4749.5400000000081</v>
      </c>
      <c r="Y19" s="2"/>
      <c r="Z19" s="19">
        <f t="shared" si="3"/>
        <v>-2.8219999947713719E-2</v>
      </c>
    </row>
    <row r="20" spans="1:26" s="24" customFormat="1" hidden="1" outlineLevel="1" x14ac:dyDescent="0.25">
      <c r="A20" s="44"/>
      <c r="B20" s="11" t="str">
        <f>CONCATENATE("          ", "4147", " - ", "NON-TAXABLE SALES-MISC")</f>
        <v xml:space="preserve">          4147 - NON-TAXABLE SALES-MISC</v>
      </c>
      <c r="C20" s="11"/>
      <c r="D20" s="2">
        <f>--11.5</f>
        <v>11.5</v>
      </c>
      <c r="E20" s="2"/>
      <c r="F20" s="19"/>
      <c r="G20" s="2"/>
      <c r="H20" s="2">
        <f>--31</f>
        <v>31</v>
      </c>
      <c r="I20" s="2"/>
      <c r="J20" s="19"/>
      <c r="K20" s="2"/>
      <c r="L20" s="2">
        <f t="shared" si="0"/>
        <v>-19.5</v>
      </c>
      <c r="M20" s="2"/>
      <c r="N20" s="19">
        <f t="shared" si="1"/>
        <v>-0.62903225806451613</v>
      </c>
      <c r="O20" s="11"/>
      <c r="P20" s="2">
        <f>--318.9</f>
        <v>318.89999999999998</v>
      </c>
      <c r="Q20" s="2"/>
      <c r="R20" s="19"/>
      <c r="S20" s="2"/>
      <c r="T20" s="2">
        <f>--439.5</f>
        <v>439.5</v>
      </c>
      <c r="U20" s="2"/>
      <c r="V20" s="19"/>
      <c r="W20" s="2"/>
      <c r="X20" s="2">
        <f t="shared" si="2"/>
        <v>-120.60000000000002</v>
      </c>
      <c r="Y20" s="2"/>
      <c r="Z20" s="19">
        <f t="shared" si="3"/>
        <v>-0.27440273037542667</v>
      </c>
    </row>
    <row r="21" spans="1:26" s="24" customFormat="1" hidden="1" outlineLevel="1" x14ac:dyDescent="0.25">
      <c r="A21" s="44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>-323.35</f>
        <v>-323.35000000000002</v>
      </c>
      <c r="E21" s="2"/>
      <c r="F21" s="19"/>
      <c r="G21" s="2"/>
      <c r="H21" s="2">
        <f>-222.15</f>
        <v>-222.15</v>
      </c>
      <c r="I21" s="2"/>
      <c r="J21" s="19"/>
      <c r="K21" s="2"/>
      <c r="L21" s="2">
        <f t="shared" si="0"/>
        <v>-101.20000000000002</v>
      </c>
      <c r="M21" s="2"/>
      <c r="N21" s="19">
        <f t="shared" si="1"/>
        <v>0.45554805311726315</v>
      </c>
      <c r="O21" s="11"/>
      <c r="P21" s="2">
        <f>-958.1</f>
        <v>-958.1</v>
      </c>
      <c r="Q21" s="2"/>
      <c r="R21" s="19"/>
      <c r="S21" s="2"/>
      <c r="T21" s="2">
        <f>-1029.25</f>
        <v>-1029.25</v>
      </c>
      <c r="U21" s="2"/>
      <c r="V21" s="19"/>
      <c r="W21" s="2"/>
      <c r="X21" s="2">
        <f t="shared" si="2"/>
        <v>71.149999999999977</v>
      </c>
      <c r="Y21" s="2"/>
      <c r="Z21" s="19">
        <f t="shared" si="3"/>
        <v>-6.9128005829487471E-2</v>
      </c>
    </row>
    <row r="22" spans="1:26" s="24" customFormat="1" hidden="1" outlineLevel="1" x14ac:dyDescent="0.25">
      <c r="A22" s="44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>-54</f>
        <v>-54</v>
      </c>
      <c r="E22" s="2"/>
      <c r="F22" s="19"/>
      <c r="G22" s="2"/>
      <c r="H22" s="2">
        <f t="shared" ref="H22:H25" si="4">0</f>
        <v>0</v>
      </c>
      <c r="I22" s="2"/>
      <c r="J22" s="19"/>
      <c r="K22" s="2"/>
      <c r="L22" s="2">
        <f t="shared" si="0"/>
        <v>-54</v>
      </c>
      <c r="M22" s="2"/>
      <c r="N22" s="19">
        <f t="shared" si="1"/>
        <v>0</v>
      </c>
      <c r="O22" s="11"/>
      <c r="P22" s="2">
        <f>-70.2</f>
        <v>-70.2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-70.2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-8.15</f>
        <v>-8.15</v>
      </c>
      <c r="U23" s="2"/>
      <c r="V23" s="19"/>
      <c r="W23" s="2"/>
      <c r="X23" s="2">
        <f t="shared" si="2"/>
        <v>8.15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"4342", " - ", "SALES RETURN NON TAXABLE-EVERY")</f>
        <v xml:space="preserve">          4342 - SALES RETURN NON TAXABLE-EVERY</v>
      </c>
      <c r="C24" s="11"/>
      <c r="D24" s="2">
        <f>-39.42</f>
        <v>-39.42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-39.42</v>
      </c>
      <c r="M24" s="2"/>
      <c r="N24" s="19">
        <f t="shared" si="1"/>
        <v>0</v>
      </c>
      <c r="O24" s="11"/>
      <c r="P24" s="2">
        <f>-39.42</f>
        <v>-39.42</v>
      </c>
      <c r="Q24" s="2"/>
      <c r="R24" s="19"/>
      <c r="S24" s="2"/>
      <c r="T24" s="2">
        <f t="shared" ref="T24:T25" si="5">0</f>
        <v>0</v>
      </c>
      <c r="U24" s="2"/>
      <c r="V24" s="19"/>
      <c r="W24" s="2"/>
      <c r="X24" s="2">
        <f t="shared" si="2"/>
        <v>-39.42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>0</f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-8.15</f>
        <v>-8.15</v>
      </c>
      <c r="Q25" s="2"/>
      <c r="R25" s="19"/>
      <c r="S25" s="2"/>
      <c r="T25" s="2">
        <f t="shared" si="5"/>
        <v>0</v>
      </c>
      <c r="U25" s="2"/>
      <c r="V25" s="19"/>
      <c r="W25" s="2"/>
      <c r="X25" s="2">
        <f t="shared" si="2"/>
        <v>-8.15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1">
        <f>D12-D27</f>
        <v>92494.33</v>
      </c>
      <c r="E29" s="14"/>
      <c r="F29" s="22">
        <f>IF(D$12=0,0,D29/D$12)</f>
        <v>1</v>
      </c>
      <c r="G29" s="14"/>
      <c r="H29" s="21">
        <f>H12-H27</f>
        <v>99007.300000000017</v>
      </c>
      <c r="I29" s="14"/>
      <c r="J29" s="22">
        <f>IF(H$12=0,0,H29/H$12)</f>
        <v>1</v>
      </c>
      <c r="K29" s="16"/>
      <c r="L29" s="21">
        <f>+D29-H29</f>
        <v>-6512.9700000000157</v>
      </c>
      <c r="M29" s="16"/>
      <c r="N29" s="22">
        <f>IF(H29=0,0,L29/H29)</f>
        <v>-6.5782725112188842E-2</v>
      </c>
      <c r="O29" s="29"/>
      <c r="P29" s="21">
        <f>P12-P27</f>
        <v>392590.04000000004</v>
      </c>
      <c r="Q29" s="14"/>
      <c r="R29" s="22">
        <f>IF(P$12=0,0,P29/P$12)</f>
        <v>1</v>
      </c>
      <c r="S29" s="14"/>
      <c r="T29" s="21">
        <f>T12-T27</f>
        <v>412256.03999999992</v>
      </c>
      <c r="U29" s="14"/>
      <c r="V29" s="22">
        <f>IF(T$12=0,0,T29/T$12)</f>
        <v>1</v>
      </c>
      <c r="W29" s="16"/>
      <c r="X29" s="21">
        <f>+P29-T29</f>
        <v>-19665.999999999884</v>
      </c>
      <c r="Y29" s="16"/>
      <c r="Z29" s="22">
        <f>IF(T29=0,0,X29/T29)</f>
        <v>-4.7703364152044653E-2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0">
        <f>SUM(OSRRefD22x_0)</f>
        <v>56114.55</v>
      </c>
      <c r="E31" s="20"/>
      <c r="F31" s="32">
        <f t="shared" ref="F31:F40" si="6">IF(D$12=0,0,D31/D$12)</f>
        <v>0.60668097168766999</v>
      </c>
      <c r="G31" s="20"/>
      <c r="H31" s="20">
        <f>SUM(OSRRefH22x_0)</f>
        <v>50722.26999999999</v>
      </c>
      <c r="I31" s="20"/>
      <c r="J31" s="32">
        <f t="shared" ref="J31:J40" si="7">IF(H$12=0,0,H31/H$12)</f>
        <v>0.51230838534128276</v>
      </c>
      <c r="K31" s="4"/>
      <c r="L31" s="20">
        <f t="shared" ref="L31:L40" si="8">+D31-H31</f>
        <v>5392.2800000000134</v>
      </c>
      <c r="M31" s="4"/>
      <c r="N31" s="32">
        <f t="shared" ref="N31:N40" si="9">IF(H31=0,0,L31/H31)</f>
        <v>0.10630991081432306</v>
      </c>
      <c r="O31" s="10"/>
      <c r="P31" s="20">
        <f>SUM(OSRRefP22x_0)</f>
        <v>328560.95000000013</v>
      </c>
      <c r="Q31" s="20"/>
      <c r="R31" s="32">
        <f t="shared" ref="R31:R40" si="10">IF(P$12=0,0,P31/P$12)</f>
        <v>0.83690597448677018</v>
      </c>
      <c r="S31" s="20"/>
      <c r="T31" s="20">
        <f>SUM(OSRRefT22x_0)</f>
        <v>329987.17000000004</v>
      </c>
      <c r="U31" s="20"/>
      <c r="V31" s="32">
        <f t="shared" ref="V31:V40" si="11">IF(T$12=0,0,T31/T$12)</f>
        <v>0.80044229309532999</v>
      </c>
      <c r="W31" s="4"/>
      <c r="X31" s="20">
        <f t="shared" ref="X31:X40" si="12">+P31-T31</f>
        <v>-1426.2199999999139</v>
      </c>
      <c r="Y31" s="4"/>
      <c r="Z31" s="32">
        <f t="shared" ref="Z31:Z40" si="13">IF(T31=0,0,X31/T31)</f>
        <v>-4.3220468238201921E-3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8275.4700000000012</v>
      </c>
      <c r="E32" s="1"/>
      <c r="F32" s="5">
        <f t="shared" si="6"/>
        <v>8.9470024811250604E-2</v>
      </c>
      <c r="G32" s="1"/>
      <c r="H32" s="1">
        <f>SUM(OSRRefH22_0x_0)</f>
        <v>7006.58</v>
      </c>
      <c r="I32" s="1"/>
      <c r="J32" s="5">
        <f t="shared" si="7"/>
        <v>7.0768317083689775E-2</v>
      </c>
      <c r="K32" s="1"/>
      <c r="L32" s="1">
        <f t="shared" si="8"/>
        <v>1268.8900000000012</v>
      </c>
      <c r="M32" s="1"/>
      <c r="N32" s="5">
        <f t="shared" si="9"/>
        <v>0.1810997662197536</v>
      </c>
      <c r="O32" s="13"/>
      <c r="P32" s="1">
        <f>SUM(OSRRefP22_0x_0)</f>
        <v>55556.830000000009</v>
      </c>
      <c r="Q32" s="1"/>
      <c r="R32" s="5">
        <f t="shared" si="10"/>
        <v>0.14151360029408797</v>
      </c>
      <c r="S32" s="1"/>
      <c r="T32" s="1">
        <f>SUM(OSRRefT22_0x_0)</f>
        <v>50084.570000000007</v>
      </c>
      <c r="U32" s="1"/>
      <c r="V32" s="5">
        <f t="shared" si="11"/>
        <v>0.1214889901916295</v>
      </c>
      <c r="W32" s="1"/>
      <c r="X32" s="1">
        <f t="shared" si="12"/>
        <v>5472.260000000002</v>
      </c>
      <c r="Y32" s="1"/>
      <c r="Z32" s="5">
        <f t="shared" si="13"/>
        <v>0.10926039696457414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6">
        <v>1152.92</v>
      </c>
      <c r="E33" s="2"/>
      <c r="F33" s="7">
        <f t="shared" si="6"/>
        <v>1.2464764056348103E-2</v>
      </c>
      <c r="G33" s="2"/>
      <c r="H33" s="6">
        <v>1116.1600000000001</v>
      </c>
      <c r="I33" s="2"/>
      <c r="J33" s="7">
        <f t="shared" si="7"/>
        <v>1.1273512155164315E-2</v>
      </c>
      <c r="K33" s="2"/>
      <c r="L33" s="6">
        <f t="shared" si="8"/>
        <v>36.759999999999991</v>
      </c>
      <c r="M33" s="2"/>
      <c r="N33" s="7">
        <f t="shared" si="9"/>
        <v>3.293434633027522E-2</v>
      </c>
      <c r="O33" s="11"/>
      <c r="P33" s="6">
        <v>9051.08</v>
      </c>
      <c r="Q33" s="2"/>
      <c r="R33" s="7">
        <f t="shared" si="10"/>
        <v>2.3054787635468282E-2</v>
      </c>
      <c r="S33" s="2"/>
      <c r="T33" s="6">
        <v>8493.51</v>
      </c>
      <c r="U33" s="2"/>
      <c r="V33" s="7">
        <f t="shared" si="11"/>
        <v>2.0602511972899175E-2</v>
      </c>
      <c r="W33" s="2"/>
      <c r="X33" s="6">
        <f t="shared" si="12"/>
        <v>557.56999999999971</v>
      </c>
      <c r="Y33" s="2"/>
      <c r="Z33" s="7">
        <f t="shared" si="13"/>
        <v>6.5646593693302266E-2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6">
        <v>237.16</v>
      </c>
      <c r="E34" s="2"/>
      <c r="F34" s="7">
        <f t="shared" si="6"/>
        <v>2.5640490611694793E-3</v>
      </c>
      <c r="G34" s="2"/>
      <c r="H34" s="6">
        <v>136.09</v>
      </c>
      <c r="I34" s="2"/>
      <c r="J34" s="7">
        <f t="shared" si="7"/>
        <v>1.3745451093000211E-3</v>
      </c>
      <c r="K34" s="2"/>
      <c r="L34" s="6">
        <f t="shared" si="8"/>
        <v>101.07</v>
      </c>
      <c r="M34" s="2"/>
      <c r="N34" s="7">
        <f t="shared" si="9"/>
        <v>0.74267029171871546</v>
      </c>
      <c r="O34" s="11"/>
      <c r="P34" s="6">
        <v>1430.52</v>
      </c>
      <c r="Q34" s="2"/>
      <c r="R34" s="7">
        <f t="shared" si="10"/>
        <v>3.6438010500724873E-3</v>
      </c>
      <c r="S34" s="2"/>
      <c r="T34" s="6">
        <v>1501.27</v>
      </c>
      <c r="U34" s="2"/>
      <c r="V34" s="7">
        <f t="shared" si="11"/>
        <v>3.641596130404785E-3</v>
      </c>
      <c r="W34" s="2"/>
      <c r="X34" s="6">
        <f t="shared" si="12"/>
        <v>-70.75</v>
      </c>
      <c r="Y34" s="2"/>
      <c r="Z34" s="7">
        <f t="shared" si="13"/>
        <v>-4.7126766004782619E-2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6">
        <v>3218.03</v>
      </c>
      <c r="E35" s="2"/>
      <c r="F35" s="7">
        <f t="shared" si="6"/>
        <v>3.4791646147390873E-2</v>
      </c>
      <c r="G35" s="2"/>
      <c r="H35" s="6">
        <v>2503.66</v>
      </c>
      <c r="I35" s="2"/>
      <c r="J35" s="7">
        <f t="shared" si="7"/>
        <v>2.5287630306048133E-2</v>
      </c>
      <c r="K35" s="2"/>
      <c r="L35" s="6">
        <f t="shared" si="8"/>
        <v>714.37000000000035</v>
      </c>
      <c r="M35" s="2"/>
      <c r="N35" s="7">
        <f t="shared" si="9"/>
        <v>0.2853302764752404</v>
      </c>
      <c r="O35" s="11"/>
      <c r="P35" s="6">
        <v>20601.47</v>
      </c>
      <c r="Q35" s="2"/>
      <c r="R35" s="7">
        <f t="shared" si="10"/>
        <v>5.2475783644434788E-2</v>
      </c>
      <c r="S35" s="2"/>
      <c r="T35" s="6">
        <v>17144.34</v>
      </c>
      <c r="U35" s="2"/>
      <c r="V35" s="7">
        <f t="shared" si="11"/>
        <v>4.1586631453598602E-2</v>
      </c>
      <c r="W35" s="2"/>
      <c r="X35" s="6">
        <f t="shared" si="12"/>
        <v>3457.130000000001</v>
      </c>
      <c r="Y35" s="2"/>
      <c r="Z35" s="7">
        <f t="shared" si="13"/>
        <v>0.20164847407365935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6">
        <v>46.79</v>
      </c>
      <c r="E36" s="2"/>
      <c r="F36" s="7">
        <f t="shared" si="6"/>
        <v>5.0586884623089864E-4</v>
      </c>
      <c r="G36" s="2"/>
      <c r="H36" s="6">
        <v>42.29</v>
      </c>
      <c r="I36" s="2"/>
      <c r="J36" s="7">
        <f t="shared" si="7"/>
        <v>4.2714022097360487E-4</v>
      </c>
      <c r="K36" s="2"/>
      <c r="L36" s="6">
        <f t="shared" si="8"/>
        <v>4.5</v>
      </c>
      <c r="M36" s="2"/>
      <c r="N36" s="7">
        <f t="shared" si="9"/>
        <v>0.10640813431071175</v>
      </c>
      <c r="O36" s="11"/>
      <c r="P36" s="6">
        <v>358.79</v>
      </c>
      <c r="Q36" s="2"/>
      <c r="R36" s="7">
        <f t="shared" si="10"/>
        <v>9.1390499871061421E-4</v>
      </c>
      <c r="S36" s="2"/>
      <c r="T36" s="6">
        <v>340.57</v>
      </c>
      <c r="U36" s="2"/>
      <c r="V36" s="7">
        <f t="shared" si="11"/>
        <v>8.2611282056655876E-4</v>
      </c>
      <c r="W36" s="2"/>
      <c r="X36" s="6">
        <f t="shared" si="12"/>
        <v>18.220000000000027</v>
      </c>
      <c r="Y36" s="2"/>
      <c r="Z36" s="7">
        <f t="shared" si="13"/>
        <v>5.3498546554306095E-2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6">
        <v>1781.63</v>
      </c>
      <c r="E37" s="2"/>
      <c r="F37" s="7">
        <f t="shared" si="6"/>
        <v>1.9262045576199104E-2</v>
      </c>
      <c r="G37" s="2"/>
      <c r="H37" s="6">
        <v>1477.03</v>
      </c>
      <c r="I37" s="2"/>
      <c r="J37" s="7">
        <f t="shared" si="7"/>
        <v>1.4918394906234185E-2</v>
      </c>
      <c r="K37" s="2"/>
      <c r="L37" s="6">
        <f t="shared" si="8"/>
        <v>304.60000000000014</v>
      </c>
      <c r="M37" s="2"/>
      <c r="N37" s="7">
        <f t="shared" si="9"/>
        <v>0.2062246535276874</v>
      </c>
      <c r="O37" s="11"/>
      <c r="P37" s="6">
        <v>9603.0400000000009</v>
      </c>
      <c r="Q37" s="2"/>
      <c r="R37" s="7">
        <f t="shared" si="10"/>
        <v>2.4460732625820054E-2</v>
      </c>
      <c r="S37" s="2"/>
      <c r="T37" s="6">
        <v>8998.1200000000008</v>
      </c>
      <c r="U37" s="2"/>
      <c r="V37" s="7">
        <f t="shared" si="11"/>
        <v>2.1826532850798261E-2</v>
      </c>
      <c r="W37" s="2"/>
      <c r="X37" s="6">
        <f t="shared" si="12"/>
        <v>604.92000000000007</v>
      </c>
      <c r="Y37" s="2"/>
      <c r="Z37" s="7">
        <f t="shared" si="13"/>
        <v>6.7227376385289375E-2</v>
      </c>
    </row>
    <row r="38" spans="1:26" s="24" customFormat="1" hidden="1" outlineLevel="2" x14ac:dyDescent="0.25">
      <c r="A38" s="25"/>
      <c r="B38" s="11" t="str">
        <f>CONCATENATE("          ", "6118", " - ", "VACATION")</f>
        <v xml:space="preserve">          6118 - VACATION</v>
      </c>
      <c r="C38" s="11"/>
      <c r="D38" s="6">
        <v>969.46</v>
      </c>
      <c r="E38" s="2"/>
      <c r="F38" s="7">
        <f t="shared" si="6"/>
        <v>1.0481291123466704E-2</v>
      </c>
      <c r="G38" s="2"/>
      <c r="H38" s="6">
        <v>951.42</v>
      </c>
      <c r="I38" s="2"/>
      <c r="J38" s="7">
        <f t="shared" si="7"/>
        <v>9.6095944440460438E-3</v>
      </c>
      <c r="K38" s="2"/>
      <c r="L38" s="6">
        <f t="shared" si="8"/>
        <v>18.040000000000077</v>
      </c>
      <c r="M38" s="2"/>
      <c r="N38" s="7">
        <f t="shared" si="9"/>
        <v>1.8961131781968087E-2</v>
      </c>
      <c r="O38" s="11"/>
      <c r="P38" s="6">
        <v>7879.87</v>
      </c>
      <c r="Q38" s="2"/>
      <c r="R38" s="7">
        <f t="shared" si="10"/>
        <v>2.0071497483736468E-2</v>
      </c>
      <c r="S38" s="2"/>
      <c r="T38" s="6">
        <v>7135.65</v>
      </c>
      <c r="U38" s="2"/>
      <c r="V38" s="7">
        <f t="shared" si="11"/>
        <v>1.7308782183033635E-2</v>
      </c>
      <c r="W38" s="2"/>
      <c r="X38" s="6">
        <f t="shared" si="12"/>
        <v>744.22000000000025</v>
      </c>
      <c r="Y38" s="2"/>
      <c r="Z38" s="7">
        <f t="shared" si="13"/>
        <v>0.10429603469901134</v>
      </c>
    </row>
    <row r="39" spans="1:26" s="24" customFormat="1" hidden="1" outlineLevel="2" x14ac:dyDescent="0.25">
      <c r="A39" s="25"/>
      <c r="B39" s="11" t="str">
        <f>CONCATENATE("          ", "6119", " - ", "SICK LEAVE")</f>
        <v xml:space="preserve">          6119 - SICK LEAVE</v>
      </c>
      <c r="C39" s="11"/>
      <c r="D39" s="6">
        <v>556.53</v>
      </c>
      <c r="E39" s="2"/>
      <c r="F39" s="7">
        <f t="shared" si="6"/>
        <v>6.0169093608224413E-3</v>
      </c>
      <c r="G39" s="2"/>
      <c r="H39" s="6">
        <v>482.72</v>
      </c>
      <c r="I39" s="2"/>
      <c r="J39" s="7">
        <f t="shared" si="7"/>
        <v>4.875600082014154E-3</v>
      </c>
      <c r="K39" s="2"/>
      <c r="L39" s="6">
        <f t="shared" si="8"/>
        <v>73.809999999999945</v>
      </c>
      <c r="M39" s="2"/>
      <c r="N39" s="7">
        <f t="shared" si="9"/>
        <v>0.1529043752071593</v>
      </c>
      <c r="O39" s="11"/>
      <c r="P39" s="6">
        <v>4652.83</v>
      </c>
      <c r="Q39" s="2"/>
      <c r="R39" s="7">
        <f t="shared" si="10"/>
        <v>1.1851625171132715E-2</v>
      </c>
      <c r="S39" s="2"/>
      <c r="T39" s="6">
        <v>4724.43</v>
      </c>
      <c r="U39" s="2"/>
      <c r="V39" s="7">
        <f t="shared" si="11"/>
        <v>1.1459941253983814E-2</v>
      </c>
      <c r="W39" s="2"/>
      <c r="X39" s="6">
        <f t="shared" si="12"/>
        <v>-71.600000000000364</v>
      </c>
      <c r="Y39" s="2"/>
      <c r="Z39" s="7">
        <f t="shared" si="13"/>
        <v>-1.5155267407920186E-2</v>
      </c>
    </row>
    <row r="40" spans="1:26" s="24" customFormat="1" hidden="1" outlineLevel="2" x14ac:dyDescent="0.25">
      <c r="A40" s="25"/>
      <c r="B40" s="11" t="str">
        <f>CONCATENATE("          ", "6156", " - ", "EMPLOYEE MEALS")</f>
        <v xml:space="preserve">          6156 - EMPLOYEE MEALS</v>
      </c>
      <c r="C40" s="11"/>
      <c r="D40" s="6">
        <v>312.95</v>
      </c>
      <c r="E40" s="2"/>
      <c r="F40" s="7">
        <f t="shared" si="6"/>
        <v>3.3834506396229909E-3</v>
      </c>
      <c r="G40" s="2"/>
      <c r="H40" s="6">
        <v>297.20999999999998</v>
      </c>
      <c r="I40" s="2"/>
      <c r="J40" s="7">
        <f t="shared" si="7"/>
        <v>3.0018998599093192E-3</v>
      </c>
      <c r="K40" s="2"/>
      <c r="L40" s="6">
        <f t="shared" si="8"/>
        <v>15.740000000000009</v>
      </c>
      <c r="M40" s="2"/>
      <c r="N40" s="7">
        <f t="shared" si="9"/>
        <v>5.2959187106759564E-2</v>
      </c>
      <c r="O40" s="11"/>
      <c r="P40" s="6">
        <v>1979.23</v>
      </c>
      <c r="Q40" s="2"/>
      <c r="R40" s="7">
        <f t="shared" si="10"/>
        <v>5.0414676847125306E-3</v>
      </c>
      <c r="S40" s="2"/>
      <c r="T40" s="6">
        <v>1746.68</v>
      </c>
      <c r="U40" s="2"/>
      <c r="V40" s="7">
        <f t="shared" si="11"/>
        <v>4.2368815263446481E-3</v>
      </c>
      <c r="W40" s="2"/>
      <c r="X40" s="6">
        <f t="shared" si="12"/>
        <v>232.54999999999995</v>
      </c>
      <c r="Y40" s="2"/>
      <c r="Z40" s="7">
        <f t="shared" si="13"/>
        <v>0.13313829665422397</v>
      </c>
    </row>
    <row r="41" spans="1:26" s="26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22550.149999999998</v>
      </c>
      <c r="E41" s="1"/>
      <c r="F41" s="5">
        <f t="shared" ref="F41:F45" si="14">IF(D$12=0,0,D41/D$12)</f>
        <v>0.24380034970792261</v>
      </c>
      <c r="G41" s="1"/>
      <c r="H41" s="1">
        <f>SUM(OSRRefH22_1x_0)</f>
        <v>19996.14</v>
      </c>
      <c r="I41" s="1"/>
      <c r="J41" s="5">
        <f t="shared" ref="J41:J45" si="15">IF(H$12=0,0,H41/H$12)</f>
        <v>0.2019663196552173</v>
      </c>
      <c r="K41" s="1"/>
      <c r="L41" s="1">
        <f t="shared" ref="L41:L45" si="16">+D41-H41</f>
        <v>2554.0099999999984</v>
      </c>
      <c r="M41" s="1"/>
      <c r="N41" s="5">
        <f t="shared" ref="N41:N45" si="17">IF(H41=0,0,L41/H41)</f>
        <v>0.12772515095413406</v>
      </c>
      <c r="O41" s="13"/>
      <c r="P41" s="1">
        <f>SUM(OSRRefP22_1x_0)</f>
        <v>124410.58</v>
      </c>
      <c r="Q41" s="1"/>
      <c r="R41" s="5">
        <f t="shared" ref="R41:R45" si="18">IF(P$12=0,0,P41/P$12)</f>
        <v>0.31689693401289548</v>
      </c>
      <c r="S41" s="1"/>
      <c r="T41" s="1">
        <f>SUM(OSRRefT22_1x_0)</f>
        <v>111050.43999999999</v>
      </c>
      <c r="U41" s="1"/>
      <c r="V41" s="5">
        <f t="shared" ref="V41:V45" si="19">IF(T$12=0,0,T41/T$12)</f>
        <v>0.26937249967277621</v>
      </c>
      <c r="W41" s="1"/>
      <c r="X41" s="1">
        <f t="shared" ref="X41:X45" si="20">+P41-T41</f>
        <v>13360.140000000014</v>
      </c>
      <c r="Y41" s="1"/>
      <c r="Z41" s="5">
        <f t="shared" ref="Z41:Z45" si="21">IF(T41=0,0,X41/T41)</f>
        <v>0.12030695240829316</v>
      </c>
    </row>
    <row r="42" spans="1:26" s="24" customFormat="1" hidden="1" outlineLevel="2" x14ac:dyDescent="0.25">
      <c r="A42" s="25"/>
      <c r="B42" s="11" t="str">
        <f>CONCATENATE("          ", "6002", " - ", "STAFF SALARIES")</f>
        <v xml:space="preserve">          6002 - STAFF SALARIES</v>
      </c>
      <c r="C42" s="11"/>
      <c r="D42" s="6">
        <v>14900.849999999999</v>
      </c>
      <c r="E42" s="2"/>
      <c r="F42" s="7">
        <f t="shared" si="14"/>
        <v>0.16110014527376973</v>
      </c>
      <c r="G42" s="2"/>
      <c r="H42" s="6">
        <v>12618.96</v>
      </c>
      <c r="I42" s="2"/>
      <c r="J42" s="7">
        <f t="shared" si="15"/>
        <v>0.12745484423875811</v>
      </c>
      <c r="K42" s="2"/>
      <c r="L42" s="6">
        <f t="shared" si="16"/>
        <v>2281.8899999999994</v>
      </c>
      <c r="M42" s="2"/>
      <c r="N42" s="7">
        <f t="shared" si="17"/>
        <v>0.18083027444416969</v>
      </c>
      <c r="O42" s="11"/>
      <c r="P42" s="6">
        <v>82494.61</v>
      </c>
      <c r="Q42" s="2"/>
      <c r="R42" s="7">
        <f t="shared" si="18"/>
        <v>0.21012914642460107</v>
      </c>
      <c r="S42" s="2"/>
      <c r="T42" s="6">
        <v>74277.679999999993</v>
      </c>
      <c r="U42" s="2"/>
      <c r="V42" s="7">
        <f t="shared" si="19"/>
        <v>0.18017366100930871</v>
      </c>
      <c r="W42" s="2"/>
      <c r="X42" s="6">
        <f t="shared" si="20"/>
        <v>8216.9300000000076</v>
      </c>
      <c r="Y42" s="2"/>
      <c r="Z42" s="7">
        <f t="shared" si="21"/>
        <v>0.11062448369415966</v>
      </c>
    </row>
    <row r="43" spans="1:26" s="24" customFormat="1" hidden="1" outlineLevel="2" x14ac:dyDescent="0.25">
      <c r="A43" s="25"/>
      <c r="B43" s="11" t="str">
        <f>CONCATENATE("          ", "6005", " - ", "TEMPORARY WAGES-HOURLY")</f>
        <v xml:space="preserve">          6005 - TEMPORARY WAGES-HOURLY</v>
      </c>
      <c r="C43" s="11"/>
      <c r="D43" s="6">
        <v>2285.92</v>
      </c>
      <c r="E43" s="2"/>
      <c r="F43" s="7">
        <f t="shared" si="14"/>
        <v>2.4714163560079844E-2</v>
      </c>
      <c r="G43" s="2"/>
      <c r="H43" s="6">
        <v>1784.18</v>
      </c>
      <c r="I43" s="2"/>
      <c r="J43" s="7">
        <f t="shared" si="15"/>
        <v>1.8020691403563167E-2</v>
      </c>
      <c r="K43" s="2"/>
      <c r="L43" s="6">
        <f t="shared" si="16"/>
        <v>501.74</v>
      </c>
      <c r="M43" s="2"/>
      <c r="N43" s="7">
        <f t="shared" si="17"/>
        <v>0.28121602080507574</v>
      </c>
      <c r="O43" s="11"/>
      <c r="P43" s="6">
        <v>14143.92</v>
      </c>
      <c r="Q43" s="2"/>
      <c r="R43" s="7">
        <f t="shared" si="18"/>
        <v>3.6027200282513529E-2</v>
      </c>
      <c r="S43" s="2"/>
      <c r="T43" s="6">
        <v>8923.86</v>
      </c>
      <c r="U43" s="2"/>
      <c r="V43" s="7">
        <f t="shared" si="19"/>
        <v>2.1646402075758554E-2</v>
      </c>
      <c r="W43" s="2"/>
      <c r="X43" s="6">
        <f t="shared" si="20"/>
        <v>5220.0599999999995</v>
      </c>
      <c r="Y43" s="2"/>
      <c r="Z43" s="7">
        <f t="shared" si="21"/>
        <v>0.5849553892598045</v>
      </c>
    </row>
    <row r="44" spans="1:26" s="24" customFormat="1" hidden="1" outlineLevel="2" x14ac:dyDescent="0.25">
      <c r="A44" s="25"/>
      <c r="B44" s="11" t="str">
        <f>CONCATENATE("          ", "6006", " - ", "TEMPORARY PART TIME")</f>
        <v xml:space="preserve">          6006 - TEMPORARY PART TIME</v>
      </c>
      <c r="C44" s="11"/>
      <c r="D44" s="6">
        <v>120.31</v>
      </c>
      <c r="E44" s="2"/>
      <c r="F44" s="7">
        <f t="shared" si="14"/>
        <v>1.3007283797828472E-3</v>
      </c>
      <c r="G44" s="2"/>
      <c r="H44" s="6">
        <v>1266</v>
      </c>
      <c r="I44" s="2"/>
      <c r="J44" s="7">
        <f t="shared" si="15"/>
        <v>1.2786935912806427E-2</v>
      </c>
      <c r="K44" s="2"/>
      <c r="L44" s="6">
        <f t="shared" si="16"/>
        <v>-1145.69</v>
      </c>
      <c r="M44" s="2"/>
      <c r="N44" s="7">
        <f t="shared" si="17"/>
        <v>-0.90496840442338078</v>
      </c>
      <c r="O44" s="11"/>
      <c r="P44" s="6">
        <v>120.31</v>
      </c>
      <c r="Q44" s="2"/>
      <c r="R44" s="7">
        <f t="shared" si="18"/>
        <v>3.0645199251616264E-4</v>
      </c>
      <c r="S44" s="2"/>
      <c r="T44" s="6">
        <v>6001.65</v>
      </c>
      <c r="U44" s="2"/>
      <c r="V44" s="7">
        <f t="shared" si="19"/>
        <v>1.455806444946204E-2</v>
      </c>
      <c r="W44" s="2"/>
      <c r="X44" s="6">
        <f t="shared" si="20"/>
        <v>-5881.3399999999992</v>
      </c>
      <c r="Y44" s="2"/>
      <c r="Z44" s="7">
        <f t="shared" si="21"/>
        <v>-0.97995384602567626</v>
      </c>
    </row>
    <row r="45" spans="1:26" s="24" customFormat="1" hidden="1" outlineLevel="2" x14ac:dyDescent="0.25">
      <c r="A45" s="25"/>
      <c r="B45" s="11" t="str">
        <f>CONCATENATE("          ", "6007", " - ", "STUDENT HOURLY")</f>
        <v xml:space="preserve">          6007 - STUDENT HOURLY</v>
      </c>
      <c r="C45" s="11"/>
      <c r="D45" s="6">
        <v>5243.07</v>
      </c>
      <c r="E45" s="2"/>
      <c r="F45" s="7">
        <f t="shared" si="14"/>
        <v>5.6685312494290187E-2</v>
      </c>
      <c r="G45" s="2"/>
      <c r="H45" s="6">
        <v>4327</v>
      </c>
      <c r="I45" s="2"/>
      <c r="J45" s="7">
        <f t="shared" si="15"/>
        <v>4.3703848100089579E-2</v>
      </c>
      <c r="K45" s="2"/>
      <c r="L45" s="6">
        <f t="shared" si="16"/>
        <v>916.06999999999971</v>
      </c>
      <c r="M45" s="2"/>
      <c r="N45" s="7">
        <f t="shared" si="17"/>
        <v>0.21171019181881204</v>
      </c>
      <c r="O45" s="11"/>
      <c r="P45" s="6">
        <v>27651.74</v>
      </c>
      <c r="Q45" s="2"/>
      <c r="R45" s="7">
        <f t="shared" si="18"/>
        <v>7.0434135313264701E-2</v>
      </c>
      <c r="S45" s="2"/>
      <c r="T45" s="6">
        <v>21847.25</v>
      </c>
      <c r="U45" s="2"/>
      <c r="V45" s="7">
        <f t="shared" si="19"/>
        <v>5.2994372138246912E-2</v>
      </c>
      <c r="W45" s="2"/>
      <c r="X45" s="6">
        <f t="shared" si="20"/>
        <v>5804.4900000000016</v>
      </c>
      <c r="Y45" s="2"/>
      <c r="Z45" s="7">
        <f t="shared" si="21"/>
        <v>0.26568515488219346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353.5</v>
      </c>
      <c r="E46" s="1"/>
      <c r="F46" s="5">
        <f t="shared" ref="F46:F60" si="22">IF(D$12=0,0,D46/D$12)</f>
        <v>3.8218558910584031E-3</v>
      </c>
      <c r="G46" s="1"/>
      <c r="H46" s="1">
        <f>SUM(OSRRefH22_2x_0)</f>
        <v>82.57</v>
      </c>
      <c r="I46" s="1"/>
      <c r="J46" s="5">
        <f t="shared" ref="J46:J60" si="23">IF(H$12=0,0,H46/H$12)</f>
        <v>8.3397890862592936E-4</v>
      </c>
      <c r="K46" s="1"/>
      <c r="L46" s="1">
        <f t="shared" ref="L46:L60" si="24">+D46-H46</f>
        <v>270.93</v>
      </c>
      <c r="M46" s="1"/>
      <c r="N46" s="5">
        <f t="shared" ref="N46:N60" si="25">IF(H46=0,0,L46/H46)</f>
        <v>3.2812159379920072</v>
      </c>
      <c r="O46" s="13"/>
      <c r="P46" s="1">
        <f>SUM(OSRRefP22_2x_0)</f>
        <v>751</v>
      </c>
      <c r="Q46" s="1"/>
      <c r="R46" s="5">
        <f t="shared" ref="R46:R60" si="26">IF(P$12=0,0,P46/P$12)</f>
        <v>1.9129369660014807E-3</v>
      </c>
      <c r="S46" s="1"/>
      <c r="T46" s="1">
        <f>SUM(OSRRefT22_2x_0)</f>
        <v>634.07000000000005</v>
      </c>
      <c r="U46" s="1"/>
      <c r="V46" s="5">
        <f t="shared" ref="V46:V60" si="27">IF(T$12=0,0,T46/T$12)</f>
        <v>1.5380490240967729E-3</v>
      </c>
      <c r="W46" s="1"/>
      <c r="X46" s="1">
        <f t="shared" ref="X46:X60" si="28">+P46-T46</f>
        <v>116.92999999999995</v>
      </c>
      <c r="Y46" s="1"/>
      <c r="Z46" s="5">
        <f t="shared" ref="Z46:Z60" si="29">IF(T46=0,0,X46/T46)</f>
        <v>0.18441181573012433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353.5</v>
      </c>
      <c r="E47" s="2"/>
      <c r="F47" s="7">
        <f t="shared" si="22"/>
        <v>3.8218558910584031E-3</v>
      </c>
      <c r="G47" s="2"/>
      <c r="H47" s="6">
        <v>82.57</v>
      </c>
      <c r="I47" s="2"/>
      <c r="J47" s="7">
        <f t="shared" si="23"/>
        <v>8.3397890862592936E-4</v>
      </c>
      <c r="K47" s="2"/>
      <c r="L47" s="6">
        <f t="shared" si="24"/>
        <v>270.93</v>
      </c>
      <c r="M47" s="2"/>
      <c r="N47" s="7">
        <f t="shared" si="25"/>
        <v>3.2812159379920072</v>
      </c>
      <c r="O47" s="11"/>
      <c r="P47" s="6">
        <v>751</v>
      </c>
      <c r="Q47" s="2"/>
      <c r="R47" s="7">
        <f t="shared" si="26"/>
        <v>1.9129369660014807E-3</v>
      </c>
      <c r="S47" s="2"/>
      <c r="T47" s="6">
        <v>634.07000000000005</v>
      </c>
      <c r="U47" s="2"/>
      <c r="V47" s="7">
        <f t="shared" si="27"/>
        <v>1.5380490240967729E-3</v>
      </c>
      <c r="W47" s="2"/>
      <c r="X47" s="6">
        <f t="shared" si="28"/>
        <v>116.92999999999995</v>
      </c>
      <c r="Y47" s="2"/>
      <c r="Z47" s="7">
        <f t="shared" si="29"/>
        <v>0.18441181573012433</v>
      </c>
    </row>
    <row r="48" spans="1:26" s="26" customFormat="1" outlineLevel="1" collapsed="1" x14ac:dyDescent="0.25">
      <c r="A48" s="27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SUM(OSRRefD22_3x_0)</f>
        <v>169.88</v>
      </c>
      <c r="E48" s="1"/>
      <c r="F48" s="5">
        <f t="shared" si="22"/>
        <v>1.8366531224130169E-3</v>
      </c>
      <c r="G48" s="1"/>
      <c r="H48" s="1">
        <f>SUM(OSRRefH22_3x_0)</f>
        <v>0</v>
      </c>
      <c r="I48" s="1"/>
      <c r="J48" s="5">
        <f t="shared" si="23"/>
        <v>0</v>
      </c>
      <c r="K48" s="1"/>
      <c r="L48" s="1">
        <f t="shared" si="24"/>
        <v>169.88</v>
      </c>
      <c r="M48" s="1"/>
      <c r="N48" s="5">
        <f t="shared" si="25"/>
        <v>0</v>
      </c>
      <c r="O48" s="13"/>
      <c r="P48" s="1">
        <f>SUM(OSRRefP22_3x_0)</f>
        <v>339.76</v>
      </c>
      <c r="Q48" s="1"/>
      <c r="R48" s="5">
        <f t="shared" si="26"/>
        <v>8.6543204203550341E-4</v>
      </c>
      <c r="S48" s="1"/>
      <c r="T48" s="1">
        <f>SUM(OSRRefT22_3x_0)</f>
        <v>0</v>
      </c>
      <c r="U48" s="1"/>
      <c r="V48" s="5">
        <f t="shared" si="27"/>
        <v>0</v>
      </c>
      <c r="W48" s="1"/>
      <c r="X48" s="1">
        <f t="shared" si="28"/>
        <v>339.76</v>
      </c>
      <c r="Y48" s="1"/>
      <c r="Z48" s="5">
        <f t="shared" si="29"/>
        <v>0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169.88</v>
      </c>
      <c r="E49" s="2"/>
      <c r="F49" s="7">
        <f t="shared" si="22"/>
        <v>1.8366531224130169E-3</v>
      </c>
      <c r="G49" s="2"/>
      <c r="H49" s="6"/>
      <c r="I49" s="2"/>
      <c r="J49" s="7">
        <f t="shared" si="23"/>
        <v>0</v>
      </c>
      <c r="K49" s="2"/>
      <c r="L49" s="6">
        <f t="shared" si="24"/>
        <v>169.88</v>
      </c>
      <c r="M49" s="2"/>
      <c r="N49" s="7">
        <f t="shared" si="25"/>
        <v>0</v>
      </c>
      <c r="O49" s="11"/>
      <c r="P49" s="6">
        <v>339.76</v>
      </c>
      <c r="Q49" s="2"/>
      <c r="R49" s="7">
        <f t="shared" si="26"/>
        <v>8.6543204203550341E-4</v>
      </c>
      <c r="S49" s="2"/>
      <c r="T49" s="6"/>
      <c r="U49" s="2"/>
      <c r="V49" s="7">
        <f t="shared" si="27"/>
        <v>0</v>
      </c>
      <c r="W49" s="2"/>
      <c r="X49" s="6">
        <f t="shared" si="28"/>
        <v>339.76</v>
      </c>
      <c r="Y49" s="2"/>
      <c r="Z49" s="7">
        <f t="shared" si="29"/>
        <v>0</v>
      </c>
    </row>
    <row r="50" spans="1:26" s="26" customFormat="1" outlineLevel="1" collapsed="1" x14ac:dyDescent="0.25">
      <c r="A50" s="27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SUM(OSRRefD22_4x_0)</f>
        <v>170.62</v>
      </c>
      <c r="E50" s="1"/>
      <c r="F50" s="5">
        <f t="shared" si="22"/>
        <v>1.8446536128214563E-3</v>
      </c>
      <c r="G50" s="1"/>
      <c r="H50" s="1">
        <f>SUM(OSRRefH22_4x_0)</f>
        <v>179.51</v>
      </c>
      <c r="I50" s="1"/>
      <c r="J50" s="5">
        <f t="shared" si="23"/>
        <v>1.8130986301010123E-3</v>
      </c>
      <c r="K50" s="1"/>
      <c r="L50" s="1">
        <f t="shared" si="24"/>
        <v>-8.8899999999999864</v>
      </c>
      <c r="M50" s="1"/>
      <c r="N50" s="5">
        <f t="shared" si="25"/>
        <v>-4.9523703414851468E-2</v>
      </c>
      <c r="O50" s="13"/>
      <c r="P50" s="1">
        <f>SUM(OSRRefP22_4x_0)</f>
        <v>634.89</v>
      </c>
      <c r="Q50" s="1"/>
      <c r="R50" s="5">
        <f t="shared" si="26"/>
        <v>1.6171831562512384E-3</v>
      </c>
      <c r="S50" s="1"/>
      <c r="T50" s="1">
        <f>SUM(OSRRefT22_4x_0)</f>
        <v>934.73</v>
      </c>
      <c r="U50" s="1"/>
      <c r="V50" s="5">
        <f t="shared" si="27"/>
        <v>2.2673530750453048E-3</v>
      </c>
      <c r="W50" s="1"/>
      <c r="X50" s="1">
        <f t="shared" si="28"/>
        <v>-299.84000000000003</v>
      </c>
      <c r="Y50" s="1"/>
      <c r="Z50" s="5">
        <f t="shared" si="29"/>
        <v>-0.32077712280551607</v>
      </c>
    </row>
    <row r="51" spans="1:26" s="24" customFormat="1" hidden="1" outlineLevel="2" x14ac:dyDescent="0.25">
      <c r="A51" s="25"/>
      <c r="B51" s="11" t="str">
        <f>CONCATENATE("          ", "6382", " - ", "DISCOUNTS/MARK DOWNS")</f>
        <v xml:space="preserve">          6382 - DISCOUNTS/MARK DOWNS</v>
      </c>
      <c r="C51" s="11"/>
      <c r="D51" s="6">
        <v>170.62</v>
      </c>
      <c r="E51" s="2"/>
      <c r="F51" s="7">
        <f t="shared" si="22"/>
        <v>1.8446536128214563E-3</v>
      </c>
      <c r="G51" s="2"/>
      <c r="H51" s="6">
        <v>179.51</v>
      </c>
      <c r="I51" s="2"/>
      <c r="J51" s="7">
        <f t="shared" si="23"/>
        <v>1.8130986301010123E-3</v>
      </c>
      <c r="K51" s="2"/>
      <c r="L51" s="6">
        <f t="shared" si="24"/>
        <v>-8.8899999999999864</v>
      </c>
      <c r="M51" s="2"/>
      <c r="N51" s="7">
        <f t="shared" si="25"/>
        <v>-4.9523703414851468E-2</v>
      </c>
      <c r="O51" s="11"/>
      <c r="P51" s="6">
        <v>634.89</v>
      </c>
      <c r="Q51" s="2"/>
      <c r="R51" s="7">
        <f t="shared" si="26"/>
        <v>1.6171831562512384E-3</v>
      </c>
      <c r="S51" s="2"/>
      <c r="T51" s="6">
        <v>934.73</v>
      </c>
      <c r="U51" s="2"/>
      <c r="V51" s="7">
        <f t="shared" si="27"/>
        <v>2.2673530750453048E-3</v>
      </c>
      <c r="W51" s="2"/>
      <c r="X51" s="6">
        <f t="shared" si="28"/>
        <v>-299.84000000000003</v>
      </c>
      <c r="Y51" s="2"/>
      <c r="Z51" s="7">
        <f t="shared" si="29"/>
        <v>-0.32077712280551607</v>
      </c>
    </row>
    <row r="52" spans="1:26" s="26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SUM(OSRRefD22_5x_0)</f>
        <v>1205.6400000000001</v>
      </c>
      <c r="E52" s="1"/>
      <c r="F52" s="5">
        <f t="shared" si="22"/>
        <v>1.3034744940581764E-2</v>
      </c>
      <c r="G52" s="1"/>
      <c r="H52" s="1">
        <f>SUM(OSRRefH22_5x_0)</f>
        <v>3167.75</v>
      </c>
      <c r="I52" s="1"/>
      <c r="J52" s="5">
        <f t="shared" si="23"/>
        <v>3.1995115511684484E-2</v>
      </c>
      <c r="K52" s="1"/>
      <c r="L52" s="1">
        <f t="shared" si="24"/>
        <v>-1962.11</v>
      </c>
      <c r="M52" s="1"/>
      <c r="N52" s="5">
        <f t="shared" si="25"/>
        <v>-0.61940178360034726</v>
      </c>
      <c r="O52" s="13"/>
      <c r="P52" s="1">
        <f>SUM(OSRRefP22_5x_0)</f>
        <v>11137.8</v>
      </c>
      <c r="Q52" s="1"/>
      <c r="R52" s="5">
        <f t="shared" si="26"/>
        <v>2.8370052383397189E-2</v>
      </c>
      <c r="S52" s="1"/>
      <c r="T52" s="1">
        <f>SUM(OSRRefT22_5x_0)</f>
        <v>22358.969999999998</v>
      </c>
      <c r="U52" s="1"/>
      <c r="V52" s="5">
        <f t="shared" si="27"/>
        <v>5.423563957971362E-2</v>
      </c>
      <c r="W52" s="1"/>
      <c r="X52" s="1">
        <f t="shared" si="28"/>
        <v>-11221.169999999998</v>
      </c>
      <c r="Y52" s="1"/>
      <c r="Z52" s="5">
        <f t="shared" si="29"/>
        <v>-0.50186435242768335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1205.6400000000001</v>
      </c>
      <c r="E53" s="2"/>
      <c r="F53" s="7">
        <f t="shared" si="22"/>
        <v>1.3034744940581764E-2</v>
      </c>
      <c r="G53" s="2"/>
      <c r="H53" s="6">
        <v>3167.75</v>
      </c>
      <c r="I53" s="2"/>
      <c r="J53" s="7">
        <f t="shared" si="23"/>
        <v>3.1995115511684484E-2</v>
      </c>
      <c r="K53" s="2"/>
      <c r="L53" s="6">
        <f t="shared" si="24"/>
        <v>-1962.11</v>
      </c>
      <c r="M53" s="2"/>
      <c r="N53" s="7">
        <f t="shared" si="25"/>
        <v>-0.61940178360034726</v>
      </c>
      <c r="O53" s="11"/>
      <c r="P53" s="6">
        <v>11137.8</v>
      </c>
      <c r="Q53" s="2"/>
      <c r="R53" s="7">
        <f t="shared" si="26"/>
        <v>2.8370052383397189E-2</v>
      </c>
      <c r="S53" s="2"/>
      <c r="T53" s="6">
        <v>22358.969999999998</v>
      </c>
      <c r="U53" s="2"/>
      <c r="V53" s="7">
        <f t="shared" si="27"/>
        <v>5.423563957971362E-2</v>
      </c>
      <c r="W53" s="2"/>
      <c r="X53" s="6">
        <f t="shared" si="28"/>
        <v>-11221.169999999998</v>
      </c>
      <c r="Y53" s="2"/>
      <c r="Z53" s="7">
        <f t="shared" si="29"/>
        <v>-0.50186435242768335</v>
      </c>
    </row>
    <row r="54" spans="1:26" s="26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SUM(OSRRefD22_6x_0)</f>
        <v>0</v>
      </c>
      <c r="E54" s="1"/>
      <c r="F54" s="5">
        <f t="shared" si="22"/>
        <v>0</v>
      </c>
      <c r="G54" s="1"/>
      <c r="H54" s="1">
        <f>SUM(OSRRefH22_6x_0)</f>
        <v>0</v>
      </c>
      <c r="I54" s="1"/>
      <c r="J54" s="5">
        <f t="shared" si="23"/>
        <v>0</v>
      </c>
      <c r="K54" s="1"/>
      <c r="L54" s="1">
        <f t="shared" si="24"/>
        <v>0</v>
      </c>
      <c r="M54" s="1"/>
      <c r="N54" s="5">
        <f t="shared" si="25"/>
        <v>0</v>
      </c>
      <c r="O54" s="13"/>
      <c r="P54" s="1">
        <f>SUM(OSRRefP22_6x_0)</f>
        <v>9.1300000000000008</v>
      </c>
      <c r="Q54" s="1"/>
      <c r="R54" s="5">
        <f t="shared" si="26"/>
        <v>2.3255811584012675E-5</v>
      </c>
      <c r="S54" s="1"/>
      <c r="T54" s="1">
        <f>SUM(OSRRefT22_6x_0)</f>
        <v>0</v>
      </c>
      <c r="U54" s="1"/>
      <c r="V54" s="5">
        <f t="shared" si="27"/>
        <v>0</v>
      </c>
      <c r="W54" s="1"/>
      <c r="X54" s="1">
        <f t="shared" si="28"/>
        <v>9.1300000000000008</v>
      </c>
      <c r="Y54" s="1"/>
      <c r="Z54" s="5">
        <f t="shared" si="29"/>
        <v>0</v>
      </c>
    </row>
    <row r="55" spans="1:26" s="24" customFormat="1" hidden="1" outlineLevel="2" x14ac:dyDescent="0.25">
      <c r="A55" s="25"/>
      <c r="B55" s="11" t="str">
        <f>CONCATENATE("          ", "6305", " - ", "FREIGHT OUT")</f>
        <v xml:space="preserve">          6305 - FREIGHT OUT</v>
      </c>
      <c r="C55" s="11"/>
      <c r="D55" s="6"/>
      <c r="E55" s="2"/>
      <c r="F55" s="7">
        <f t="shared" si="22"/>
        <v>0</v>
      </c>
      <c r="G55" s="2"/>
      <c r="H55" s="6"/>
      <c r="I55" s="2"/>
      <c r="J55" s="7">
        <f t="shared" si="23"/>
        <v>0</v>
      </c>
      <c r="K55" s="2"/>
      <c r="L55" s="6">
        <f t="shared" si="24"/>
        <v>0</v>
      </c>
      <c r="M55" s="2"/>
      <c r="N55" s="7">
        <f t="shared" si="25"/>
        <v>0</v>
      </c>
      <c r="O55" s="11"/>
      <c r="P55" s="6">
        <v>9.1300000000000008</v>
      </c>
      <c r="Q55" s="2"/>
      <c r="R55" s="7">
        <f t="shared" si="26"/>
        <v>2.3255811584012675E-5</v>
      </c>
      <c r="S55" s="2"/>
      <c r="T55" s="6"/>
      <c r="U55" s="2"/>
      <c r="V55" s="7">
        <f t="shared" si="27"/>
        <v>0</v>
      </c>
      <c r="W55" s="2"/>
      <c r="X55" s="6">
        <f t="shared" si="28"/>
        <v>9.1300000000000008</v>
      </c>
      <c r="Y55" s="2"/>
      <c r="Z55" s="7">
        <f t="shared" si="29"/>
        <v>0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0</v>
      </c>
      <c r="E56" s="1"/>
      <c r="F56" s="5">
        <f t="shared" si="22"/>
        <v>0</v>
      </c>
      <c r="G56" s="1"/>
      <c r="H56" s="1">
        <f>SUM(OSRRefH22_7x_0)</f>
        <v>0</v>
      </c>
      <c r="I56" s="1"/>
      <c r="J56" s="5">
        <f t="shared" si="23"/>
        <v>0</v>
      </c>
      <c r="K56" s="1"/>
      <c r="L56" s="1">
        <f t="shared" si="24"/>
        <v>0</v>
      </c>
      <c r="M56" s="1"/>
      <c r="N56" s="5">
        <f t="shared" si="25"/>
        <v>0</v>
      </c>
      <c r="O56" s="13"/>
      <c r="P56" s="1">
        <f>SUM(OSRRefP22_7x_0)</f>
        <v>75</v>
      </c>
      <c r="Q56" s="1"/>
      <c r="R56" s="5">
        <f t="shared" si="26"/>
        <v>1.9103897796286424E-4</v>
      </c>
      <c r="S56" s="1"/>
      <c r="T56" s="1">
        <f>SUM(OSRRefT22_7x_0)</f>
        <v>185.21</v>
      </c>
      <c r="U56" s="1"/>
      <c r="V56" s="5">
        <f t="shared" si="27"/>
        <v>4.4925963971322296E-4</v>
      </c>
      <c r="W56" s="1"/>
      <c r="X56" s="1">
        <f t="shared" si="28"/>
        <v>-110.21000000000001</v>
      </c>
      <c r="Y56" s="1"/>
      <c r="Z56" s="5">
        <f t="shared" si="29"/>
        <v>-0.59505426272879436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2"/>
        <v>0</v>
      </c>
      <c r="G57" s="2"/>
      <c r="H57" s="6"/>
      <c r="I57" s="2"/>
      <c r="J57" s="7">
        <f t="shared" si="23"/>
        <v>0</v>
      </c>
      <c r="K57" s="2"/>
      <c r="L57" s="6">
        <f t="shared" si="24"/>
        <v>0</v>
      </c>
      <c r="M57" s="2"/>
      <c r="N57" s="7">
        <f t="shared" si="25"/>
        <v>0</v>
      </c>
      <c r="O57" s="11"/>
      <c r="P57" s="6">
        <v>75</v>
      </c>
      <c r="Q57" s="2"/>
      <c r="R57" s="7">
        <f t="shared" si="26"/>
        <v>1.9103897796286424E-4</v>
      </c>
      <c r="S57" s="2"/>
      <c r="T57" s="6">
        <v>185.21</v>
      </c>
      <c r="U57" s="2"/>
      <c r="V57" s="7">
        <f t="shared" si="27"/>
        <v>4.4925963971322296E-4</v>
      </c>
      <c r="W57" s="2"/>
      <c r="X57" s="6">
        <f t="shared" si="28"/>
        <v>-110.21000000000001</v>
      </c>
      <c r="Y57" s="2"/>
      <c r="Z57" s="7">
        <f t="shared" si="29"/>
        <v>-0.59505426272879436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9249.09</v>
      </c>
      <c r="E58" s="1"/>
      <c r="F58" s="5">
        <f t="shared" si="22"/>
        <v>9.9996291664580947E-2</v>
      </c>
      <c r="G58" s="1"/>
      <c r="H58" s="1">
        <f>SUM(OSRRefH22_8x_0)</f>
        <v>7176.58</v>
      </c>
      <c r="I58" s="1"/>
      <c r="J58" s="5">
        <f t="shared" si="23"/>
        <v>7.2485362190464725E-2</v>
      </c>
      <c r="K58" s="1"/>
      <c r="L58" s="1">
        <f t="shared" si="24"/>
        <v>2072.5100000000002</v>
      </c>
      <c r="M58" s="1"/>
      <c r="N58" s="5">
        <f t="shared" si="25"/>
        <v>0.28878797421613084</v>
      </c>
      <c r="O58" s="13"/>
      <c r="P58" s="1">
        <f>SUM(OSRRefP22_8x_0)</f>
        <v>45765.26</v>
      </c>
      <c r="Q58" s="1"/>
      <c r="R58" s="5">
        <f t="shared" si="26"/>
        <v>0.1165726466213967</v>
      </c>
      <c r="S58" s="1"/>
      <c r="T58" s="1">
        <f>SUM(OSRRefT22_8x_0)</f>
        <v>48278.94</v>
      </c>
      <c r="U58" s="1"/>
      <c r="V58" s="5">
        <f t="shared" si="27"/>
        <v>0.11710911500532536</v>
      </c>
      <c r="W58" s="1"/>
      <c r="X58" s="1">
        <f t="shared" si="28"/>
        <v>-2513.6800000000003</v>
      </c>
      <c r="Y58" s="1"/>
      <c r="Z58" s="5">
        <f t="shared" si="29"/>
        <v>-5.2065766149795335E-2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>
        <v>8733.11</v>
      </c>
      <c r="E59" s="2"/>
      <c r="F59" s="7">
        <f t="shared" si="22"/>
        <v>9.4417787555193922E-2</v>
      </c>
      <c r="G59" s="2"/>
      <c r="H59" s="6">
        <v>7176.58</v>
      </c>
      <c r="I59" s="2"/>
      <c r="J59" s="7">
        <f t="shared" si="23"/>
        <v>7.2485362190464725E-2</v>
      </c>
      <c r="K59" s="2"/>
      <c r="L59" s="6">
        <f t="shared" si="24"/>
        <v>1556.5300000000007</v>
      </c>
      <c r="M59" s="2"/>
      <c r="N59" s="7">
        <f t="shared" si="25"/>
        <v>0.21689021790323534</v>
      </c>
      <c r="O59" s="11"/>
      <c r="P59" s="6">
        <v>44879.8</v>
      </c>
      <c r="Q59" s="2"/>
      <c r="R59" s="7">
        <f t="shared" si="26"/>
        <v>0.11431721497570341</v>
      </c>
      <c r="S59" s="2"/>
      <c r="T59" s="6">
        <v>48130.400000000001</v>
      </c>
      <c r="U59" s="2"/>
      <c r="V59" s="7">
        <f t="shared" si="27"/>
        <v>0.11674880494170567</v>
      </c>
      <c r="W59" s="2"/>
      <c r="X59" s="6">
        <f t="shared" si="28"/>
        <v>-3250.5999999999985</v>
      </c>
      <c r="Y59" s="2"/>
      <c r="Z59" s="7">
        <f t="shared" si="29"/>
        <v>-6.7537356847231653E-2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515.98</v>
      </c>
      <c r="E60" s="2"/>
      <c r="F60" s="7">
        <f t="shared" si="22"/>
        <v>5.5785041093870296E-3</v>
      </c>
      <c r="G60" s="2"/>
      <c r="H60" s="6"/>
      <c r="I60" s="2"/>
      <c r="J60" s="7">
        <f t="shared" si="23"/>
        <v>0</v>
      </c>
      <c r="K60" s="2"/>
      <c r="L60" s="6">
        <f t="shared" si="24"/>
        <v>515.98</v>
      </c>
      <c r="M60" s="2"/>
      <c r="N60" s="7">
        <f t="shared" si="25"/>
        <v>0</v>
      </c>
      <c r="O60" s="11"/>
      <c r="P60" s="6">
        <v>885.46</v>
      </c>
      <c r="Q60" s="2"/>
      <c r="R60" s="7">
        <f t="shared" si="26"/>
        <v>2.255431645693304E-3</v>
      </c>
      <c r="S60" s="2"/>
      <c r="T60" s="6">
        <v>148.54</v>
      </c>
      <c r="U60" s="2"/>
      <c r="V60" s="7">
        <f t="shared" si="27"/>
        <v>3.6031006361968648E-4</v>
      </c>
      <c r="W60" s="2"/>
      <c r="X60" s="6">
        <f t="shared" si="28"/>
        <v>736.92000000000007</v>
      </c>
      <c r="Y60" s="2"/>
      <c r="Z60" s="7">
        <f t="shared" si="29"/>
        <v>4.9610879224451336</v>
      </c>
    </row>
    <row r="61" spans="1:26" s="26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SUM(OSRRefD22_9x_0)</f>
        <v>7840.58</v>
      </c>
      <c r="E61" s="1"/>
      <c r="F61" s="5">
        <f t="shared" ref="F61:F68" si="30">IF(D$12=0,0,D61/D$12)</f>
        <v>8.4768223089999137E-2</v>
      </c>
      <c r="G61" s="1"/>
      <c r="H61" s="1">
        <f>SUM(OSRRefH22_9x_0)</f>
        <v>5560.16</v>
      </c>
      <c r="I61" s="1"/>
      <c r="J61" s="5">
        <f t="shared" ref="J61:J68" si="31">IF(H$12=0,0,H61/H$12)</f>
        <v>5.6159091299328424E-2</v>
      </c>
      <c r="K61" s="1"/>
      <c r="L61" s="1">
        <f t="shared" ref="L61:L68" si="32">+D61-H61</f>
        <v>2280.42</v>
      </c>
      <c r="M61" s="1"/>
      <c r="N61" s="5">
        <f t="shared" ref="N61:N68" si="33">IF(H61=0,0,L61/H61)</f>
        <v>0.41013567954878999</v>
      </c>
      <c r="O61" s="13"/>
      <c r="P61" s="1">
        <f>SUM(OSRRefP22_9x_0)</f>
        <v>64400.56</v>
      </c>
      <c r="Q61" s="1"/>
      <c r="R61" s="5">
        <f t="shared" ref="R61:R68" si="34">IF(P$12=0,0,P61/P$12)</f>
        <v>0.16404022883514821</v>
      </c>
      <c r="S61" s="1"/>
      <c r="T61" s="1">
        <f>SUM(OSRRefT22_9x_0)</f>
        <v>60810.39</v>
      </c>
      <c r="U61" s="1"/>
      <c r="V61" s="5">
        <f t="shared" ref="V61:V68" si="35">IF(T$12=0,0,T61/T$12)</f>
        <v>0.14750636521905175</v>
      </c>
      <c r="W61" s="1"/>
      <c r="X61" s="1">
        <f t="shared" ref="X61:X68" si="36">+P61-T61</f>
        <v>3590.1699999999983</v>
      </c>
      <c r="Y61" s="1"/>
      <c r="Z61" s="5">
        <f t="shared" ref="Z61:Z68" si="37">IF(T61=0,0,X61/T61)</f>
        <v>5.9038759659327929E-2</v>
      </c>
    </row>
    <row r="62" spans="1:26" s="24" customFormat="1" hidden="1" outlineLevel="2" x14ac:dyDescent="0.25">
      <c r="A62" s="25"/>
      <c r="B62" s="11" t="str">
        <f>CONCATENATE("          ", "6259", " - ", "ROYALTY &amp; COMMISSIONS")</f>
        <v xml:space="preserve">          6259 - ROYALTY &amp; COMMISSIONS</v>
      </c>
      <c r="C62" s="11"/>
      <c r="D62" s="6">
        <v>7840.58</v>
      </c>
      <c r="E62" s="2"/>
      <c r="F62" s="7">
        <f t="shared" si="30"/>
        <v>8.4768223089999137E-2</v>
      </c>
      <c r="G62" s="2"/>
      <c r="H62" s="6">
        <v>5560.16</v>
      </c>
      <c r="I62" s="2"/>
      <c r="J62" s="7">
        <f t="shared" si="31"/>
        <v>5.6159091299328424E-2</v>
      </c>
      <c r="K62" s="2"/>
      <c r="L62" s="6">
        <f t="shared" si="32"/>
        <v>2280.42</v>
      </c>
      <c r="M62" s="2"/>
      <c r="N62" s="7">
        <f t="shared" si="33"/>
        <v>0.41013567954878999</v>
      </c>
      <c r="O62" s="11"/>
      <c r="P62" s="6">
        <v>64400.56</v>
      </c>
      <c r="Q62" s="2"/>
      <c r="R62" s="7">
        <f t="shared" si="34"/>
        <v>0.16404022883514821</v>
      </c>
      <c r="S62" s="2"/>
      <c r="T62" s="6">
        <v>60810.39</v>
      </c>
      <c r="U62" s="2"/>
      <c r="V62" s="7">
        <f t="shared" si="35"/>
        <v>0.14750636521905175</v>
      </c>
      <c r="W62" s="2"/>
      <c r="X62" s="6">
        <f t="shared" si="36"/>
        <v>3590.1699999999983</v>
      </c>
      <c r="Y62" s="2"/>
      <c r="Z62" s="7">
        <f t="shared" si="37"/>
        <v>5.9038759659327929E-2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6148.22</v>
      </c>
      <c r="E63" s="1"/>
      <c r="F63" s="5">
        <f t="shared" si="30"/>
        <v>6.6471317755369436E-2</v>
      </c>
      <c r="G63" s="1"/>
      <c r="H63" s="1">
        <f>SUM(OSRRefH22_10x_0)</f>
        <v>7584.63</v>
      </c>
      <c r="I63" s="1"/>
      <c r="J63" s="5">
        <f t="shared" si="31"/>
        <v>7.6606775459991325E-2</v>
      </c>
      <c r="K63" s="1"/>
      <c r="L63" s="1">
        <f t="shared" si="32"/>
        <v>-1436.4099999999999</v>
      </c>
      <c r="M63" s="1"/>
      <c r="N63" s="5">
        <f t="shared" si="33"/>
        <v>-0.18938432065901697</v>
      </c>
      <c r="O63" s="13"/>
      <c r="P63" s="1">
        <f>SUM(OSRRefP22_10x_0)</f>
        <v>24416.079999999998</v>
      </c>
      <c r="Q63" s="1"/>
      <c r="R63" s="5">
        <f t="shared" si="34"/>
        <v>6.2192306254127069E-2</v>
      </c>
      <c r="S63" s="1"/>
      <c r="T63" s="1">
        <f>SUM(OSRRefT22_10x_0)</f>
        <v>34875.4</v>
      </c>
      <c r="U63" s="1"/>
      <c r="V63" s="5">
        <f t="shared" si="35"/>
        <v>8.4596456124693784E-2</v>
      </c>
      <c r="W63" s="1"/>
      <c r="X63" s="1">
        <f t="shared" si="36"/>
        <v>-10459.320000000003</v>
      </c>
      <c r="Y63" s="1"/>
      <c r="Z63" s="5">
        <f t="shared" si="37"/>
        <v>-0.29990537742936291</v>
      </c>
    </row>
    <row r="64" spans="1:26" s="24" customFormat="1" hidden="1" outlineLevel="2" x14ac:dyDescent="0.25">
      <c r="A64" s="25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30"/>
        <v>0</v>
      </c>
      <c r="G64" s="2"/>
      <c r="H64" s="6"/>
      <c r="I64" s="2"/>
      <c r="J64" s="7">
        <f t="shared" si="31"/>
        <v>0</v>
      </c>
      <c r="K64" s="2"/>
      <c r="L64" s="6">
        <f t="shared" si="32"/>
        <v>0</v>
      </c>
      <c r="M64" s="2"/>
      <c r="N64" s="7">
        <f t="shared" si="33"/>
        <v>0</v>
      </c>
      <c r="O64" s="11"/>
      <c r="P64" s="6">
        <v>1017.27</v>
      </c>
      <c r="Q64" s="2"/>
      <c r="R64" s="7">
        <f t="shared" si="34"/>
        <v>2.5911762814971053E-3</v>
      </c>
      <c r="S64" s="2"/>
      <c r="T64" s="6">
        <v>856.68</v>
      </c>
      <c r="U64" s="2"/>
      <c r="V64" s="7">
        <f t="shared" si="35"/>
        <v>2.0780289841235561E-3</v>
      </c>
      <c r="W64" s="2"/>
      <c r="X64" s="6">
        <f t="shared" si="36"/>
        <v>160.59000000000003</v>
      </c>
      <c r="Y64" s="2"/>
      <c r="Z64" s="7">
        <f t="shared" si="37"/>
        <v>0.18745622636223566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6">
        <v>1524.87</v>
      </c>
      <c r="E65" s="2"/>
      <c r="F65" s="7">
        <f t="shared" si="30"/>
        <v>1.6486091633941234E-2</v>
      </c>
      <c r="G65" s="2"/>
      <c r="H65" s="6"/>
      <c r="I65" s="2"/>
      <c r="J65" s="7">
        <f t="shared" si="31"/>
        <v>0</v>
      </c>
      <c r="K65" s="2"/>
      <c r="L65" s="6">
        <f t="shared" si="32"/>
        <v>1524.87</v>
      </c>
      <c r="M65" s="2"/>
      <c r="N65" s="7">
        <f t="shared" si="33"/>
        <v>0</v>
      </c>
      <c r="O65" s="11"/>
      <c r="P65" s="6">
        <v>1568.02</v>
      </c>
      <c r="Q65" s="2"/>
      <c r="R65" s="7">
        <f t="shared" si="34"/>
        <v>3.9940391763377383E-3</v>
      </c>
      <c r="S65" s="2"/>
      <c r="T65" s="6"/>
      <c r="U65" s="2"/>
      <c r="V65" s="7">
        <f t="shared" si="35"/>
        <v>0</v>
      </c>
      <c r="W65" s="2"/>
      <c r="X65" s="6">
        <f t="shared" si="36"/>
        <v>1568.02</v>
      </c>
      <c r="Y65" s="2"/>
      <c r="Z65" s="7">
        <f t="shared" si="37"/>
        <v>0</v>
      </c>
    </row>
    <row r="66" spans="1:26" s="24" customFormat="1" hidden="1" outlineLevel="2" x14ac:dyDescent="0.25">
      <c r="A66" s="25"/>
      <c r="B66" s="11" t="str">
        <f>CONCATENATE("          ", "6243", " - ", "PAPER SUPPLIES")</f>
        <v xml:space="preserve">          6243 - PAPER SUPPLIES</v>
      </c>
      <c r="C66" s="11"/>
      <c r="D66" s="6">
        <v>2294.33</v>
      </c>
      <c r="E66" s="2"/>
      <c r="F66" s="7">
        <f t="shared" si="30"/>
        <v>2.4805088052424401E-2</v>
      </c>
      <c r="G66" s="2"/>
      <c r="H66" s="6">
        <v>2957.88</v>
      </c>
      <c r="I66" s="2"/>
      <c r="J66" s="7">
        <f t="shared" si="31"/>
        <v>2.9875372826044137E-2</v>
      </c>
      <c r="K66" s="2"/>
      <c r="L66" s="6">
        <f t="shared" si="32"/>
        <v>-663.55000000000018</v>
      </c>
      <c r="M66" s="2"/>
      <c r="N66" s="7">
        <f t="shared" si="33"/>
        <v>-0.22433296820695908</v>
      </c>
      <c r="O66" s="11"/>
      <c r="P66" s="6">
        <v>11852.83</v>
      </c>
      <c r="Q66" s="2"/>
      <c r="R66" s="7">
        <f t="shared" si="34"/>
        <v>3.0191367055567683E-2</v>
      </c>
      <c r="S66" s="2"/>
      <c r="T66" s="6">
        <v>22116.63</v>
      </c>
      <c r="U66" s="2"/>
      <c r="V66" s="7">
        <f t="shared" si="35"/>
        <v>5.3647801012205926E-2</v>
      </c>
      <c r="W66" s="2"/>
      <c r="X66" s="6">
        <f t="shared" si="36"/>
        <v>-10263.800000000001</v>
      </c>
      <c r="Y66" s="2"/>
      <c r="Z66" s="7">
        <f t="shared" si="37"/>
        <v>-0.46407612733042969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>
        <v>794.09</v>
      </c>
      <c r="E67" s="2"/>
      <c r="F67" s="7">
        <f t="shared" si="30"/>
        <v>8.585283011401889E-3</v>
      </c>
      <c r="G67" s="2"/>
      <c r="H67" s="6">
        <v>4075.37</v>
      </c>
      <c r="I67" s="2"/>
      <c r="J67" s="7">
        <f t="shared" si="31"/>
        <v>4.1162318334102631E-2</v>
      </c>
      <c r="K67" s="2"/>
      <c r="L67" s="6">
        <f t="shared" si="32"/>
        <v>-3281.2799999999997</v>
      </c>
      <c r="M67" s="2"/>
      <c r="N67" s="7">
        <f t="shared" si="33"/>
        <v>-0.80514898033798155</v>
      </c>
      <c r="O67" s="11"/>
      <c r="P67" s="6">
        <v>2007.27</v>
      </c>
      <c r="Q67" s="2"/>
      <c r="R67" s="7">
        <f t="shared" si="34"/>
        <v>5.1128907906069134E-3</v>
      </c>
      <c r="S67" s="2"/>
      <c r="T67" s="6">
        <v>9029.7000000000007</v>
      </c>
      <c r="U67" s="2"/>
      <c r="V67" s="7">
        <f t="shared" si="35"/>
        <v>2.1903135730891907E-2</v>
      </c>
      <c r="W67" s="2"/>
      <c r="X67" s="6">
        <f t="shared" si="36"/>
        <v>-7022.43</v>
      </c>
      <c r="Y67" s="2"/>
      <c r="Z67" s="7">
        <f t="shared" si="37"/>
        <v>-0.77770357819196645</v>
      </c>
    </row>
    <row r="68" spans="1:26" s="24" customFormat="1" hidden="1" outlineLevel="2" x14ac:dyDescent="0.25">
      <c r="A68" s="25"/>
      <c r="B68" s="11" t="str">
        <f>CONCATENATE("          ", "6247", " - ", "STORE SUPPLIES")</f>
        <v xml:space="preserve">          6247 - STORE SUPPLIES</v>
      </c>
      <c r="C68" s="11"/>
      <c r="D68" s="6">
        <v>1534.93</v>
      </c>
      <c r="E68" s="2"/>
      <c r="F68" s="7">
        <f t="shared" si="30"/>
        <v>1.6594855057601908E-2</v>
      </c>
      <c r="G68" s="2"/>
      <c r="H68" s="6">
        <v>551.38</v>
      </c>
      <c r="I68" s="2"/>
      <c r="J68" s="7">
        <f t="shared" si="31"/>
        <v>5.5690842998445556E-3</v>
      </c>
      <c r="K68" s="2"/>
      <c r="L68" s="6">
        <f t="shared" si="32"/>
        <v>983.55000000000007</v>
      </c>
      <c r="M68" s="2"/>
      <c r="N68" s="7">
        <f t="shared" si="33"/>
        <v>1.783797018390221</v>
      </c>
      <c r="O68" s="11"/>
      <c r="P68" s="6">
        <v>7970.69</v>
      </c>
      <c r="Q68" s="2"/>
      <c r="R68" s="7">
        <f t="shared" si="34"/>
        <v>2.030283295011763E-2</v>
      </c>
      <c r="S68" s="2"/>
      <c r="T68" s="6">
        <v>2872.39</v>
      </c>
      <c r="U68" s="2"/>
      <c r="V68" s="7">
        <f t="shared" si="35"/>
        <v>6.9674903974724063E-3</v>
      </c>
      <c r="W68" s="2"/>
      <c r="X68" s="6">
        <f t="shared" si="36"/>
        <v>5098.2999999999993</v>
      </c>
      <c r="Y68" s="2"/>
      <c r="Z68" s="7">
        <f t="shared" si="37"/>
        <v>1.7749330696736862</v>
      </c>
    </row>
    <row r="69" spans="1:26" s="26" customFormat="1" outlineLevel="1" collapsed="1" x14ac:dyDescent="0.25">
      <c r="A69" s="27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151.4</v>
      </c>
      <c r="E69" s="1"/>
      <c r="F69" s="5">
        <f t="shared" ref="F69:F72" si="38">IF(D$12=0,0,D69/D$12)</f>
        <v>1.6368570916725383E-3</v>
      </c>
      <c r="G69" s="1"/>
      <c r="H69" s="1">
        <f>SUM(OSRRefH22_11x_0)</f>
        <v>-31.65</v>
      </c>
      <c r="I69" s="1"/>
      <c r="J69" s="5">
        <f t="shared" ref="J69:J72" si="39">IF(H$12=0,0,H69/H$12)</f>
        <v>-3.1967339782016068E-4</v>
      </c>
      <c r="K69" s="1"/>
      <c r="L69" s="1">
        <f t="shared" ref="L69:L72" si="40">+D69-H69</f>
        <v>183.05</v>
      </c>
      <c r="M69" s="1"/>
      <c r="N69" s="5">
        <f t="shared" ref="N69:N72" si="41">IF(H69=0,0,L69/H69)</f>
        <v>-5.7835703001579786</v>
      </c>
      <c r="O69" s="13"/>
      <c r="P69" s="1">
        <f>SUM(OSRRefP22_11x_0)</f>
        <v>966.35</v>
      </c>
      <c r="Q69" s="1"/>
      <c r="R69" s="5">
        <f t="shared" ref="R69:R72" si="42">IF(P$12=0,0,P69/P$12)</f>
        <v>2.461473551392185E-3</v>
      </c>
      <c r="S69" s="1"/>
      <c r="T69" s="1">
        <f>SUM(OSRRefT22_11x_0)</f>
        <v>774.45</v>
      </c>
      <c r="U69" s="1"/>
      <c r="V69" s="5">
        <f t="shared" ref="V69:V72" si="43">IF(T$12=0,0,T69/T$12)</f>
        <v>1.8785655632844098E-3</v>
      </c>
      <c r="W69" s="1"/>
      <c r="X69" s="1">
        <f t="shared" ref="X69:X72" si="44">+P69-T69</f>
        <v>191.89999999999998</v>
      </c>
      <c r="Y69" s="1"/>
      <c r="Z69" s="5">
        <f t="shared" ref="Z69:Z72" si="45">IF(T69=0,0,X69/T69)</f>
        <v>0.24778875330879974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6">
        <v>151.4</v>
      </c>
      <c r="E70" s="2"/>
      <c r="F70" s="7">
        <f t="shared" si="38"/>
        <v>1.6368570916725383E-3</v>
      </c>
      <c r="G70" s="2"/>
      <c r="H70" s="6">
        <v>-31.65</v>
      </c>
      <c r="I70" s="2"/>
      <c r="J70" s="7">
        <f t="shared" si="39"/>
        <v>-3.1967339782016068E-4</v>
      </c>
      <c r="K70" s="2"/>
      <c r="L70" s="6">
        <f t="shared" si="40"/>
        <v>183.05</v>
      </c>
      <c r="M70" s="2"/>
      <c r="N70" s="7">
        <f t="shared" si="41"/>
        <v>-5.7835703001579786</v>
      </c>
      <c r="O70" s="11"/>
      <c r="P70" s="6">
        <v>966.35</v>
      </c>
      <c r="Q70" s="2"/>
      <c r="R70" s="7">
        <f t="shared" si="42"/>
        <v>2.461473551392185E-3</v>
      </c>
      <c r="S70" s="2"/>
      <c r="T70" s="6">
        <v>774.45</v>
      </c>
      <c r="U70" s="2"/>
      <c r="V70" s="7">
        <f t="shared" si="43"/>
        <v>1.8785655632844098E-3</v>
      </c>
      <c r="W70" s="2"/>
      <c r="X70" s="6">
        <f t="shared" si="44"/>
        <v>191.89999999999998</v>
      </c>
      <c r="Y70" s="2"/>
      <c r="Z70" s="7">
        <f t="shared" si="45"/>
        <v>0.24778875330879974</v>
      </c>
    </row>
    <row r="71" spans="1:26" s="26" customFormat="1" outlineLevel="1" collapsed="1" x14ac:dyDescent="0.25">
      <c r="A71" s="27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SUM(OSRRefD22_12x_0)</f>
        <v>0</v>
      </c>
      <c r="E71" s="1"/>
      <c r="F71" s="5">
        <f t="shared" si="38"/>
        <v>0</v>
      </c>
      <c r="G71" s="1"/>
      <c r="H71" s="1">
        <f>SUM(OSRRefH22_12x_0)</f>
        <v>0</v>
      </c>
      <c r="I71" s="1"/>
      <c r="J71" s="5">
        <f t="shared" si="39"/>
        <v>0</v>
      </c>
      <c r="K71" s="1"/>
      <c r="L71" s="1">
        <f t="shared" si="40"/>
        <v>0</v>
      </c>
      <c r="M71" s="1"/>
      <c r="N71" s="5">
        <f t="shared" si="41"/>
        <v>0</v>
      </c>
      <c r="O71" s="13"/>
      <c r="P71" s="1">
        <f>SUM(OSRRefP22_12x_0)</f>
        <v>97.71</v>
      </c>
      <c r="Q71" s="1"/>
      <c r="R71" s="5">
        <f t="shared" si="42"/>
        <v>2.4888558049001951E-4</v>
      </c>
      <c r="S71" s="1"/>
      <c r="T71" s="1">
        <f>SUM(OSRRefT22_12x_0)</f>
        <v>0</v>
      </c>
      <c r="U71" s="1"/>
      <c r="V71" s="5">
        <f t="shared" si="43"/>
        <v>0</v>
      </c>
      <c r="W71" s="1"/>
      <c r="X71" s="1">
        <f t="shared" si="44"/>
        <v>97.71</v>
      </c>
      <c r="Y71" s="1"/>
      <c r="Z71" s="5">
        <f t="shared" si="45"/>
        <v>0</v>
      </c>
    </row>
    <row r="72" spans="1:26" s="24" customFormat="1" hidden="1" outlineLevel="2" x14ac:dyDescent="0.25">
      <c r="A72" s="25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>
        <v>97.71</v>
      </c>
      <c r="Q72" s="2"/>
      <c r="R72" s="7">
        <f t="shared" si="42"/>
        <v>2.4888558049001951E-4</v>
      </c>
      <c r="S72" s="2"/>
      <c r="T72" s="6"/>
      <c r="U72" s="2"/>
      <c r="V72" s="7">
        <f t="shared" si="43"/>
        <v>0</v>
      </c>
      <c r="W72" s="2"/>
      <c r="X72" s="6">
        <f t="shared" si="44"/>
        <v>97.71</v>
      </c>
      <c r="Y72" s="2"/>
      <c r="Z72" s="7">
        <f t="shared" si="45"/>
        <v>0</v>
      </c>
    </row>
    <row r="73" spans="1:26" s="59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9" t="s">
        <v>0</v>
      </c>
      <c r="C74" s="10"/>
      <c r="D74" s="4">
        <f>SUM(OSRRefD25x_0)</f>
        <v>13269</v>
      </c>
      <c r="E74" s="4"/>
      <c r="F74" s="12">
        <f t="shared" ref="F74:F75" si="46">IF(D$12=0,0,D74/D$12)</f>
        <v>0.14345744220213283</v>
      </c>
      <c r="G74" s="4"/>
      <c r="H74" s="4">
        <f>SUM(OSRRefH25x_0)</f>
        <v>16345.4</v>
      </c>
      <c r="I74" s="4"/>
      <c r="J74" s="12">
        <f t="shared" ref="J74:J75" si="47">IF(H$12=0,0,H74/H$12)</f>
        <v>0.16509287698987848</v>
      </c>
      <c r="K74" s="4"/>
      <c r="L74" s="4">
        <f t="shared" ref="L74:L75" si="48">+D74-H74</f>
        <v>-3076.3999999999996</v>
      </c>
      <c r="M74" s="4"/>
      <c r="N74" s="12">
        <f t="shared" ref="N74:N75" si="49">IF(H74=0,0,L74/H74)</f>
        <v>-0.18821197401103673</v>
      </c>
      <c r="O74" s="10"/>
      <c r="P74" s="4">
        <f>SUM(OSRRefP25x_0)</f>
        <v>92883</v>
      </c>
      <c r="Q74" s="4"/>
      <c r="R74" s="12">
        <f t="shared" ref="R74:R75" si="50">IF(P$12=0,0,P74/P$12)</f>
        <v>0.2365903118683296</v>
      </c>
      <c r="S74" s="4"/>
      <c r="T74" s="4">
        <f>SUM(OSRRefT25x_0)</f>
        <v>88843.4</v>
      </c>
      <c r="U74" s="4"/>
      <c r="V74" s="12">
        <f t="shared" ref="V74:V75" si="51">IF(T$12=0,0,T74/T$12)</f>
        <v>0.21550539320175882</v>
      </c>
      <c r="W74" s="4"/>
      <c r="X74" s="4">
        <f t="shared" ref="X74:X75" si="52">+P74-T74</f>
        <v>4039.6000000000058</v>
      </c>
      <c r="Y74" s="4"/>
      <c r="Z74" s="12">
        <f t="shared" ref="Z74:Z75" si="53">IF(T74=0,0,X74/T74)</f>
        <v>4.5468768642352796E-2</v>
      </c>
    </row>
    <row r="75" spans="1:26" s="24" customFormat="1" hidden="1" outlineLevel="1" x14ac:dyDescent="0.25">
      <c r="A75" s="44"/>
      <c r="B75" s="11" t="str">
        <f>CONCATENATE("          ", "9150", " - ", "MISC. INCOME")</f>
        <v xml:space="preserve">          9150 - MISC. INCOME</v>
      </c>
      <c r="C75" s="11"/>
      <c r="D75" s="2">
        <f>--13269</f>
        <v>13269</v>
      </c>
      <c r="E75" s="2"/>
      <c r="F75" s="19">
        <f t="shared" si="46"/>
        <v>0.14345744220213283</v>
      </c>
      <c r="G75" s="2"/>
      <c r="H75" s="2">
        <f>--16345.4</f>
        <v>16345.4</v>
      </c>
      <c r="I75" s="2"/>
      <c r="J75" s="19">
        <f t="shared" si="47"/>
        <v>0.16509287698987848</v>
      </c>
      <c r="K75" s="2"/>
      <c r="L75" s="2">
        <f t="shared" si="48"/>
        <v>-3076.3999999999996</v>
      </c>
      <c r="M75" s="2"/>
      <c r="N75" s="19">
        <f t="shared" si="49"/>
        <v>-0.18821197401103673</v>
      </c>
      <c r="O75" s="11"/>
      <c r="P75" s="2">
        <f>--92883</f>
        <v>92883</v>
      </c>
      <c r="Q75" s="2"/>
      <c r="R75" s="19">
        <f t="shared" si="50"/>
        <v>0.2365903118683296</v>
      </c>
      <c r="S75" s="2"/>
      <c r="T75" s="2">
        <f>--88843.4</f>
        <v>88843.4</v>
      </c>
      <c r="U75" s="2"/>
      <c r="V75" s="19">
        <f t="shared" si="51"/>
        <v>0.21550539320175882</v>
      </c>
      <c r="W75" s="2"/>
      <c r="X75" s="2">
        <f t="shared" si="52"/>
        <v>4039.6000000000058</v>
      </c>
      <c r="Y75" s="2"/>
      <c r="Z75" s="19">
        <f t="shared" si="53"/>
        <v>4.5468768642352796E-2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1">
        <f>+D29-D31+D74</f>
        <v>49648.78</v>
      </c>
      <c r="E77" s="14"/>
      <c r="F77" s="22">
        <f>IF(D$12=0,0,D77/D$12)</f>
        <v>0.53677647051446287</v>
      </c>
      <c r="G77" s="14"/>
      <c r="H77" s="21">
        <f>+H29-H31+H74</f>
        <v>64630.430000000029</v>
      </c>
      <c r="I77" s="14"/>
      <c r="J77" s="22">
        <f>IF(H$12=0,0,H77/H$12)</f>
        <v>0.65278449164859575</v>
      </c>
      <c r="K77" s="16"/>
      <c r="L77" s="21">
        <f>+D77-H77</f>
        <v>-14981.650000000031</v>
      </c>
      <c r="M77" s="16"/>
      <c r="N77" s="22">
        <f>IF(H77=0,0,L77/H77)</f>
        <v>-0.23180489438179544</v>
      </c>
      <c r="O77" s="29"/>
      <c r="P77" s="21">
        <f>+P29-P31+P74</f>
        <v>156912.08999999991</v>
      </c>
      <c r="Q77" s="14"/>
      <c r="R77" s="22">
        <f>IF(P$12=0,0,P77/P$12)</f>
        <v>0.3996843373815594</v>
      </c>
      <c r="S77" s="14"/>
      <c r="T77" s="21">
        <f>+T29-T31+T74</f>
        <v>171112.26999999987</v>
      </c>
      <c r="U77" s="14"/>
      <c r="V77" s="22">
        <f>IF(T$12=0,0,T77/T$12)</f>
        <v>0.41506310010642877</v>
      </c>
      <c r="W77" s="16"/>
      <c r="X77" s="21">
        <f>+P77-T77</f>
        <v>-14200.179999999964</v>
      </c>
      <c r="Y77" s="16"/>
      <c r="Z77" s="22">
        <f>IF(T77=0,0,X77/T77)</f>
        <v>-8.2987502883340711E-2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8528.93</v>
      </c>
      <c r="E79" s="4"/>
      <c r="F79" s="12">
        <f>IF(D$12=0,0,D79/D$12)</f>
        <v>9.2210300890876229E-2</v>
      </c>
      <c r="G79" s="4"/>
      <c r="H79" s="4">
        <v>8142.97</v>
      </c>
      <c r="I79" s="4"/>
      <c r="J79" s="12">
        <f>IF(H$12=0,0,H79/H$12)</f>
        <v>8.2246157606560316E-2</v>
      </c>
      <c r="K79" s="4"/>
      <c r="L79" s="4">
        <f>+D79-H79</f>
        <v>385.96000000000004</v>
      </c>
      <c r="M79" s="4"/>
      <c r="N79" s="12">
        <f>IF(H79=0,0,L79/H79)</f>
        <v>4.7397939572416455E-2</v>
      </c>
      <c r="O79" s="10"/>
      <c r="P79" s="4">
        <v>40941.58</v>
      </c>
      <c r="Q79" s="4"/>
      <c r="R79" s="12">
        <f>IF(P$12=0,0,P79/P$12)</f>
        <v>0.10428583465846458</v>
      </c>
      <c r="S79" s="4"/>
      <c r="T79" s="4">
        <v>41947.25</v>
      </c>
      <c r="U79" s="4"/>
      <c r="V79" s="12">
        <f>IF(T$12=0,0,T79/T$12)</f>
        <v>0.10175048011425135</v>
      </c>
      <c r="W79" s="4"/>
      <c r="X79" s="4">
        <f>+P79-T79</f>
        <v>-1005.6699999999983</v>
      </c>
      <c r="Y79" s="4"/>
      <c r="Z79" s="12">
        <f>IF(T79=0,0,X79/T79)</f>
        <v>-2.3974634809194841E-2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4">
        <f>+D77-D79</f>
        <v>41119.85</v>
      </c>
      <c r="E81" s="14"/>
      <c r="F81" s="31">
        <f>IF(D$12=0,0,D81/D$12)</f>
        <v>0.44456616962358664</v>
      </c>
      <c r="G81" s="14"/>
      <c r="H81" s="34">
        <f>+H77-H79</f>
        <v>56487.460000000028</v>
      </c>
      <c r="I81" s="14"/>
      <c r="J81" s="31">
        <f>IF(H$12=0,0,H81/H$12)</f>
        <v>0.57053833404203547</v>
      </c>
      <c r="K81" s="16"/>
      <c r="L81" s="34">
        <f>D81-H81</f>
        <v>-15367.61000000003</v>
      </c>
      <c r="M81" s="16"/>
      <c r="N81" s="31">
        <f>IF(H81=0,0,L81/H81)</f>
        <v>-0.27205347877210306</v>
      </c>
      <c r="O81" s="29"/>
      <c r="P81" s="34">
        <f>+P77-P79</f>
        <v>115970.50999999991</v>
      </c>
      <c r="Q81" s="14"/>
      <c r="R81" s="31">
        <f>IF(P$12=0,0,P81/P$12)</f>
        <v>0.29539850272309481</v>
      </c>
      <c r="S81" s="14"/>
      <c r="T81" s="34">
        <f>+T77-T79</f>
        <v>129165.01999999987</v>
      </c>
      <c r="U81" s="14"/>
      <c r="V81" s="31">
        <f>IF(T$12=0,0,T81/T$12)</f>
        <v>0.31331261999217741</v>
      </c>
      <c r="W81" s="16"/>
      <c r="X81" s="34">
        <f>P81-T81</f>
        <v>-13194.509999999966</v>
      </c>
      <c r="Y81" s="16"/>
      <c r="Z81" s="31">
        <f>IF(T81=0,0,X81/T81)</f>
        <v>-0.10215234743895815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0">
        <f>SUM(D81:D83)</f>
        <v>41119.85</v>
      </c>
      <c r="E84" s="14"/>
      <c r="F84" s="33">
        <f>IF(D$12=0,0,D84/D$12)</f>
        <v>0.44456616962358664</v>
      </c>
      <c r="G84" s="14"/>
      <c r="H84" s="30">
        <f>SUM(H81:H83)</f>
        <v>56487.460000000028</v>
      </c>
      <c r="I84" s="14"/>
      <c r="J84" s="33">
        <f>IF(H$12=0,0,H84/H$12)</f>
        <v>0.57053833404203547</v>
      </c>
      <c r="K84" s="16"/>
      <c r="L84" s="30">
        <f>+D84-H84</f>
        <v>-15367.61000000003</v>
      </c>
      <c r="M84" s="16"/>
      <c r="N84" s="33">
        <f>IF(H84=0,0,L84/H84)</f>
        <v>-0.27205347877210306</v>
      </c>
      <c r="O84" s="29"/>
      <c r="P84" s="30">
        <f>SUM(P81:P83)</f>
        <v>115970.50999999991</v>
      </c>
      <c r="Q84" s="14"/>
      <c r="R84" s="33">
        <f>IF(P$12=0,0,P84/P$12)</f>
        <v>0.29539850272309481</v>
      </c>
      <c r="S84" s="14"/>
      <c r="T84" s="30">
        <f>SUM(T81:T83)</f>
        <v>129165.01999999987</v>
      </c>
      <c r="U84" s="14"/>
      <c r="V84" s="33">
        <f>IF(T$12=0,0,T84/T$12)</f>
        <v>0.31331261999217741</v>
      </c>
      <c r="W84" s="16"/>
      <c r="X84" s="30">
        <f>+P84-T84</f>
        <v>-13194.509999999966</v>
      </c>
      <c r="Y84" s="16"/>
      <c r="Z84" s="33">
        <f>IF(T84=0,0,X84/T84)</f>
        <v>-0.10215234743895815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43879.553903587963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5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","320", " - ", "Customer Service (old)")</f>
        <v>Department 320 - Customer Service (old)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10.94</v>
      </c>
      <c r="E12" s="4"/>
      <c r="F12" s="12"/>
      <c r="G12" s="4"/>
      <c r="H12" s="4">
        <f>SUM(OSRRefH13x_0)</f>
        <v>419.08</v>
      </c>
      <c r="I12" s="4"/>
      <c r="J12" s="12"/>
      <c r="K12" s="4"/>
      <c r="L12" s="4">
        <f t="shared" ref="L12:L16" si="0">+D12-H12</f>
        <v>-408.14</v>
      </c>
      <c r="M12" s="4"/>
      <c r="N12" s="12">
        <f t="shared" ref="N12:N16" si="1">IF(H12=0,0,L12/H12)</f>
        <v>-0.97389519900734944</v>
      </c>
      <c r="O12" s="10"/>
      <c r="P12" s="4">
        <f>SUM(OSRRefP13x_0)</f>
        <v>7559.83</v>
      </c>
      <c r="Q12" s="4"/>
      <c r="R12" s="12"/>
      <c r="S12" s="4"/>
      <c r="T12" s="4">
        <f>SUM(OSRRefT13x_0)</f>
        <v>8022.12</v>
      </c>
      <c r="U12" s="4"/>
      <c r="V12" s="12"/>
      <c r="W12" s="4"/>
      <c r="X12" s="4">
        <f t="shared" ref="X12:X16" si="2">+P12-T12</f>
        <v>-462.28999999999996</v>
      </c>
      <c r="Y12" s="4"/>
      <c r="Z12" s="12">
        <f t="shared" ref="Z12:Z16" si="3">IF(T12=0,0,X12/T12)</f>
        <v>-5.7626911589455154E-2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0</f>
        <v>0</v>
      </c>
      <c r="E13" s="2"/>
      <c r="F13" s="19"/>
      <c r="G13" s="2"/>
      <c r="H13" s="2">
        <f>--129.8</f>
        <v>129.80000000000001</v>
      </c>
      <c r="I13" s="2"/>
      <c r="J13" s="19"/>
      <c r="K13" s="2"/>
      <c r="L13" s="2">
        <f t="shared" si="0"/>
        <v>-129.80000000000001</v>
      </c>
      <c r="M13" s="2"/>
      <c r="N13" s="19">
        <f t="shared" si="1"/>
        <v>-1</v>
      </c>
      <c r="O13" s="11"/>
      <c r="P13" s="2">
        <f>--7699.32</f>
        <v>7699.32</v>
      </c>
      <c r="Q13" s="2"/>
      <c r="R13" s="19"/>
      <c r="S13" s="2"/>
      <c r="T13" s="2">
        <f>--7090.86</f>
        <v>7090.86</v>
      </c>
      <c r="U13" s="2"/>
      <c r="V13" s="19"/>
      <c r="W13" s="2"/>
      <c r="X13" s="2">
        <f t="shared" si="2"/>
        <v>608.46</v>
      </c>
      <c r="Y13" s="2"/>
      <c r="Z13" s="19">
        <f t="shared" si="3"/>
        <v>8.5809055601154177E-2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--10.94</f>
        <v>10.94</v>
      </c>
      <c r="E14" s="2"/>
      <c r="F14" s="19"/>
      <c r="G14" s="2"/>
      <c r="H14" s="2">
        <f>--289.28</f>
        <v>289.27999999999997</v>
      </c>
      <c r="I14" s="2"/>
      <c r="J14" s="19"/>
      <c r="K14" s="2"/>
      <c r="L14" s="2">
        <f t="shared" si="0"/>
        <v>-278.33999999999997</v>
      </c>
      <c r="M14" s="2"/>
      <c r="N14" s="19">
        <f t="shared" si="1"/>
        <v>-0.96218196902654862</v>
      </c>
      <c r="O14" s="11"/>
      <c r="P14" s="2">
        <f>--279.56</f>
        <v>279.56</v>
      </c>
      <c r="Q14" s="2"/>
      <c r="R14" s="19"/>
      <c r="S14" s="2"/>
      <c r="T14" s="2">
        <f>--1606.22</f>
        <v>1606.22</v>
      </c>
      <c r="U14" s="2"/>
      <c r="V14" s="19"/>
      <c r="W14" s="2"/>
      <c r="X14" s="2">
        <f t="shared" si="2"/>
        <v>-1326.66</v>
      </c>
      <c r="Y14" s="2"/>
      <c r="Z14" s="19">
        <f t="shared" si="3"/>
        <v>-0.82595161310405796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ref="D15:D16" si="4">0</f>
        <v>0</v>
      </c>
      <c r="E15" s="2"/>
      <c r="F15" s="19"/>
      <c r="G15" s="2"/>
      <c r="H15" s="2">
        <f t="shared" ref="H15:H16" si="5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-419.05</f>
        <v>-419.05</v>
      </c>
      <c r="Q15" s="2"/>
      <c r="R15" s="19"/>
      <c r="S15" s="2"/>
      <c r="T15" s="2">
        <f>-548.24</f>
        <v>-548.24</v>
      </c>
      <c r="U15" s="2"/>
      <c r="V15" s="19"/>
      <c r="W15" s="2"/>
      <c r="X15" s="2">
        <f t="shared" si="2"/>
        <v>129.19</v>
      </c>
      <c r="Y15" s="2"/>
      <c r="Z15" s="19">
        <f t="shared" si="3"/>
        <v>-0.23564497300452356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-126.72</f>
        <v>-126.72</v>
      </c>
      <c r="U16" s="2"/>
      <c r="V16" s="19"/>
      <c r="W16" s="2"/>
      <c r="X16" s="2">
        <f t="shared" si="2"/>
        <v>126.72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0.71999999999999886</v>
      </c>
      <c r="E18" s="4"/>
      <c r="F18" s="12">
        <f t="shared" ref="F18:F23" si="6">IF(D$12=0,0,D18/D$12)</f>
        <v>6.5813528336380156E-2</v>
      </c>
      <c r="G18" s="4"/>
      <c r="H18" s="4">
        <f>SUM(OSRRefH16x_0)</f>
        <v>56.67999999999995</v>
      </c>
      <c r="I18" s="4"/>
      <c r="J18" s="12">
        <f t="shared" ref="J18:J23" si="7">IF(H$12=0,0,H18/H$12)</f>
        <v>0.13524863987782751</v>
      </c>
      <c r="K18" s="4"/>
      <c r="L18" s="4">
        <f t="shared" ref="L18:L23" si="8">+D18-H18</f>
        <v>-55.959999999999951</v>
      </c>
      <c r="M18" s="4"/>
      <c r="N18" s="12">
        <f t="shared" ref="N18:N23" si="9">IF(H18=0,0,L18/H18)</f>
        <v>-0.98729710656316161</v>
      </c>
      <c r="O18" s="10"/>
      <c r="P18" s="4">
        <f>SUM(OSRRefP16x_0)</f>
        <v>3803.84</v>
      </c>
      <c r="Q18" s="4"/>
      <c r="R18" s="12">
        <f t="shared" ref="R18:R23" si="10">IF(P$12=0,0,P18/P$12)</f>
        <v>0.50316475370477909</v>
      </c>
      <c r="S18" s="4"/>
      <c r="T18" s="4">
        <f>SUM(OSRRefT16x_0)</f>
        <v>2680.34</v>
      </c>
      <c r="U18" s="4"/>
      <c r="V18" s="12">
        <f t="shared" ref="V18:V23" si="11">IF(T$12=0,0,T18/T$12)</f>
        <v>0.33411866189984696</v>
      </c>
      <c r="W18" s="4"/>
      <c r="X18" s="4">
        <f t="shared" ref="X18:X23" si="12">+P18-T18</f>
        <v>1123.5</v>
      </c>
      <c r="Y18" s="4"/>
      <c r="Z18" s="12">
        <f t="shared" ref="Z18:Z23" si="13">IF(T18=0,0,X18/T18)</f>
        <v>0.41916324048441611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>
        <v>122.72</v>
      </c>
      <c r="E19" s="2"/>
      <c r="F19" s="19">
        <f t="shared" si="6"/>
        <v>11.217550274223035</v>
      </c>
      <c r="G19" s="2"/>
      <c r="H19" s="2">
        <v>-820</v>
      </c>
      <c r="I19" s="2"/>
      <c r="J19" s="19">
        <f t="shared" si="7"/>
        <v>-1.9566669848239</v>
      </c>
      <c r="K19" s="2"/>
      <c r="L19" s="2">
        <f t="shared" si="8"/>
        <v>942.72</v>
      </c>
      <c r="M19" s="2"/>
      <c r="N19" s="19">
        <f t="shared" si="9"/>
        <v>-1.149658536585366</v>
      </c>
      <c r="O19" s="11"/>
      <c r="P19" s="2">
        <v>2107.21</v>
      </c>
      <c r="Q19" s="2"/>
      <c r="R19" s="19">
        <f t="shared" si="10"/>
        <v>0.27873774939383561</v>
      </c>
      <c r="S19" s="2"/>
      <c r="T19" s="2">
        <v>-2690.04</v>
      </c>
      <c r="U19" s="2"/>
      <c r="V19" s="19">
        <f t="shared" si="11"/>
        <v>-0.33532781858162181</v>
      </c>
      <c r="W19" s="2"/>
      <c r="X19" s="2">
        <f t="shared" si="12"/>
        <v>4797.25</v>
      </c>
      <c r="Y19" s="2"/>
      <c r="Z19" s="19">
        <f t="shared" si="13"/>
        <v>-1.7833377942335431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6"/>
        <v>0</v>
      </c>
      <c r="G20" s="2"/>
      <c r="H20" s="2">
        <v>-4.32</v>
      </c>
      <c r="I20" s="2"/>
      <c r="J20" s="19">
        <f t="shared" si="7"/>
        <v>-1.0308294359072255E-2</v>
      </c>
      <c r="K20" s="2"/>
      <c r="L20" s="2">
        <f t="shared" si="8"/>
        <v>4.32</v>
      </c>
      <c r="M20" s="2"/>
      <c r="N20" s="19">
        <f t="shared" si="9"/>
        <v>-1</v>
      </c>
      <c r="O20" s="11"/>
      <c r="P20" s="2">
        <v>11.85</v>
      </c>
      <c r="Q20" s="2"/>
      <c r="R20" s="19">
        <f t="shared" si="10"/>
        <v>1.5674955653764702E-3</v>
      </c>
      <c r="S20" s="2"/>
      <c r="T20" s="2">
        <v>-61.92</v>
      </c>
      <c r="U20" s="2"/>
      <c r="V20" s="19">
        <f t="shared" si="11"/>
        <v>-7.7186579108764267E-3</v>
      </c>
      <c r="W20" s="2"/>
      <c r="X20" s="2">
        <f t="shared" si="12"/>
        <v>73.77</v>
      </c>
      <c r="Y20" s="2"/>
      <c r="Z20" s="19">
        <f t="shared" si="13"/>
        <v>-1.1913759689922481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>
        <v>-123</v>
      </c>
      <c r="E21" s="2"/>
      <c r="F21" s="19">
        <f t="shared" si="6"/>
        <v>-11.243144424131627</v>
      </c>
      <c r="G21" s="2"/>
      <c r="H21" s="2">
        <v>824</v>
      </c>
      <c r="I21" s="2"/>
      <c r="J21" s="19">
        <f t="shared" si="7"/>
        <v>1.9662117018230409</v>
      </c>
      <c r="K21" s="2"/>
      <c r="L21" s="2">
        <f t="shared" si="8"/>
        <v>-947</v>
      </c>
      <c r="M21" s="2"/>
      <c r="N21" s="19">
        <f t="shared" si="9"/>
        <v>-1.1492718446601942</v>
      </c>
      <c r="O21" s="11"/>
      <c r="P21" s="2">
        <v>-2226</v>
      </c>
      <c r="Q21" s="2"/>
      <c r="R21" s="19">
        <f t="shared" si="10"/>
        <v>-0.29445106569856727</v>
      </c>
      <c r="S21" s="2"/>
      <c r="T21" s="2">
        <v>2639</v>
      </c>
      <c r="U21" s="2"/>
      <c r="V21" s="19">
        <f t="shared" si="11"/>
        <v>0.32896541063958157</v>
      </c>
      <c r="W21" s="2"/>
      <c r="X21" s="2">
        <f t="shared" si="12"/>
        <v>-4865</v>
      </c>
      <c r="Y21" s="2"/>
      <c r="Z21" s="19">
        <f t="shared" si="13"/>
        <v>-1.8435013262599469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>
        <v>1</v>
      </c>
      <c r="E22" s="2"/>
      <c r="F22" s="19">
        <f t="shared" si="6"/>
        <v>9.1407678244972576E-2</v>
      </c>
      <c r="G22" s="2"/>
      <c r="H22" s="2">
        <v>57</v>
      </c>
      <c r="I22" s="2"/>
      <c r="J22" s="19">
        <f t="shared" si="7"/>
        <v>0.13601221723775891</v>
      </c>
      <c r="K22" s="2"/>
      <c r="L22" s="2">
        <f t="shared" si="8"/>
        <v>-56</v>
      </c>
      <c r="M22" s="2"/>
      <c r="N22" s="19">
        <f t="shared" si="9"/>
        <v>-0.98245614035087714</v>
      </c>
      <c r="O22" s="11"/>
      <c r="P22" s="2">
        <v>3805</v>
      </c>
      <c r="Q22" s="2"/>
      <c r="R22" s="19">
        <f t="shared" si="10"/>
        <v>0.50331819630864716</v>
      </c>
      <c r="S22" s="2"/>
      <c r="T22" s="2">
        <v>2679</v>
      </c>
      <c r="U22" s="2"/>
      <c r="V22" s="19">
        <f t="shared" si="11"/>
        <v>0.33395162376030274</v>
      </c>
      <c r="W22" s="2"/>
      <c r="X22" s="2">
        <f t="shared" si="12"/>
        <v>1126</v>
      </c>
      <c r="Y22" s="2"/>
      <c r="Z22" s="19">
        <f t="shared" si="13"/>
        <v>0.42030608435983574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105.78</v>
      </c>
      <c r="Q23" s="2"/>
      <c r="R23" s="19">
        <f t="shared" si="10"/>
        <v>1.3992378135487173E-2</v>
      </c>
      <c r="S23" s="2"/>
      <c r="T23" s="2">
        <v>114.3</v>
      </c>
      <c r="U23" s="2"/>
      <c r="V23" s="19">
        <f t="shared" si="11"/>
        <v>1.4248103992460846E-2</v>
      </c>
      <c r="W23" s="2"/>
      <c r="X23" s="2">
        <f t="shared" si="12"/>
        <v>-8.519999999999996</v>
      </c>
      <c r="Y23" s="2"/>
      <c r="Z23" s="19">
        <f t="shared" si="13"/>
        <v>-7.4540682414698134E-2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1">
        <f>D12-D18</f>
        <v>10.220000000000001</v>
      </c>
      <c r="E25" s="14"/>
      <c r="F25" s="22">
        <f>IF(D$12=0,0,D25/D$12)</f>
        <v>0.9341864716636199</v>
      </c>
      <c r="G25" s="14"/>
      <c r="H25" s="21">
        <f>H12-H18</f>
        <v>362.40000000000003</v>
      </c>
      <c r="I25" s="14"/>
      <c r="J25" s="22">
        <f>IF(H$12=0,0,H25/H$12)</f>
        <v>0.86475136012217246</v>
      </c>
      <c r="K25" s="16"/>
      <c r="L25" s="21">
        <f>+D25-H25</f>
        <v>-352.18</v>
      </c>
      <c r="M25" s="16"/>
      <c r="N25" s="22">
        <f>IF(H25=0,0,L25/H25)</f>
        <v>-0.97179911699779242</v>
      </c>
      <c r="O25" s="29"/>
      <c r="P25" s="21">
        <f>P12-P18</f>
        <v>3755.99</v>
      </c>
      <c r="Q25" s="14"/>
      <c r="R25" s="22">
        <f>IF(P$12=0,0,P25/P$12)</f>
        <v>0.49683524629522091</v>
      </c>
      <c r="S25" s="14"/>
      <c r="T25" s="21">
        <f>T12-T18</f>
        <v>5341.78</v>
      </c>
      <c r="U25" s="14"/>
      <c r="V25" s="22">
        <f>IF(T$12=0,0,T25/T$12)</f>
        <v>0.66588133810015304</v>
      </c>
      <c r="W25" s="16"/>
      <c r="X25" s="21">
        <f>+P25-T25</f>
        <v>-1585.79</v>
      </c>
      <c r="Y25" s="16"/>
      <c r="Z25" s="22">
        <f>IF(T25=0,0,X25/T25)</f>
        <v>-0.29686546432088179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0">
        <f>SUM(OSRRefD22x_0)</f>
        <v>-13664.85</v>
      </c>
      <c r="E27" s="20"/>
      <c r="F27" s="32">
        <f t="shared" ref="F27:F36" si="14">IF(D$12=0,0,D27/D$12)</f>
        <v>-1249.0722120658136</v>
      </c>
      <c r="G27" s="20"/>
      <c r="H27" s="20">
        <f>SUM(OSRRefH22x_0)</f>
        <v>-6563.5899999999992</v>
      </c>
      <c r="I27" s="20"/>
      <c r="J27" s="32">
        <f t="shared" ref="J27:J36" si="15">IF(H$12=0,0,H27/H$12)</f>
        <v>-15.661902262097927</v>
      </c>
      <c r="K27" s="4"/>
      <c r="L27" s="20">
        <f t="shared" ref="L27:L36" si="16">+D27-H27</f>
        <v>-7101.2600000000011</v>
      </c>
      <c r="M27" s="4"/>
      <c r="N27" s="32">
        <f t="shared" ref="N27:N36" si="17">IF(H27=0,0,L27/H27)</f>
        <v>1.0819170606329771</v>
      </c>
      <c r="O27" s="10"/>
      <c r="P27" s="20">
        <f>SUM(OSRRefP22x_0)</f>
        <v>-11148.689999999997</v>
      </c>
      <c r="Q27" s="20"/>
      <c r="R27" s="32">
        <f t="shared" ref="R27:R36" si="18">IF(P$12=0,0,P27/P$12)</f>
        <v>-1.474727606308607</v>
      </c>
      <c r="S27" s="20"/>
      <c r="T27" s="20">
        <f>SUM(OSRRefT22x_0)</f>
        <v>7663.8399999999929</v>
      </c>
      <c r="U27" s="20"/>
      <c r="V27" s="32">
        <f t="shared" ref="V27:V36" si="19">IF(T$12=0,0,T27/T$12)</f>
        <v>0.95533848907769925</v>
      </c>
      <c r="W27" s="4"/>
      <c r="X27" s="20">
        <f t="shared" ref="X27:X36" si="20">+P27-T27</f>
        <v>-18812.529999999992</v>
      </c>
      <c r="Y27" s="4"/>
      <c r="Z27" s="32">
        <f t="shared" ref="Z27:Z36" si="21">IF(T27=0,0,X27/T27)</f>
        <v>-2.454713302991713</v>
      </c>
    </row>
    <row r="28" spans="1:26" s="26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0</v>
      </c>
      <c r="E28" s="1"/>
      <c r="F28" s="5">
        <f t="shared" si="14"/>
        <v>0</v>
      </c>
      <c r="G28" s="1"/>
      <c r="H28" s="1">
        <f>SUM(OSRRefH22_0x_0)</f>
        <v>696.68999999999994</v>
      </c>
      <c r="I28" s="1"/>
      <c r="J28" s="5">
        <f t="shared" si="15"/>
        <v>1.6624272215328815</v>
      </c>
      <c r="K28" s="1"/>
      <c r="L28" s="1">
        <f t="shared" si="16"/>
        <v>-696.68999999999994</v>
      </c>
      <c r="M28" s="1"/>
      <c r="N28" s="5">
        <f t="shared" si="17"/>
        <v>-1</v>
      </c>
      <c r="O28" s="13"/>
      <c r="P28" s="1">
        <f>SUM(OSRRefP22_0x_0)</f>
        <v>821.29</v>
      </c>
      <c r="Q28" s="1"/>
      <c r="R28" s="5">
        <f t="shared" si="18"/>
        <v>0.10863868631966592</v>
      </c>
      <c r="S28" s="1"/>
      <c r="T28" s="1">
        <f>SUM(OSRRefT22_0x_0)</f>
        <v>1666.97</v>
      </c>
      <c r="U28" s="1"/>
      <c r="V28" s="5">
        <f t="shared" si="19"/>
        <v>0.20779669214621571</v>
      </c>
      <c r="W28" s="1"/>
      <c r="X28" s="1">
        <f t="shared" si="20"/>
        <v>-845.68000000000006</v>
      </c>
      <c r="Y28" s="1"/>
      <c r="Z28" s="5">
        <f t="shared" si="21"/>
        <v>-0.50731566854832422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/>
      <c r="E29" s="2"/>
      <c r="F29" s="7">
        <f t="shared" si="14"/>
        <v>0</v>
      </c>
      <c r="G29" s="2"/>
      <c r="H29" s="6">
        <v>73.44</v>
      </c>
      <c r="I29" s="2"/>
      <c r="J29" s="7">
        <f t="shared" si="15"/>
        <v>0.1752410041042283</v>
      </c>
      <c r="K29" s="2"/>
      <c r="L29" s="6">
        <f t="shared" si="16"/>
        <v>-73.44</v>
      </c>
      <c r="M29" s="2"/>
      <c r="N29" s="7">
        <f t="shared" si="17"/>
        <v>-1</v>
      </c>
      <c r="O29" s="11"/>
      <c r="P29" s="6">
        <v>155.66</v>
      </c>
      <c r="Q29" s="2"/>
      <c r="R29" s="7">
        <f t="shared" si="18"/>
        <v>2.059041010181446E-2</v>
      </c>
      <c r="S29" s="2"/>
      <c r="T29" s="6">
        <v>256.08</v>
      </c>
      <c r="U29" s="2"/>
      <c r="V29" s="7">
        <f t="shared" si="19"/>
        <v>3.1921736398857162E-2</v>
      </c>
      <c r="W29" s="2"/>
      <c r="X29" s="6">
        <f t="shared" si="20"/>
        <v>-100.41999999999999</v>
      </c>
      <c r="Y29" s="2"/>
      <c r="Z29" s="7">
        <f t="shared" si="21"/>
        <v>-0.39214308028741018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/>
      <c r="E30" s="2"/>
      <c r="F30" s="7">
        <f t="shared" si="14"/>
        <v>0</v>
      </c>
      <c r="G30" s="2"/>
      <c r="H30" s="6">
        <v>11.47</v>
      </c>
      <c r="I30" s="2"/>
      <c r="J30" s="7">
        <f t="shared" si="15"/>
        <v>2.7369475995036748E-2</v>
      </c>
      <c r="K30" s="2"/>
      <c r="L30" s="6">
        <f t="shared" si="16"/>
        <v>-11.47</v>
      </c>
      <c r="M30" s="2"/>
      <c r="N30" s="7">
        <f t="shared" si="17"/>
        <v>-1</v>
      </c>
      <c r="O30" s="11"/>
      <c r="P30" s="6">
        <v>22.05</v>
      </c>
      <c r="Q30" s="2"/>
      <c r="R30" s="7">
        <f t="shared" si="18"/>
        <v>2.91673225456128E-3</v>
      </c>
      <c r="S30" s="2"/>
      <c r="T30" s="6">
        <v>38.82</v>
      </c>
      <c r="U30" s="2"/>
      <c r="V30" s="7">
        <f t="shared" si="19"/>
        <v>4.8391198336599304E-3</v>
      </c>
      <c r="W30" s="2"/>
      <c r="X30" s="6">
        <f t="shared" si="20"/>
        <v>-16.77</v>
      </c>
      <c r="Y30" s="2"/>
      <c r="Z30" s="7">
        <f t="shared" si="21"/>
        <v>-0.43199381761978362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/>
      <c r="E31" s="2"/>
      <c r="F31" s="7">
        <f t="shared" si="14"/>
        <v>0</v>
      </c>
      <c r="G31" s="2"/>
      <c r="H31" s="6">
        <v>152.63</v>
      </c>
      <c r="I31" s="2"/>
      <c r="J31" s="7">
        <f t="shared" si="15"/>
        <v>0.36420253889472176</v>
      </c>
      <c r="K31" s="2"/>
      <c r="L31" s="6">
        <f t="shared" si="16"/>
        <v>-152.63</v>
      </c>
      <c r="M31" s="2"/>
      <c r="N31" s="7">
        <f t="shared" si="17"/>
        <v>-1</v>
      </c>
      <c r="O31" s="11"/>
      <c r="P31" s="6">
        <v>305.26</v>
      </c>
      <c r="Q31" s="2"/>
      <c r="R31" s="7">
        <f t="shared" si="18"/>
        <v>4.0379214876525002E-2</v>
      </c>
      <c r="S31" s="2"/>
      <c r="T31" s="6">
        <v>483.95</v>
      </c>
      <c r="U31" s="2"/>
      <c r="V31" s="7">
        <f t="shared" si="19"/>
        <v>6.0326945994325691E-2</v>
      </c>
      <c r="W31" s="2"/>
      <c r="X31" s="6">
        <f t="shared" si="20"/>
        <v>-178.69</v>
      </c>
      <c r="Y31" s="2"/>
      <c r="Z31" s="7">
        <f t="shared" si="21"/>
        <v>-0.36923235871474325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/>
      <c r="E32" s="2"/>
      <c r="F32" s="7">
        <f t="shared" si="14"/>
        <v>0</v>
      </c>
      <c r="G32" s="2"/>
      <c r="H32" s="6">
        <v>2.5099999999999998</v>
      </c>
      <c r="I32" s="2"/>
      <c r="J32" s="7">
        <f t="shared" si="15"/>
        <v>5.989309916960962E-3</v>
      </c>
      <c r="K32" s="2"/>
      <c r="L32" s="6">
        <f t="shared" si="16"/>
        <v>-2.5099999999999998</v>
      </c>
      <c r="M32" s="2"/>
      <c r="N32" s="7">
        <f t="shared" si="17"/>
        <v>-1</v>
      </c>
      <c r="O32" s="11"/>
      <c r="P32" s="6">
        <v>5</v>
      </c>
      <c r="Q32" s="2"/>
      <c r="R32" s="7">
        <f t="shared" si="18"/>
        <v>6.6139053391412242E-4</v>
      </c>
      <c r="S32" s="2"/>
      <c r="T32" s="6">
        <v>8.49</v>
      </c>
      <c r="U32" s="2"/>
      <c r="V32" s="7">
        <f t="shared" si="19"/>
        <v>1.0583237348730759E-3</v>
      </c>
      <c r="W32" s="2"/>
      <c r="X32" s="6">
        <f t="shared" si="20"/>
        <v>-3.49</v>
      </c>
      <c r="Y32" s="2"/>
      <c r="Z32" s="7">
        <f t="shared" si="21"/>
        <v>-0.41107184923439344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/>
      <c r="E33" s="2"/>
      <c r="F33" s="7">
        <f t="shared" si="14"/>
        <v>0</v>
      </c>
      <c r="G33" s="2"/>
      <c r="H33" s="6">
        <v>96.99</v>
      </c>
      <c r="I33" s="2"/>
      <c r="J33" s="7">
        <f t="shared" si="15"/>
        <v>0.23143552543667079</v>
      </c>
      <c r="K33" s="2"/>
      <c r="L33" s="6">
        <f t="shared" si="16"/>
        <v>-96.99</v>
      </c>
      <c r="M33" s="2"/>
      <c r="N33" s="7">
        <f t="shared" si="17"/>
        <v>-1</v>
      </c>
      <c r="O33" s="11"/>
      <c r="P33" s="6">
        <v>134.12</v>
      </c>
      <c r="Q33" s="2"/>
      <c r="R33" s="7">
        <f t="shared" si="18"/>
        <v>1.7741139681712419E-2</v>
      </c>
      <c r="S33" s="2"/>
      <c r="T33" s="6">
        <v>222.21</v>
      </c>
      <c r="U33" s="2"/>
      <c r="V33" s="7">
        <f t="shared" si="19"/>
        <v>2.769966043888648E-2</v>
      </c>
      <c r="W33" s="2"/>
      <c r="X33" s="6">
        <f t="shared" si="20"/>
        <v>-88.09</v>
      </c>
      <c r="Y33" s="2"/>
      <c r="Z33" s="7">
        <f t="shared" si="21"/>
        <v>-0.39642680347419107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4"/>
        <v>0</v>
      </c>
      <c r="G34" s="2"/>
      <c r="H34" s="6">
        <v>89.05</v>
      </c>
      <c r="I34" s="2"/>
      <c r="J34" s="7">
        <f t="shared" si="15"/>
        <v>0.21248926219337597</v>
      </c>
      <c r="K34" s="2"/>
      <c r="L34" s="6">
        <f t="shared" si="16"/>
        <v>-89.05</v>
      </c>
      <c r="M34" s="2"/>
      <c r="N34" s="7">
        <f t="shared" si="17"/>
        <v>-1</v>
      </c>
      <c r="O34" s="11"/>
      <c r="P34" s="6">
        <v>110.64</v>
      </c>
      <c r="Q34" s="2"/>
      <c r="R34" s="7">
        <f t="shared" si="18"/>
        <v>1.46352497344517E-2</v>
      </c>
      <c r="S34" s="2"/>
      <c r="T34" s="6">
        <v>159.51</v>
      </c>
      <c r="U34" s="2"/>
      <c r="V34" s="7">
        <f t="shared" si="19"/>
        <v>1.9883771372155988E-2</v>
      </c>
      <c r="W34" s="2"/>
      <c r="X34" s="6">
        <f t="shared" si="20"/>
        <v>-48.86999999999999</v>
      </c>
      <c r="Y34" s="2"/>
      <c r="Z34" s="7">
        <f t="shared" si="21"/>
        <v>-0.30637577581342856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4"/>
        <v>0</v>
      </c>
      <c r="G35" s="2"/>
      <c r="H35" s="6">
        <v>120.74</v>
      </c>
      <c r="I35" s="2"/>
      <c r="J35" s="7">
        <f t="shared" si="15"/>
        <v>0.28810728261907037</v>
      </c>
      <c r="K35" s="2"/>
      <c r="L35" s="6">
        <f t="shared" si="16"/>
        <v>-120.74</v>
      </c>
      <c r="M35" s="2"/>
      <c r="N35" s="7">
        <f t="shared" si="17"/>
        <v>-1</v>
      </c>
      <c r="O35" s="11"/>
      <c r="P35" s="6">
        <v>88.56</v>
      </c>
      <c r="Q35" s="2"/>
      <c r="R35" s="7">
        <f t="shared" si="18"/>
        <v>1.1714549136686937E-2</v>
      </c>
      <c r="S35" s="2"/>
      <c r="T35" s="6">
        <v>205.16</v>
      </c>
      <c r="U35" s="2"/>
      <c r="V35" s="7">
        <f t="shared" si="19"/>
        <v>2.5574287096179066E-2</v>
      </c>
      <c r="W35" s="2"/>
      <c r="X35" s="6">
        <f t="shared" si="20"/>
        <v>-116.6</v>
      </c>
      <c r="Y35" s="2"/>
      <c r="Z35" s="7">
        <f t="shared" si="21"/>
        <v>-0.56833690777929424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/>
      <c r="E36" s="2"/>
      <c r="F36" s="7">
        <f t="shared" si="14"/>
        <v>0</v>
      </c>
      <c r="G36" s="2"/>
      <c r="H36" s="6">
        <v>149.86000000000001</v>
      </c>
      <c r="I36" s="2"/>
      <c r="J36" s="7">
        <f t="shared" si="15"/>
        <v>0.3575928223728167</v>
      </c>
      <c r="K36" s="2"/>
      <c r="L36" s="6">
        <f t="shared" si="16"/>
        <v>-149.86000000000001</v>
      </c>
      <c r="M36" s="2"/>
      <c r="N36" s="7">
        <f t="shared" si="17"/>
        <v>-1</v>
      </c>
      <c r="O36" s="11"/>
      <c r="P36" s="6"/>
      <c r="Q36" s="2"/>
      <c r="R36" s="7">
        <f t="shared" si="18"/>
        <v>0</v>
      </c>
      <c r="S36" s="2"/>
      <c r="T36" s="6">
        <v>292.75</v>
      </c>
      <c r="U36" s="2"/>
      <c r="V36" s="7">
        <f t="shared" si="19"/>
        <v>3.6492847277278327E-2</v>
      </c>
      <c r="W36" s="2"/>
      <c r="X36" s="6">
        <f t="shared" si="20"/>
        <v>-292.75</v>
      </c>
      <c r="Y36" s="2"/>
      <c r="Z36" s="7">
        <f t="shared" si="21"/>
        <v>-1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0</v>
      </c>
      <c r="E37" s="1"/>
      <c r="F37" s="5">
        <f t="shared" ref="F37:F40" si="22">IF(D$12=0,0,D37/D$12)</f>
        <v>0</v>
      </c>
      <c r="G37" s="1"/>
      <c r="H37" s="1">
        <f>SUM(OSRRefH22_1x_0)</f>
        <v>1152</v>
      </c>
      <c r="I37" s="1"/>
      <c r="J37" s="5">
        <f t="shared" ref="J37:J40" si="23">IF(H$12=0,0,H37/H$12)</f>
        <v>2.7488784957526011</v>
      </c>
      <c r="K37" s="1"/>
      <c r="L37" s="1">
        <f t="shared" ref="L37:L40" si="24">+D37-H37</f>
        <v>-1152</v>
      </c>
      <c r="M37" s="1"/>
      <c r="N37" s="5">
        <f t="shared" ref="N37:N40" si="25">IF(H37=0,0,L37/H37)</f>
        <v>-1</v>
      </c>
      <c r="O37" s="13"/>
      <c r="P37" s="1">
        <f>SUM(OSRRefP22_1x_0)</f>
        <v>1986.7399999999998</v>
      </c>
      <c r="Q37" s="1"/>
      <c r="R37" s="5">
        <f t="shared" ref="R37:R40" si="26">IF(P$12=0,0,P37/P$12)</f>
        <v>0.2628022058697087</v>
      </c>
      <c r="S37" s="1"/>
      <c r="T37" s="1">
        <f>SUM(OSRRefT22_1x_0)</f>
        <v>7663.46</v>
      </c>
      <c r="U37" s="1"/>
      <c r="V37" s="5">
        <f t="shared" ref="V37:V40" si="27">IF(T$12=0,0,T37/T$12)</f>
        <v>0.95529112005305328</v>
      </c>
      <c r="W37" s="1"/>
      <c r="X37" s="1">
        <f t="shared" ref="X37:X40" si="28">+P37-T37</f>
        <v>-5676.72</v>
      </c>
      <c r="Y37" s="1"/>
      <c r="Z37" s="5">
        <f t="shared" ref="Z37:Z40" si="29">IF(T37=0,0,X37/T37)</f>
        <v>-0.74075156652478125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2"/>
        <v>0</v>
      </c>
      <c r="G38" s="2"/>
      <c r="H38" s="6">
        <v>1152</v>
      </c>
      <c r="I38" s="2"/>
      <c r="J38" s="7">
        <f t="shared" si="23"/>
        <v>2.7488784957526011</v>
      </c>
      <c r="K38" s="2"/>
      <c r="L38" s="6">
        <f t="shared" si="24"/>
        <v>-1152</v>
      </c>
      <c r="M38" s="2"/>
      <c r="N38" s="7">
        <f t="shared" si="25"/>
        <v>-1</v>
      </c>
      <c r="O38" s="11"/>
      <c r="P38" s="6">
        <v>1872</v>
      </c>
      <c r="Q38" s="2"/>
      <c r="R38" s="7">
        <f t="shared" si="26"/>
        <v>0.24762461589744744</v>
      </c>
      <c r="S38" s="2"/>
      <c r="T38" s="6">
        <v>7563.58</v>
      </c>
      <c r="U38" s="2"/>
      <c r="V38" s="7">
        <f t="shared" si="27"/>
        <v>0.9428405458906125</v>
      </c>
      <c r="W38" s="2"/>
      <c r="X38" s="6">
        <f t="shared" si="28"/>
        <v>-5691.58</v>
      </c>
      <c r="Y38" s="2"/>
      <c r="Z38" s="7">
        <f t="shared" si="29"/>
        <v>-0.75249815563529443</v>
      </c>
    </row>
    <row r="39" spans="1:26" s="24" customFormat="1" hidden="1" outlineLevel="2" x14ac:dyDescent="0.25">
      <c r="A39" s="25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>
        <v>57.37</v>
      </c>
      <c r="Q39" s="2"/>
      <c r="R39" s="7">
        <f t="shared" si="26"/>
        <v>7.5887949861306401E-3</v>
      </c>
      <c r="S39" s="2"/>
      <c r="T39" s="6"/>
      <c r="U39" s="2"/>
      <c r="V39" s="7">
        <f t="shared" si="27"/>
        <v>0</v>
      </c>
      <c r="W39" s="2"/>
      <c r="X39" s="6">
        <f t="shared" si="28"/>
        <v>57.37</v>
      </c>
      <c r="Y39" s="2"/>
      <c r="Z39" s="7">
        <f t="shared" si="29"/>
        <v>0</v>
      </c>
    </row>
    <row r="40" spans="1:26" s="24" customFormat="1" hidden="1" outlineLevel="2" x14ac:dyDescent="0.25">
      <c r="A40" s="25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2"/>
        <v>0</v>
      </c>
      <c r="G40" s="2"/>
      <c r="H40" s="6"/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>
        <v>57.37</v>
      </c>
      <c r="Q40" s="2"/>
      <c r="R40" s="7">
        <f t="shared" si="26"/>
        <v>7.5887949861306401E-3</v>
      </c>
      <c r="S40" s="2"/>
      <c r="T40" s="6">
        <v>99.88</v>
      </c>
      <c r="U40" s="2"/>
      <c r="V40" s="7">
        <f t="shared" si="27"/>
        <v>1.2450574162440851E-2</v>
      </c>
      <c r="W40" s="2"/>
      <c r="X40" s="6">
        <f t="shared" si="28"/>
        <v>-42.51</v>
      </c>
      <c r="Y40" s="2"/>
      <c r="Z40" s="7">
        <f t="shared" si="29"/>
        <v>-0.42561073287945533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7" si="30">IF(D$12=0,0,D41/D$12)</f>
        <v>0</v>
      </c>
      <c r="G41" s="1"/>
      <c r="H41" s="1">
        <f>SUM(OSRRefH22_2x_0)</f>
        <v>193.5</v>
      </c>
      <c r="I41" s="1"/>
      <c r="J41" s="5">
        <f t="shared" ref="J41:J47" si="31">IF(H$12=0,0,H41/H$12)</f>
        <v>0.46172568483344473</v>
      </c>
      <c r="K41" s="1"/>
      <c r="L41" s="1">
        <f t="shared" ref="L41:L47" si="32">+D41-H41</f>
        <v>-193.5</v>
      </c>
      <c r="M41" s="1"/>
      <c r="N41" s="5">
        <f t="shared" ref="N41:N47" si="33">IF(H41=0,0,L41/H41)</f>
        <v>-1</v>
      </c>
      <c r="O41" s="13"/>
      <c r="P41" s="1">
        <f>SUM(OSRRefP22_2x_0)</f>
        <v>-857.46</v>
      </c>
      <c r="Q41" s="1"/>
      <c r="R41" s="5">
        <f t="shared" ref="R41:R47" si="34">IF(P$12=0,0,P41/P$12)</f>
        <v>-0.11342318544200068</v>
      </c>
      <c r="S41" s="1"/>
      <c r="T41" s="1">
        <f>SUM(OSRRefT22_2x_0)</f>
        <v>211.5</v>
      </c>
      <c r="U41" s="1"/>
      <c r="V41" s="5">
        <f t="shared" ref="V41:V47" si="35">IF(T$12=0,0,T41/T$12)</f>
        <v>2.6364601875813378E-2</v>
      </c>
      <c r="W41" s="1"/>
      <c r="X41" s="1">
        <f t="shared" ref="X41:X47" si="36">+P41-T41</f>
        <v>-1068.96</v>
      </c>
      <c r="Y41" s="1"/>
      <c r="Z41" s="5">
        <f t="shared" ref="Z41:Z47" si="37">IF(T41=0,0,X41/T41)</f>
        <v>-5.0541843971631204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30"/>
        <v>0</v>
      </c>
      <c r="G42" s="2"/>
      <c r="H42" s="6">
        <v>193.5</v>
      </c>
      <c r="I42" s="2"/>
      <c r="J42" s="7">
        <f t="shared" si="31"/>
        <v>0.46172568483344473</v>
      </c>
      <c r="K42" s="2"/>
      <c r="L42" s="6">
        <f t="shared" si="32"/>
        <v>-193.5</v>
      </c>
      <c r="M42" s="2"/>
      <c r="N42" s="7">
        <f t="shared" si="33"/>
        <v>-1</v>
      </c>
      <c r="O42" s="11"/>
      <c r="P42" s="6">
        <v>-857.46</v>
      </c>
      <c r="Q42" s="2"/>
      <c r="R42" s="7">
        <f t="shared" si="34"/>
        <v>-0.11342318544200068</v>
      </c>
      <c r="S42" s="2"/>
      <c r="T42" s="6">
        <v>211.5</v>
      </c>
      <c r="U42" s="2"/>
      <c r="V42" s="7">
        <f t="shared" si="35"/>
        <v>2.6364601875813378E-2</v>
      </c>
      <c r="W42" s="2"/>
      <c r="X42" s="6">
        <f t="shared" si="36"/>
        <v>-1068.96</v>
      </c>
      <c r="Y42" s="2"/>
      <c r="Z42" s="7">
        <f t="shared" si="37"/>
        <v>-5.0541843971631204</v>
      </c>
    </row>
    <row r="43" spans="1:26" s="26" customFormat="1" outlineLevel="1" collapsed="1" x14ac:dyDescent="0.25">
      <c r="A43" s="27"/>
      <c r="B43" s="13" t="str">
        <f>CONCATENATE("     ","Discounts and Markdowns                           ")</f>
        <v xml:space="preserve">     Discounts and Markdowns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30</v>
      </c>
      <c r="I43" s="1"/>
      <c r="J43" s="5">
        <f t="shared" si="31"/>
        <v>7.1585377493557326E-2</v>
      </c>
      <c r="K43" s="1"/>
      <c r="L43" s="1">
        <f t="shared" si="32"/>
        <v>-30</v>
      </c>
      <c r="M43" s="1"/>
      <c r="N43" s="5">
        <f t="shared" si="33"/>
        <v>-1</v>
      </c>
      <c r="O43" s="13"/>
      <c r="P43" s="1">
        <f>SUM(OSRRefP22_3x_0)</f>
        <v>287.29000000000002</v>
      </c>
      <c r="Q43" s="1"/>
      <c r="R43" s="5">
        <f t="shared" si="34"/>
        <v>3.8002177297637649E-2</v>
      </c>
      <c r="S43" s="1"/>
      <c r="T43" s="1">
        <f>SUM(OSRRefT22_3x_0)</f>
        <v>539.1</v>
      </c>
      <c r="U43" s="1"/>
      <c r="V43" s="5">
        <f t="shared" si="35"/>
        <v>6.720168733452006E-2</v>
      </c>
      <c r="W43" s="1"/>
      <c r="X43" s="1">
        <f t="shared" si="36"/>
        <v>-251.81</v>
      </c>
      <c r="Y43" s="1"/>
      <c r="Z43" s="5">
        <f t="shared" si="37"/>
        <v>-0.46709330365423851</v>
      </c>
    </row>
    <row r="44" spans="1:26" s="24" customFormat="1" hidden="1" outlineLevel="2" x14ac:dyDescent="0.25">
      <c r="A44" s="25"/>
      <c r="B44" s="11" t="str">
        <f>CONCATENATE("          ", "6382", " - ", "DISCOUNTS/MARK DOWNS")</f>
        <v xml:space="preserve">          6382 - DISCOUNTS/MARK DOWNS</v>
      </c>
      <c r="C44" s="11"/>
      <c r="D44" s="6"/>
      <c r="E44" s="2"/>
      <c r="F44" s="7">
        <f t="shared" si="30"/>
        <v>0</v>
      </c>
      <c r="G44" s="2"/>
      <c r="H44" s="6">
        <v>30</v>
      </c>
      <c r="I44" s="2"/>
      <c r="J44" s="7">
        <f t="shared" si="31"/>
        <v>7.1585377493557326E-2</v>
      </c>
      <c r="K44" s="2"/>
      <c r="L44" s="6">
        <f t="shared" si="32"/>
        <v>-30</v>
      </c>
      <c r="M44" s="2"/>
      <c r="N44" s="7">
        <f t="shared" si="33"/>
        <v>-1</v>
      </c>
      <c r="O44" s="11"/>
      <c r="P44" s="6">
        <v>287.29000000000002</v>
      </c>
      <c r="Q44" s="2"/>
      <c r="R44" s="7">
        <f t="shared" si="34"/>
        <v>3.8002177297637649E-2</v>
      </c>
      <c r="S44" s="2"/>
      <c r="T44" s="6">
        <v>539.1</v>
      </c>
      <c r="U44" s="2"/>
      <c r="V44" s="7">
        <f t="shared" si="35"/>
        <v>6.720168733452006E-2</v>
      </c>
      <c r="W44" s="2"/>
      <c r="X44" s="6">
        <f t="shared" si="36"/>
        <v>-251.81</v>
      </c>
      <c r="Y44" s="2"/>
      <c r="Z44" s="7">
        <f t="shared" si="37"/>
        <v>-0.46709330365423851</v>
      </c>
    </row>
    <row r="45" spans="1:26" s="26" customFormat="1" outlineLevel="1" collapsed="1" x14ac:dyDescent="0.25">
      <c r="A45" s="27"/>
      <c r="B45" s="13" t="str">
        <f>CONCATENATE("     ","Freight out/Postage                               ")</f>
        <v xml:space="preserve">     Freight out/Postage                               </v>
      </c>
      <c r="C45" s="13"/>
      <c r="D45" s="1">
        <f>SUM(OSRRefD22_4x_0)</f>
        <v>-13804.1</v>
      </c>
      <c r="E45" s="1"/>
      <c r="F45" s="5">
        <f t="shared" si="30"/>
        <v>-1261.8007312614261</v>
      </c>
      <c r="G45" s="1"/>
      <c r="H45" s="1">
        <f>SUM(OSRRefH22_4x_0)</f>
        <v>-10172.48</v>
      </c>
      <c r="I45" s="1"/>
      <c r="J45" s="5">
        <f t="shared" si="31"/>
        <v>-24.273360694855398</v>
      </c>
      <c r="K45" s="1"/>
      <c r="L45" s="1">
        <f t="shared" si="32"/>
        <v>-3631.6200000000008</v>
      </c>
      <c r="M45" s="1"/>
      <c r="N45" s="5">
        <f t="shared" si="33"/>
        <v>0.35700438831042192</v>
      </c>
      <c r="O45" s="13"/>
      <c r="P45" s="1">
        <f>SUM(OSRRefP22_4x_0)</f>
        <v>-19697.549999999996</v>
      </c>
      <c r="Q45" s="1"/>
      <c r="R45" s="5">
        <f t="shared" si="34"/>
        <v>-2.6055546222600237</v>
      </c>
      <c r="S45" s="1"/>
      <c r="T45" s="1">
        <f>SUM(OSRRefT22_4x_0)</f>
        <v>-12976.920000000002</v>
      </c>
      <c r="U45" s="1"/>
      <c r="V45" s="5">
        <f t="shared" si="35"/>
        <v>-1.6176422192637361</v>
      </c>
      <c r="W45" s="1"/>
      <c r="X45" s="1">
        <f t="shared" si="36"/>
        <v>-6720.6299999999937</v>
      </c>
      <c r="Y45" s="1"/>
      <c r="Z45" s="5">
        <f t="shared" si="37"/>
        <v>0.51789099416502471</v>
      </c>
    </row>
    <row r="46" spans="1:26" s="24" customFormat="1" hidden="1" outlineLevel="2" x14ac:dyDescent="0.25">
      <c r="A46" s="25"/>
      <c r="B46" s="11" t="str">
        <f>CONCATENATE("          ", "6305", " - ", "FREIGHT OUT")</f>
        <v xml:space="preserve">          6305 - FREIGHT OUT</v>
      </c>
      <c r="C46" s="11"/>
      <c r="D46" s="6">
        <v>2286.77</v>
      </c>
      <c r="E46" s="2"/>
      <c r="F46" s="7">
        <f t="shared" si="30"/>
        <v>209.02833638025595</v>
      </c>
      <c r="G46" s="2"/>
      <c r="H46" s="6">
        <v>5731</v>
      </c>
      <c r="I46" s="2"/>
      <c r="J46" s="7">
        <f t="shared" si="31"/>
        <v>13.675193280519233</v>
      </c>
      <c r="K46" s="2"/>
      <c r="L46" s="6">
        <f t="shared" si="32"/>
        <v>-3444.23</v>
      </c>
      <c r="M46" s="2"/>
      <c r="N46" s="7">
        <f t="shared" si="33"/>
        <v>-0.60098237654859532</v>
      </c>
      <c r="O46" s="11"/>
      <c r="P46" s="6">
        <v>24962.550000000003</v>
      </c>
      <c r="Q46" s="2"/>
      <c r="R46" s="7">
        <f t="shared" si="34"/>
        <v>3.3019988544715955</v>
      </c>
      <c r="S46" s="2"/>
      <c r="T46" s="6">
        <v>27899.01</v>
      </c>
      <c r="U46" s="2"/>
      <c r="V46" s="7">
        <f t="shared" si="35"/>
        <v>3.4777602429283032</v>
      </c>
      <c r="W46" s="2"/>
      <c r="X46" s="6">
        <f t="shared" si="36"/>
        <v>-2936.4599999999955</v>
      </c>
      <c r="Y46" s="2"/>
      <c r="Z46" s="7">
        <f t="shared" si="37"/>
        <v>-0.10525319715645809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6">
        <v>-16090.87</v>
      </c>
      <c r="E47" s="2"/>
      <c r="F47" s="7">
        <f t="shared" si="30"/>
        <v>-1470.8290676416821</v>
      </c>
      <c r="G47" s="2"/>
      <c r="H47" s="6">
        <v>-15903.48</v>
      </c>
      <c r="I47" s="2"/>
      <c r="J47" s="7">
        <f t="shared" si="31"/>
        <v>-37.948553975374629</v>
      </c>
      <c r="K47" s="2"/>
      <c r="L47" s="6">
        <f t="shared" si="32"/>
        <v>-187.39000000000124</v>
      </c>
      <c r="M47" s="2"/>
      <c r="N47" s="7">
        <f t="shared" si="33"/>
        <v>1.1782955680140525E-2</v>
      </c>
      <c r="O47" s="11"/>
      <c r="P47" s="6">
        <v>-44660.1</v>
      </c>
      <c r="Q47" s="2"/>
      <c r="R47" s="7">
        <f t="shared" si="34"/>
        <v>-5.9075534767316196</v>
      </c>
      <c r="S47" s="2"/>
      <c r="T47" s="6">
        <v>-40875.93</v>
      </c>
      <c r="U47" s="2"/>
      <c r="V47" s="7">
        <f t="shared" si="35"/>
        <v>-5.0954024621920393</v>
      </c>
      <c r="W47" s="2"/>
      <c r="X47" s="6">
        <f t="shared" si="36"/>
        <v>-3784.1699999999983</v>
      </c>
      <c r="Y47" s="2"/>
      <c r="Z47" s="7">
        <f t="shared" si="37"/>
        <v>9.2576976230265548E-2</v>
      </c>
    </row>
    <row r="48" spans="1:26" s="26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SUM(OSRRefD22_5x_0)</f>
        <v>0</v>
      </c>
      <c r="E48" s="1"/>
      <c r="F48" s="5">
        <f t="shared" ref="F48:F54" si="38">IF(D$12=0,0,D48/D$12)</f>
        <v>0</v>
      </c>
      <c r="G48" s="1"/>
      <c r="H48" s="1">
        <f>SUM(OSRRefH22_5x_0)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3"/>
      <c r="P48" s="1">
        <f>SUM(OSRRefP22_5x_0)</f>
        <v>80.17</v>
      </c>
      <c r="Q48" s="1"/>
      <c r="R48" s="5">
        <f t="shared" ref="R48:R54" si="42">IF(P$12=0,0,P48/P$12)</f>
        <v>1.0604735820779039E-2</v>
      </c>
      <c r="S48" s="1"/>
      <c r="T48" s="1">
        <f>SUM(OSRRefT22_5x_0)</f>
        <v>83.47</v>
      </c>
      <c r="U48" s="1"/>
      <c r="V48" s="5">
        <f t="shared" ref="V48:V54" si="43">IF(T$12=0,0,T48/T$12)</f>
        <v>1.0404980229664976E-2</v>
      </c>
      <c r="W48" s="1"/>
      <c r="X48" s="1">
        <f t="shared" ref="X48:X54" si="44">+P48-T48</f>
        <v>-3.2999999999999972</v>
      </c>
      <c r="Y48" s="1"/>
      <c r="Z48" s="5">
        <f t="shared" ref="Z48:Z54" si="45">IF(T48=0,0,X48/T48)</f>
        <v>-3.9535162333772578E-2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>
        <v>80.17</v>
      </c>
      <c r="Q49" s="2"/>
      <c r="R49" s="7">
        <f t="shared" si="42"/>
        <v>1.0604735820779039E-2</v>
      </c>
      <c r="S49" s="2"/>
      <c r="T49" s="6">
        <v>83.47</v>
      </c>
      <c r="U49" s="2"/>
      <c r="V49" s="7">
        <f t="shared" si="43"/>
        <v>1.0404980229664976E-2</v>
      </c>
      <c r="W49" s="2"/>
      <c r="X49" s="6">
        <f t="shared" si="44"/>
        <v>-3.2999999999999972</v>
      </c>
      <c r="Y49" s="2"/>
      <c r="Z49" s="7">
        <f t="shared" si="45"/>
        <v>-3.9535162333772578E-2</v>
      </c>
    </row>
    <row r="50" spans="1:26" s="26" customFormat="1" outlineLevel="1" collapsed="1" x14ac:dyDescent="0.25">
      <c r="A50" s="27"/>
      <c r="B50" s="13" t="str">
        <f>CONCATENATE("     ","Inventory Adjustment                              ")</f>
        <v xml:space="preserve">     Inventory Adjustment                              </v>
      </c>
      <c r="C50" s="13"/>
      <c r="D50" s="1">
        <f>SUM(OSRRefD22_6x_0)</f>
        <v>100</v>
      </c>
      <c r="E50" s="1"/>
      <c r="F50" s="5">
        <f t="shared" si="38"/>
        <v>9.1407678244972583</v>
      </c>
      <c r="G50" s="1"/>
      <c r="H50" s="1">
        <f>SUM(OSRRefH22_6x_0)</f>
        <v>100</v>
      </c>
      <c r="I50" s="1"/>
      <c r="J50" s="5">
        <f t="shared" si="39"/>
        <v>0.23861792497852441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SUM(OSRRefP22_6x_0)</f>
        <v>600</v>
      </c>
      <c r="Q50" s="1"/>
      <c r="R50" s="5">
        <f t="shared" si="42"/>
        <v>7.936686406969469E-2</v>
      </c>
      <c r="S50" s="1"/>
      <c r="T50" s="1">
        <f>SUM(OSRRefT22_6x_0)</f>
        <v>700</v>
      </c>
      <c r="U50" s="1"/>
      <c r="V50" s="5">
        <f t="shared" si="43"/>
        <v>8.72587296126211E-2</v>
      </c>
      <c r="W50" s="1"/>
      <c r="X50" s="1">
        <f t="shared" si="44"/>
        <v>-100</v>
      </c>
      <c r="Y50" s="1"/>
      <c r="Z50" s="5">
        <f t="shared" si="45"/>
        <v>-0.14285714285714285</v>
      </c>
    </row>
    <row r="51" spans="1:26" s="24" customFormat="1" hidden="1" outlineLevel="2" x14ac:dyDescent="0.25">
      <c r="A51" s="25"/>
      <c r="B51" s="11" t="str">
        <f>CONCATENATE("          ", "6408", " - ", "INVENTORY ADJUSTMENT")</f>
        <v xml:space="preserve">          6408 - INVENTORY ADJUSTMENT</v>
      </c>
      <c r="C51" s="11"/>
      <c r="D51" s="6">
        <v>100</v>
      </c>
      <c r="E51" s="2"/>
      <c r="F51" s="7">
        <f t="shared" si="38"/>
        <v>9.1407678244972583</v>
      </c>
      <c r="G51" s="2"/>
      <c r="H51" s="6">
        <v>100</v>
      </c>
      <c r="I51" s="2"/>
      <c r="J51" s="7">
        <f t="shared" si="39"/>
        <v>0.23861792497852441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>
        <v>600</v>
      </c>
      <c r="Q51" s="2"/>
      <c r="R51" s="7">
        <f t="shared" si="42"/>
        <v>7.936686406969469E-2</v>
      </c>
      <c r="S51" s="2"/>
      <c r="T51" s="6">
        <v>700</v>
      </c>
      <c r="U51" s="2"/>
      <c r="V51" s="7">
        <f t="shared" si="43"/>
        <v>8.72587296126211E-2</v>
      </c>
      <c r="W51" s="2"/>
      <c r="X51" s="6">
        <f t="shared" si="44"/>
        <v>-100</v>
      </c>
      <c r="Y51" s="2"/>
      <c r="Z51" s="7">
        <f t="shared" si="45"/>
        <v>-0.14285714285714285</v>
      </c>
    </row>
    <row r="52" spans="1:26" s="26" customFormat="1" outlineLevel="1" collapsed="1" x14ac:dyDescent="0.25">
      <c r="A52" s="27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SUM(OSRRefD22_7x_0)</f>
        <v>0</v>
      </c>
      <c r="E52" s="1"/>
      <c r="F52" s="5">
        <f t="shared" si="38"/>
        <v>0</v>
      </c>
      <c r="G52" s="1"/>
      <c r="H52" s="1">
        <f>SUM(OSRRefH22_7x_0)</f>
        <v>1280.3</v>
      </c>
      <c r="I52" s="1"/>
      <c r="J52" s="5">
        <f t="shared" si="39"/>
        <v>3.0550252935000479</v>
      </c>
      <c r="K52" s="1"/>
      <c r="L52" s="1">
        <f t="shared" si="40"/>
        <v>-1280.3</v>
      </c>
      <c r="M52" s="1"/>
      <c r="N52" s="5">
        <f t="shared" si="41"/>
        <v>-1</v>
      </c>
      <c r="O52" s="13"/>
      <c r="P52" s="1">
        <f>SUM(OSRRefP22_7x_0)</f>
        <v>5180.68</v>
      </c>
      <c r="Q52" s="1"/>
      <c r="R52" s="5">
        <f t="shared" si="42"/>
        <v>0.68529054224764319</v>
      </c>
      <c r="S52" s="1"/>
      <c r="T52" s="1">
        <f>SUM(OSRRefT22_7x_0)</f>
        <v>8605.66</v>
      </c>
      <c r="U52" s="1"/>
      <c r="V52" s="5">
        <f t="shared" si="43"/>
        <v>1.0727413701116413</v>
      </c>
      <c r="W52" s="1"/>
      <c r="X52" s="1">
        <f t="shared" si="44"/>
        <v>-3424.9799999999996</v>
      </c>
      <c r="Y52" s="1"/>
      <c r="Z52" s="5">
        <f t="shared" si="45"/>
        <v>-0.39799155439559541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126.27</v>
      </c>
      <c r="Q53" s="2"/>
      <c r="R53" s="7">
        <f t="shared" si="42"/>
        <v>1.6702756543467246E-2</v>
      </c>
      <c r="S53" s="2"/>
      <c r="T53" s="6">
        <v>1.59</v>
      </c>
      <c r="U53" s="2"/>
      <c r="V53" s="7">
        <f t="shared" si="43"/>
        <v>1.9820197154866794E-4</v>
      </c>
      <c r="W53" s="2"/>
      <c r="X53" s="6">
        <f t="shared" si="44"/>
        <v>124.67999999999999</v>
      </c>
      <c r="Y53" s="2"/>
      <c r="Z53" s="7">
        <f t="shared" si="45"/>
        <v>78.415094339622627</v>
      </c>
    </row>
    <row r="54" spans="1:26" s="24" customFormat="1" hidden="1" outlineLevel="2" x14ac:dyDescent="0.25">
      <c r="A54" s="25"/>
      <c r="B54" s="11" t="str">
        <f>CONCATENATE("          ", "6247", " - ", "STORE SUPPLIES")</f>
        <v xml:space="preserve">          6247 - STORE SUPPLIES</v>
      </c>
      <c r="C54" s="11"/>
      <c r="D54" s="6"/>
      <c r="E54" s="2"/>
      <c r="F54" s="7">
        <f t="shared" si="38"/>
        <v>0</v>
      </c>
      <c r="G54" s="2"/>
      <c r="H54" s="6">
        <v>1280.3</v>
      </c>
      <c r="I54" s="2"/>
      <c r="J54" s="7">
        <f t="shared" si="39"/>
        <v>3.0550252935000479</v>
      </c>
      <c r="K54" s="2"/>
      <c r="L54" s="6">
        <f t="shared" si="40"/>
        <v>-1280.3</v>
      </c>
      <c r="M54" s="2"/>
      <c r="N54" s="7">
        <f t="shared" si="41"/>
        <v>-1</v>
      </c>
      <c r="O54" s="11"/>
      <c r="P54" s="6">
        <v>5054.41</v>
      </c>
      <c r="Q54" s="2"/>
      <c r="R54" s="7">
        <f t="shared" si="42"/>
        <v>0.66858778570417587</v>
      </c>
      <c r="S54" s="2"/>
      <c r="T54" s="6">
        <v>8604.07</v>
      </c>
      <c r="U54" s="2"/>
      <c r="V54" s="7">
        <f t="shared" si="43"/>
        <v>1.0725431681400925</v>
      </c>
      <c r="W54" s="2"/>
      <c r="X54" s="6">
        <f t="shared" si="44"/>
        <v>-3549.66</v>
      </c>
      <c r="Y54" s="2"/>
      <c r="Z54" s="7">
        <f t="shared" si="45"/>
        <v>-0.41255591830377947</v>
      </c>
    </row>
    <row r="55" spans="1:26" s="26" customFormat="1" outlineLevel="1" collapsed="1" x14ac:dyDescent="0.25">
      <c r="A55" s="27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SUM(OSRRefD22_8x_0)</f>
        <v>39.25</v>
      </c>
      <c r="E55" s="1"/>
      <c r="F55" s="5">
        <f t="shared" ref="F55:F56" si="46">IF(D$12=0,0,D55/D$12)</f>
        <v>3.5877513711151741</v>
      </c>
      <c r="G55" s="1"/>
      <c r="H55" s="1">
        <f>SUM(OSRRefH22_8x_0)</f>
        <v>156.4</v>
      </c>
      <c r="I55" s="1"/>
      <c r="J55" s="5">
        <f t="shared" ref="J55:J56" si="47">IF(H$12=0,0,H55/H$12)</f>
        <v>0.37319843466641217</v>
      </c>
      <c r="K55" s="1"/>
      <c r="L55" s="1">
        <f t="shared" ref="L55:L56" si="48">+D55-H55</f>
        <v>-117.15</v>
      </c>
      <c r="M55" s="1"/>
      <c r="N55" s="5">
        <f t="shared" ref="N55:N56" si="49">IF(H55=0,0,L55/H55)</f>
        <v>-0.7490409207161125</v>
      </c>
      <c r="O55" s="13"/>
      <c r="P55" s="1">
        <f>SUM(OSRRefP22_8x_0)</f>
        <v>450.15</v>
      </c>
      <c r="Q55" s="1"/>
      <c r="R55" s="5">
        <f t="shared" ref="R55:R56" si="50">IF(P$12=0,0,P55/P$12)</f>
        <v>5.9544989768288439E-2</v>
      </c>
      <c r="S55" s="1"/>
      <c r="T55" s="1">
        <f>SUM(OSRRefT22_8x_0)</f>
        <v>1170.5999999999999</v>
      </c>
      <c r="U55" s="1"/>
      <c r="V55" s="5">
        <f t="shared" ref="V55:V56" si="51">IF(T$12=0,0,T55/T$12)</f>
        <v>0.14592152697790609</v>
      </c>
      <c r="W55" s="1"/>
      <c r="X55" s="1">
        <f t="shared" ref="X55:X56" si="52">+P55-T55</f>
        <v>-720.44999999999993</v>
      </c>
      <c r="Y55" s="1"/>
      <c r="Z55" s="5">
        <f t="shared" ref="Z55:Z56" si="53">IF(T55=0,0,X55/T55)</f>
        <v>-0.61545361353152228</v>
      </c>
    </row>
    <row r="56" spans="1:26" s="24" customFormat="1" hidden="1" outlineLevel="2" x14ac:dyDescent="0.25">
      <c r="A56" s="25"/>
      <c r="B56" s="11" t="str">
        <f>CONCATENATE("          ", "6309", " - ", "TELEPHONE")</f>
        <v xml:space="preserve">          6309 - TELEPHONE</v>
      </c>
      <c r="C56" s="11"/>
      <c r="D56" s="6">
        <v>39.25</v>
      </c>
      <c r="E56" s="2"/>
      <c r="F56" s="7">
        <f t="shared" si="46"/>
        <v>3.5877513711151741</v>
      </c>
      <c r="G56" s="2"/>
      <c r="H56" s="6">
        <v>156.4</v>
      </c>
      <c r="I56" s="2"/>
      <c r="J56" s="7">
        <f t="shared" si="47"/>
        <v>0.37319843466641217</v>
      </c>
      <c r="K56" s="2"/>
      <c r="L56" s="6">
        <f t="shared" si="48"/>
        <v>-117.15</v>
      </c>
      <c r="M56" s="2"/>
      <c r="N56" s="7">
        <f t="shared" si="49"/>
        <v>-0.7490409207161125</v>
      </c>
      <c r="O56" s="11"/>
      <c r="P56" s="6">
        <v>450.15</v>
      </c>
      <c r="Q56" s="2"/>
      <c r="R56" s="7">
        <f t="shared" si="50"/>
        <v>5.9544989768288439E-2</v>
      </c>
      <c r="S56" s="2"/>
      <c r="T56" s="6">
        <v>1170.5999999999999</v>
      </c>
      <c r="U56" s="2"/>
      <c r="V56" s="7">
        <f t="shared" si="51"/>
        <v>0.14592152697790609</v>
      </c>
      <c r="W56" s="2"/>
      <c r="X56" s="6">
        <f t="shared" si="52"/>
        <v>-720.44999999999993</v>
      </c>
      <c r="Y56" s="2"/>
      <c r="Z56" s="7">
        <f t="shared" si="53"/>
        <v>-0.61545361353152228</v>
      </c>
    </row>
    <row r="57" spans="1:26" s="59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9" t="s">
        <v>0</v>
      </c>
      <c r="C58" s="10"/>
      <c r="D58" s="4">
        <f>SUM(OSRRefD25x_0)</f>
        <v>3557.1</v>
      </c>
      <c r="E58" s="4"/>
      <c r="F58" s="12">
        <f t="shared" ref="F58:F63" si="54">IF(D$12=0,0,D58/D$12)</f>
        <v>325.14625228519196</v>
      </c>
      <c r="G58" s="4"/>
      <c r="H58" s="4">
        <f>SUM(OSRRefH25x_0)</f>
        <v>670</v>
      </c>
      <c r="I58" s="4"/>
      <c r="J58" s="12">
        <f t="shared" ref="J58:J63" si="55">IF(H$12=0,0,H58/H$12)</f>
        <v>1.5987400973561134</v>
      </c>
      <c r="K58" s="4"/>
      <c r="L58" s="4">
        <f t="shared" ref="L58:L63" si="56">+D58-H58</f>
        <v>2887.1</v>
      </c>
      <c r="M58" s="4"/>
      <c r="N58" s="12">
        <f t="shared" ref="N58:N63" si="57">IF(H58=0,0,L58/H58)</f>
        <v>4.3091044776119398</v>
      </c>
      <c r="O58" s="10"/>
      <c r="P58" s="4">
        <f>SUM(OSRRefP25x_0)</f>
        <v>89290.5</v>
      </c>
      <c r="Q58" s="4"/>
      <c r="R58" s="12">
        <f t="shared" ref="R58:R63" si="58">IF(P$12=0,0,P58/P$12)</f>
        <v>11.811178293691789</v>
      </c>
      <c r="S58" s="4"/>
      <c r="T58" s="4">
        <f>SUM(OSRRefT25x_0)</f>
        <v>3939.5</v>
      </c>
      <c r="U58" s="4"/>
      <c r="V58" s="12">
        <f t="shared" ref="V58:V63" si="59">IF(T$12=0,0,T58/T$12)</f>
        <v>0.4910796647270298</v>
      </c>
      <c r="W58" s="4"/>
      <c r="X58" s="4">
        <f t="shared" ref="X58:X63" si="60">+P58-T58</f>
        <v>85351</v>
      </c>
      <c r="Y58" s="4"/>
      <c r="Z58" s="12">
        <f t="shared" ref="Z58:Z63" si="61">IF(T58=0,0,X58/T58)</f>
        <v>21.665439776621398</v>
      </c>
    </row>
    <row r="59" spans="1:26" s="24" customFormat="1" hidden="1" outlineLevel="1" x14ac:dyDescent="0.25">
      <c r="A59" s="44"/>
      <c r="B59" s="11" t="str">
        <f>CONCATENATE("          ", "4098", " - ", "TAXABLE SALES-GRAD RENTALS")</f>
        <v xml:space="preserve">          4098 - TAXABLE SALES-GRAD RENTALS</v>
      </c>
      <c r="C59" s="11"/>
      <c r="D59" s="2">
        <f>--320</f>
        <v>320</v>
      </c>
      <c r="E59" s="2"/>
      <c r="F59" s="19">
        <f t="shared" si="54"/>
        <v>29.250457038391225</v>
      </c>
      <c r="G59" s="2"/>
      <c r="H59" s="2">
        <f>0</f>
        <v>0</v>
      </c>
      <c r="I59" s="2"/>
      <c r="J59" s="19">
        <f t="shared" si="55"/>
        <v>0</v>
      </c>
      <c r="K59" s="2"/>
      <c r="L59" s="2">
        <f t="shared" si="56"/>
        <v>320</v>
      </c>
      <c r="M59" s="2"/>
      <c r="N59" s="19">
        <f t="shared" si="57"/>
        <v>0</v>
      </c>
      <c r="O59" s="11"/>
      <c r="P59" s="2">
        <f>--1946.85</f>
        <v>1946.85</v>
      </c>
      <c r="Q59" s="2"/>
      <c r="R59" s="19">
        <f t="shared" si="58"/>
        <v>0.25752563219014185</v>
      </c>
      <c r="S59" s="2"/>
      <c r="T59" s="2">
        <f>--2269.5</f>
        <v>2269.5</v>
      </c>
      <c r="U59" s="2"/>
      <c r="V59" s="19">
        <f t="shared" si="59"/>
        <v>0.28290526693691942</v>
      </c>
      <c r="W59" s="2"/>
      <c r="X59" s="2">
        <f t="shared" si="60"/>
        <v>-322.65000000000009</v>
      </c>
      <c r="Y59" s="2"/>
      <c r="Z59" s="19">
        <f t="shared" si="61"/>
        <v>-0.14216787838731001</v>
      </c>
    </row>
    <row r="60" spans="1:26" s="24" customFormat="1" hidden="1" outlineLevel="1" x14ac:dyDescent="0.25">
      <c r="A60" s="44"/>
      <c r="B60" s="11" t="str">
        <f>CONCATENATE("          ", "4197", " - ", "NON-TAXABLE SALES-RETURNED CHE")</f>
        <v xml:space="preserve">          4197 - NON-TAXABLE SALES-RETURNED CHE</v>
      </c>
      <c r="C60" s="11"/>
      <c r="D60" s="2">
        <f>0</f>
        <v>0</v>
      </c>
      <c r="E60" s="2"/>
      <c r="F60" s="19">
        <f t="shared" si="54"/>
        <v>0</v>
      </c>
      <c r="G60" s="2"/>
      <c r="H60" s="2">
        <f>--75</f>
        <v>75</v>
      </c>
      <c r="I60" s="2"/>
      <c r="J60" s="19">
        <f t="shared" si="55"/>
        <v>0.17896344373389331</v>
      </c>
      <c r="K60" s="2"/>
      <c r="L60" s="2">
        <f t="shared" si="56"/>
        <v>-75</v>
      </c>
      <c r="M60" s="2"/>
      <c r="N60" s="19">
        <f t="shared" si="57"/>
        <v>-1</v>
      </c>
      <c r="O60" s="11"/>
      <c r="P60" s="2">
        <f>--30</f>
        <v>30</v>
      </c>
      <c r="Q60" s="2"/>
      <c r="R60" s="19">
        <f t="shared" si="58"/>
        <v>3.9683432034847343E-3</v>
      </c>
      <c r="S60" s="2"/>
      <c r="T60" s="2">
        <f>--335</f>
        <v>335</v>
      </c>
      <c r="U60" s="2"/>
      <c r="V60" s="19">
        <f t="shared" si="59"/>
        <v>4.1759534886040096E-2</v>
      </c>
      <c r="W60" s="2"/>
      <c r="X60" s="2">
        <f t="shared" si="60"/>
        <v>-305</v>
      </c>
      <c r="Y60" s="2"/>
      <c r="Z60" s="19">
        <f t="shared" si="61"/>
        <v>-0.91044776119402981</v>
      </c>
    </row>
    <row r="61" spans="1:26" s="24" customFormat="1" hidden="1" outlineLevel="1" x14ac:dyDescent="0.25">
      <c r="A61" s="44"/>
      <c r="B61" s="11" t="str">
        <f>CONCATENATE("          ", "4198", " - ", "NON-TAXABLE SALES-GRAD RENTALS")</f>
        <v xml:space="preserve">          4198 - NON-TAXABLE SALES-GRAD RENTALS</v>
      </c>
      <c r="C61" s="11"/>
      <c r="D61" s="2">
        <f>--3237.1</f>
        <v>3237.1</v>
      </c>
      <c r="E61" s="2"/>
      <c r="F61" s="19">
        <f t="shared" si="54"/>
        <v>295.89579524680073</v>
      </c>
      <c r="G61" s="2"/>
      <c r="H61" s="2">
        <f>--15</f>
        <v>15</v>
      </c>
      <c r="I61" s="2"/>
      <c r="J61" s="19">
        <f t="shared" si="55"/>
        <v>3.5792688746778663E-2</v>
      </c>
      <c r="K61" s="2"/>
      <c r="L61" s="2">
        <f t="shared" si="56"/>
        <v>3222.1</v>
      </c>
      <c r="M61" s="2"/>
      <c r="N61" s="19">
        <f t="shared" si="57"/>
        <v>214.80666666666667</v>
      </c>
      <c r="O61" s="11"/>
      <c r="P61" s="2">
        <f>--3732.1</f>
        <v>3732.1</v>
      </c>
      <c r="Q61" s="2"/>
      <c r="R61" s="19">
        <f t="shared" si="58"/>
        <v>0.49367512232417926</v>
      </c>
      <c r="S61" s="2"/>
      <c r="T61" s="2">
        <f>--465</f>
        <v>465</v>
      </c>
      <c r="U61" s="2"/>
      <c r="V61" s="19">
        <f t="shared" si="59"/>
        <v>5.7964727528384018E-2</v>
      </c>
      <c r="W61" s="2"/>
      <c r="X61" s="2">
        <f t="shared" si="60"/>
        <v>3267.1</v>
      </c>
      <c r="Y61" s="2"/>
      <c r="Z61" s="19">
        <f t="shared" si="61"/>
        <v>7.0260215053763435</v>
      </c>
    </row>
    <row r="62" spans="1:26" s="24" customFormat="1" hidden="1" outlineLevel="1" x14ac:dyDescent="0.25">
      <c r="A62" s="44"/>
      <c r="B62" s="11" t="str">
        <f>CONCATENATE("          ", "9160", " - ", "MISC. INCOME")</f>
        <v xml:space="preserve">          9160 - MISC. INCOME</v>
      </c>
      <c r="C62" s="11"/>
      <c r="D62" s="2">
        <f t="shared" ref="D62:D63" si="62">0</f>
        <v>0</v>
      </c>
      <c r="E62" s="2"/>
      <c r="F62" s="19">
        <f t="shared" si="54"/>
        <v>0</v>
      </c>
      <c r="G62" s="2"/>
      <c r="H62" s="2">
        <f>--580</f>
        <v>580</v>
      </c>
      <c r="I62" s="2"/>
      <c r="J62" s="19">
        <f t="shared" si="55"/>
        <v>1.3839839648754415</v>
      </c>
      <c r="K62" s="2"/>
      <c r="L62" s="2">
        <f t="shared" si="56"/>
        <v>-580</v>
      </c>
      <c r="M62" s="2"/>
      <c r="N62" s="19">
        <f t="shared" si="57"/>
        <v>-1</v>
      </c>
      <c r="O62" s="11"/>
      <c r="P62" s="2">
        <f>--22475</f>
        <v>22475</v>
      </c>
      <c r="Q62" s="2"/>
      <c r="R62" s="19">
        <f t="shared" si="58"/>
        <v>2.9729504499439803</v>
      </c>
      <c r="S62" s="2"/>
      <c r="T62" s="2">
        <f>--870</f>
        <v>870</v>
      </c>
      <c r="U62" s="2"/>
      <c r="V62" s="19">
        <f t="shared" si="59"/>
        <v>0.10845013537568624</v>
      </c>
      <c r="W62" s="2"/>
      <c r="X62" s="2">
        <f t="shared" si="60"/>
        <v>21605</v>
      </c>
      <c r="Y62" s="2"/>
      <c r="Z62" s="19">
        <f t="shared" si="61"/>
        <v>24.833333333333332</v>
      </c>
    </row>
    <row r="63" spans="1:26" s="24" customFormat="1" hidden="1" outlineLevel="1" x14ac:dyDescent="0.25">
      <c r="A63" s="44"/>
      <c r="B63" s="11" t="str">
        <f>CONCATENATE("          ", "9163", " - ", "MISC. INCOME")</f>
        <v xml:space="preserve">          9163 - MISC. INCOME</v>
      </c>
      <c r="C63" s="11"/>
      <c r="D63" s="2">
        <f t="shared" si="62"/>
        <v>0</v>
      </c>
      <c r="E63" s="2"/>
      <c r="F63" s="19">
        <f t="shared" si="54"/>
        <v>0</v>
      </c>
      <c r="G63" s="2"/>
      <c r="H63" s="2">
        <f>0</f>
        <v>0</v>
      </c>
      <c r="I63" s="2"/>
      <c r="J63" s="19">
        <f t="shared" si="55"/>
        <v>0</v>
      </c>
      <c r="K63" s="2"/>
      <c r="L63" s="2">
        <f t="shared" si="56"/>
        <v>0</v>
      </c>
      <c r="M63" s="2"/>
      <c r="N63" s="19">
        <f t="shared" si="57"/>
        <v>0</v>
      </c>
      <c r="O63" s="11"/>
      <c r="P63" s="2">
        <f>--61106.55</f>
        <v>61106.55</v>
      </c>
      <c r="Q63" s="2"/>
      <c r="R63" s="19">
        <f t="shared" si="58"/>
        <v>8.0830587460300034</v>
      </c>
      <c r="S63" s="2"/>
      <c r="T63" s="2">
        <f>0</f>
        <v>0</v>
      </c>
      <c r="U63" s="2"/>
      <c r="V63" s="19">
        <f t="shared" si="59"/>
        <v>0</v>
      </c>
      <c r="W63" s="2"/>
      <c r="X63" s="2">
        <f t="shared" si="60"/>
        <v>61106.55</v>
      </c>
      <c r="Y63" s="2"/>
      <c r="Z63" s="19">
        <f t="shared" si="61"/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1">
        <f>+D25-D27+D58</f>
        <v>17232.169999999998</v>
      </c>
      <c r="E65" s="14"/>
      <c r="F65" s="22">
        <f>IF(D$12=0,0,D65/D$12)</f>
        <v>1575.1526508226691</v>
      </c>
      <c r="G65" s="14"/>
      <c r="H65" s="21">
        <f>+H25-H27+H58</f>
        <v>7595.9899999999989</v>
      </c>
      <c r="I65" s="14"/>
      <c r="J65" s="22">
        <f>IF(H$12=0,0,H65/H$12)</f>
        <v>18.125393719576213</v>
      </c>
      <c r="K65" s="16"/>
      <c r="L65" s="21">
        <f>+D65-H65</f>
        <v>9636.18</v>
      </c>
      <c r="M65" s="16"/>
      <c r="N65" s="22">
        <f>IF(H65=0,0,L65/H65)</f>
        <v>1.2685877680197053</v>
      </c>
      <c r="O65" s="29"/>
      <c r="P65" s="21">
        <f>+P25-P27+P58</f>
        <v>104195.18</v>
      </c>
      <c r="Q65" s="14"/>
      <c r="R65" s="22">
        <f>IF(P$12=0,0,P65/P$12)</f>
        <v>13.782741146295617</v>
      </c>
      <c r="S65" s="14"/>
      <c r="T65" s="21">
        <f>+T25-T27+T58</f>
        <v>1617.4400000000069</v>
      </c>
      <c r="U65" s="14"/>
      <c r="V65" s="22">
        <f>IF(T$12=0,0,T65/T$12)</f>
        <v>0.20162251374948353</v>
      </c>
      <c r="W65" s="16"/>
      <c r="X65" s="21">
        <f>+P65-T65</f>
        <v>102577.73999999999</v>
      </c>
      <c r="Y65" s="16"/>
      <c r="Z65" s="22">
        <f>IF(T65=0,0,X65/T65)</f>
        <v>63.419811554060466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>
        <v>-26.96</v>
      </c>
      <c r="E67" s="4"/>
      <c r="F67" s="12">
        <f>IF(D$12=0,0,D67/D$12)</f>
        <v>-2.4643510054844611</v>
      </c>
      <c r="G67" s="4"/>
      <c r="H67" s="4">
        <v>-4.2300000000000004</v>
      </c>
      <c r="I67" s="4"/>
      <c r="J67" s="12">
        <f>IF(H$12=0,0,H67/H$12)</f>
        <v>-1.0093538226591583E-2</v>
      </c>
      <c r="K67" s="4"/>
      <c r="L67" s="4">
        <f>+D67-H67</f>
        <v>-22.73</v>
      </c>
      <c r="M67" s="4"/>
      <c r="N67" s="12">
        <f>IF(H67=0,0,L67/H67)</f>
        <v>5.373522458628841</v>
      </c>
      <c r="O67" s="10"/>
      <c r="P67" s="4">
        <v>788.38</v>
      </c>
      <c r="Q67" s="4"/>
      <c r="R67" s="12">
        <f>IF(P$12=0,0,P67/P$12)</f>
        <v>0.10428541382544317</v>
      </c>
      <c r="S67" s="4"/>
      <c r="T67" s="4">
        <v>816.25</v>
      </c>
      <c r="U67" s="4"/>
      <c r="V67" s="12">
        <f>IF(T$12=0,0,T67/T$12)</f>
        <v>0.10174991149471711</v>
      </c>
      <c r="W67" s="4"/>
      <c r="X67" s="4">
        <f>+P67-T67</f>
        <v>-27.870000000000005</v>
      </c>
      <c r="Y67" s="4"/>
      <c r="Z67" s="12">
        <f>IF(T67=0,0,X67/T67)</f>
        <v>-3.4143950995405827E-2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4">
        <f>+D65-D67</f>
        <v>17259.129999999997</v>
      </c>
      <c r="E69" s="14"/>
      <c r="F69" s="31">
        <f>IF(D$12=0,0,D69/D$12)</f>
        <v>1577.6170018281534</v>
      </c>
      <c r="G69" s="14"/>
      <c r="H69" s="34">
        <f>+H65-H67</f>
        <v>7600.2199999999984</v>
      </c>
      <c r="I69" s="14"/>
      <c r="J69" s="31">
        <f>IF(H$12=0,0,H69/H$12)</f>
        <v>18.135487257802804</v>
      </c>
      <c r="K69" s="16"/>
      <c r="L69" s="34">
        <f>D69-H69</f>
        <v>9658.91</v>
      </c>
      <c r="M69" s="16"/>
      <c r="N69" s="31">
        <f>IF(H69=0,0,L69/H69)</f>
        <v>1.270872422114097</v>
      </c>
      <c r="O69" s="29"/>
      <c r="P69" s="34">
        <f>+P65-P67</f>
        <v>103406.79999999999</v>
      </c>
      <c r="Q69" s="14"/>
      <c r="R69" s="31">
        <f>IF(P$12=0,0,P69/P$12)</f>
        <v>13.678455732470173</v>
      </c>
      <c r="S69" s="14"/>
      <c r="T69" s="34">
        <f>+T65-T67</f>
        <v>801.19000000000688</v>
      </c>
      <c r="U69" s="14"/>
      <c r="V69" s="31">
        <f>IF(T$12=0,0,T69/T$12)</f>
        <v>9.9872602254766435E-2</v>
      </c>
      <c r="W69" s="16"/>
      <c r="X69" s="34">
        <f>P69-T69</f>
        <v>102605.60999999999</v>
      </c>
      <c r="Y69" s="16"/>
      <c r="Z69" s="31">
        <f>IF(T69=0,0,X69/T69)</f>
        <v>128.06651356107679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0">
        <f>SUM(D69:D71)</f>
        <v>17259.129999999997</v>
      </c>
      <c r="E72" s="14"/>
      <c r="F72" s="33">
        <f>IF(D$12=0,0,D72/D$12)</f>
        <v>1577.6170018281534</v>
      </c>
      <c r="G72" s="14"/>
      <c r="H72" s="30">
        <f>SUM(H69:H71)</f>
        <v>7600.2199999999984</v>
      </c>
      <c r="I72" s="14"/>
      <c r="J72" s="33">
        <f>IF(H$12=0,0,H72/H$12)</f>
        <v>18.135487257802804</v>
      </c>
      <c r="K72" s="16"/>
      <c r="L72" s="30">
        <f>+D72-H72</f>
        <v>9658.91</v>
      </c>
      <c r="M72" s="16"/>
      <c r="N72" s="33">
        <f>IF(H72=0,0,L72/H72)</f>
        <v>1.270872422114097</v>
      </c>
      <c r="O72" s="29"/>
      <c r="P72" s="30">
        <f>SUM(P69:P71)</f>
        <v>103406.79999999999</v>
      </c>
      <c r="Q72" s="14"/>
      <c r="R72" s="33">
        <f>IF(P$12=0,0,P72/P$12)</f>
        <v>13.678455732470173</v>
      </c>
      <c r="S72" s="14"/>
      <c r="T72" s="30">
        <f>SUM(T69:T71)</f>
        <v>801.19000000000688</v>
      </c>
      <c r="U72" s="14"/>
      <c r="V72" s="33">
        <f>IF(T$12=0,0,T72/T$12)</f>
        <v>9.9872602254766435E-2</v>
      </c>
      <c r="W72" s="16"/>
      <c r="X72" s="30">
        <f>+P72-T72</f>
        <v>102605.60999999999</v>
      </c>
      <c r="Y72" s="16"/>
      <c r="Z72" s="33">
        <f>IF(T72=0,0,X72/T72)</f>
        <v>128.06651356107679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61">
        <v>43879.553950844907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5" t="s">
        <v>313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8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215124.26000000007</v>
      </c>
      <c r="E12" s="4"/>
      <c r="F12" s="12"/>
      <c r="G12" s="4"/>
      <c r="H12" s="4">
        <f>SUM(OSRRefH13x_0)</f>
        <v>281515.55</v>
      </c>
      <c r="I12" s="4"/>
      <c r="J12" s="12"/>
      <c r="K12" s="4"/>
      <c r="L12" s="4">
        <f t="shared" ref="L12:L36" si="0">+D12-H12</f>
        <v>-66391.289999999921</v>
      </c>
      <c r="M12" s="4"/>
      <c r="N12" s="12">
        <f t="shared" ref="N12:N36" si="1">IF(H12=0,0,L12/H12)</f>
        <v>-0.23583524959811253</v>
      </c>
      <c r="O12" s="10"/>
      <c r="P12" s="4">
        <f>SUM(OSRRefP13x_0)</f>
        <v>1798506.0199999998</v>
      </c>
      <c r="Q12" s="4"/>
      <c r="R12" s="12"/>
      <c r="S12" s="4"/>
      <c r="T12" s="4">
        <f>SUM(OSRRefT13x_0)</f>
        <v>1823680.7000000002</v>
      </c>
      <c r="U12" s="4"/>
      <c r="V12" s="12"/>
      <c r="W12" s="4"/>
      <c r="X12" s="4">
        <f t="shared" ref="X12:X36" si="2">+P12-T12</f>
        <v>-25174.6800000004</v>
      </c>
      <c r="Y12" s="4"/>
      <c r="Z12" s="12">
        <f t="shared" ref="Z12:Z36" si="3">IF(T12=0,0,X12/T12)</f>
        <v>-1.3804324408324548E-2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--27353.95</f>
        <v>27353.95</v>
      </c>
      <c r="E13" s="2"/>
      <c r="F13" s="19"/>
      <c r="G13" s="2"/>
      <c r="H13" s="2">
        <f>--13865.33</f>
        <v>13865.33</v>
      </c>
      <c r="I13" s="2"/>
      <c r="J13" s="19"/>
      <c r="K13" s="2"/>
      <c r="L13" s="2">
        <f t="shared" si="0"/>
        <v>13488.62</v>
      </c>
      <c r="M13" s="2"/>
      <c r="N13" s="19">
        <f t="shared" si="1"/>
        <v>0.97283079450687437</v>
      </c>
      <c r="O13" s="11"/>
      <c r="P13" s="2">
        <f>--271489</f>
        <v>271489</v>
      </c>
      <c r="Q13" s="2"/>
      <c r="R13" s="19"/>
      <c r="S13" s="2"/>
      <c r="T13" s="2">
        <f>--194500.24</f>
        <v>194500.24</v>
      </c>
      <c r="U13" s="2"/>
      <c r="V13" s="19"/>
      <c r="W13" s="2"/>
      <c r="X13" s="2">
        <f t="shared" si="2"/>
        <v>76988.760000000009</v>
      </c>
      <c r="Y13" s="2"/>
      <c r="Z13" s="19">
        <f t="shared" si="3"/>
        <v>0.39582861183101886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--164778.22</f>
        <v>164778.22</v>
      </c>
      <c r="E14" s="2"/>
      <c r="F14" s="19"/>
      <c r="G14" s="2"/>
      <c r="H14" s="2">
        <f>--241188.54</f>
        <v>241188.54</v>
      </c>
      <c r="I14" s="2"/>
      <c r="J14" s="19"/>
      <c r="K14" s="2"/>
      <c r="L14" s="2">
        <f t="shared" si="0"/>
        <v>-76410.320000000007</v>
      </c>
      <c r="M14" s="2"/>
      <c r="N14" s="19">
        <f t="shared" si="1"/>
        <v>-0.31680742376897347</v>
      </c>
      <c r="O14" s="11"/>
      <c r="P14" s="2">
        <f>--1507113.48</f>
        <v>1507113.48</v>
      </c>
      <c r="Q14" s="2"/>
      <c r="R14" s="19"/>
      <c r="S14" s="2"/>
      <c r="T14" s="2">
        <f>--1342985.45</f>
        <v>1342985.45</v>
      </c>
      <c r="U14" s="2"/>
      <c r="V14" s="19"/>
      <c r="W14" s="2"/>
      <c r="X14" s="2">
        <f t="shared" si="2"/>
        <v>164128.03000000003</v>
      </c>
      <c r="Y14" s="2"/>
      <c r="Z14" s="19">
        <f t="shared" si="3"/>
        <v>0.12221132403184266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--13898.03</f>
        <v>13898.03</v>
      </c>
      <c r="E15" s="2"/>
      <c r="F15" s="19"/>
      <c r="G15" s="2"/>
      <c r="H15" s="2">
        <f>--10580.72</f>
        <v>10580.72</v>
      </c>
      <c r="I15" s="2"/>
      <c r="J15" s="19"/>
      <c r="K15" s="2"/>
      <c r="L15" s="2">
        <f t="shared" si="0"/>
        <v>3317.3100000000013</v>
      </c>
      <c r="M15" s="2"/>
      <c r="N15" s="19">
        <f t="shared" si="1"/>
        <v>0.31352403239099053</v>
      </c>
      <c r="O15" s="11"/>
      <c r="P15" s="2">
        <f>--84329.23</f>
        <v>84329.23</v>
      </c>
      <c r="Q15" s="2"/>
      <c r="R15" s="19"/>
      <c r="S15" s="2"/>
      <c r="T15" s="2">
        <f>--87740.81</f>
        <v>87740.81</v>
      </c>
      <c r="U15" s="2"/>
      <c r="V15" s="19"/>
      <c r="W15" s="2"/>
      <c r="X15" s="2">
        <f t="shared" si="2"/>
        <v>-3411.5800000000017</v>
      </c>
      <c r="Y15" s="2"/>
      <c r="Z15" s="19">
        <f t="shared" si="3"/>
        <v>-3.8882476694710268E-2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--416.99</f>
        <v>416.99</v>
      </c>
      <c r="I17" s="2"/>
      <c r="J17" s="19"/>
      <c r="K17" s="2"/>
      <c r="L17" s="2">
        <f t="shared" si="0"/>
        <v>-416.99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--10245.8</f>
        <v>10245.799999999999</v>
      </c>
      <c r="U17" s="2"/>
      <c r="V17" s="19"/>
      <c r="W17" s="2"/>
      <c r="X17" s="2">
        <f t="shared" si="2"/>
        <v>-5837.86</v>
      </c>
      <c r="Y17" s="2"/>
      <c r="Z17" s="19">
        <f t="shared" si="3"/>
        <v>-0.56978078822541922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--7282.64</f>
        <v>7282.64</v>
      </c>
      <c r="E18" s="2"/>
      <c r="F18" s="19"/>
      <c r="G18" s="2"/>
      <c r="H18" s="2">
        <f>--6543.64</f>
        <v>6543.64</v>
      </c>
      <c r="I18" s="2"/>
      <c r="J18" s="19"/>
      <c r="K18" s="2"/>
      <c r="L18" s="2">
        <f t="shared" si="0"/>
        <v>739</v>
      </c>
      <c r="M18" s="2"/>
      <c r="N18" s="19">
        <f t="shared" si="1"/>
        <v>0.11293408561595686</v>
      </c>
      <c r="O18" s="11"/>
      <c r="P18" s="2">
        <f>--40361.11</f>
        <v>40361.11</v>
      </c>
      <c r="Q18" s="2"/>
      <c r="R18" s="19"/>
      <c r="S18" s="2"/>
      <c r="T18" s="2">
        <f>--49190.47</f>
        <v>49190.47</v>
      </c>
      <c r="U18" s="2"/>
      <c r="V18" s="19"/>
      <c r="W18" s="2"/>
      <c r="X18" s="2">
        <f t="shared" si="2"/>
        <v>-8829.36</v>
      </c>
      <c r="Y18" s="2"/>
      <c r="Z18" s="19">
        <f t="shared" si="3"/>
        <v>-0.17949330429247781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--118.97</f>
        <v>118.97</v>
      </c>
      <c r="E19" s="2"/>
      <c r="F19" s="19"/>
      <c r="G19" s="2"/>
      <c r="H19" s="2">
        <f>--228</f>
        <v>228</v>
      </c>
      <c r="I19" s="2"/>
      <c r="J19" s="19"/>
      <c r="K19" s="2"/>
      <c r="L19" s="2">
        <f t="shared" si="0"/>
        <v>-109.03</v>
      </c>
      <c r="M19" s="2"/>
      <c r="N19" s="19">
        <f t="shared" si="1"/>
        <v>-0.47820175438596491</v>
      </c>
      <c r="O19" s="11"/>
      <c r="P19" s="2">
        <f>--1055.88</f>
        <v>1055.8800000000001</v>
      </c>
      <c r="Q19" s="2"/>
      <c r="R19" s="19"/>
      <c r="S19" s="2"/>
      <c r="T19" s="2">
        <f>--1512.85</f>
        <v>1512.85</v>
      </c>
      <c r="U19" s="2"/>
      <c r="V19" s="19"/>
      <c r="W19" s="2"/>
      <c r="X19" s="2">
        <f t="shared" si="2"/>
        <v>-456.9699999999998</v>
      </c>
      <c r="Y19" s="2"/>
      <c r="Z19" s="19">
        <f t="shared" si="3"/>
        <v>-0.30205902766302001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--343.91</f>
        <v>343.91</v>
      </c>
      <c r="E20" s="2"/>
      <c r="F20" s="19"/>
      <c r="G20" s="2"/>
      <c r="H20" s="2">
        <f>--2774.02</f>
        <v>2774.02</v>
      </c>
      <c r="I20" s="2"/>
      <c r="J20" s="19"/>
      <c r="K20" s="2"/>
      <c r="L20" s="2">
        <f t="shared" si="0"/>
        <v>-2430.11</v>
      </c>
      <c r="M20" s="2"/>
      <c r="N20" s="19">
        <f t="shared" si="1"/>
        <v>-0.87602468619548535</v>
      </c>
      <c r="O20" s="11"/>
      <c r="P20" s="2">
        <f>--1806.42</f>
        <v>1806.42</v>
      </c>
      <c r="Q20" s="2"/>
      <c r="R20" s="19"/>
      <c r="S20" s="2"/>
      <c r="T20" s="2">
        <f>--9040.48</f>
        <v>9040.48</v>
      </c>
      <c r="U20" s="2"/>
      <c r="V20" s="19"/>
      <c r="W20" s="2"/>
      <c r="X20" s="2">
        <f t="shared" si="2"/>
        <v>-7234.0599999999995</v>
      </c>
      <c r="Y20" s="2"/>
      <c r="Z20" s="19">
        <f t="shared" si="3"/>
        <v>-0.80018538838645736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--16176.97</f>
        <v>16176.97</v>
      </c>
      <c r="E21" s="2"/>
      <c r="F21" s="19"/>
      <c r="G21" s="2"/>
      <c r="H21" s="2">
        <f>--12767</f>
        <v>12767</v>
      </c>
      <c r="I21" s="2"/>
      <c r="J21" s="19"/>
      <c r="K21" s="2"/>
      <c r="L21" s="2">
        <f t="shared" si="0"/>
        <v>3409.9699999999993</v>
      </c>
      <c r="M21" s="2"/>
      <c r="N21" s="19">
        <f t="shared" si="1"/>
        <v>0.26709250411216412</v>
      </c>
      <c r="O21" s="11"/>
      <c r="P21" s="2">
        <f>--86971.97</f>
        <v>86971.97</v>
      </c>
      <c r="Q21" s="2"/>
      <c r="R21" s="19"/>
      <c r="S21" s="2"/>
      <c r="T21" s="2">
        <f>--179388.85</f>
        <v>179388.85</v>
      </c>
      <c r="U21" s="2"/>
      <c r="V21" s="19"/>
      <c r="W21" s="2"/>
      <c r="X21" s="2">
        <f t="shared" si="2"/>
        <v>-92416.88</v>
      </c>
      <c r="Y21" s="2"/>
      <c r="Z21" s="19">
        <f t="shared" si="3"/>
        <v>-0.51517627767835072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--777.81</f>
        <v>777.81</v>
      </c>
      <c r="E22" s="2"/>
      <c r="F22" s="19"/>
      <c r="G22" s="2"/>
      <c r="H22" s="2">
        <f>--843.49</f>
        <v>843.49</v>
      </c>
      <c r="I22" s="2"/>
      <c r="J22" s="19"/>
      <c r="K22" s="2"/>
      <c r="L22" s="2">
        <f t="shared" si="0"/>
        <v>-65.680000000000064</v>
      </c>
      <c r="M22" s="2"/>
      <c r="N22" s="19">
        <f t="shared" si="1"/>
        <v>-7.7866957521725289E-2</v>
      </c>
      <c r="O22" s="11"/>
      <c r="P22" s="2">
        <f>--4349.44</f>
        <v>4349.4399999999996</v>
      </c>
      <c r="Q22" s="2"/>
      <c r="R22" s="19"/>
      <c r="S22" s="2"/>
      <c r="T22" s="2">
        <f>--6273.97</f>
        <v>6273.97</v>
      </c>
      <c r="U22" s="2"/>
      <c r="V22" s="19"/>
      <c r="W22" s="2"/>
      <c r="X22" s="2">
        <f t="shared" si="2"/>
        <v>-1924.5300000000007</v>
      </c>
      <c r="Y22" s="2"/>
      <c r="Z22" s="19">
        <f t="shared" si="3"/>
        <v>-0.30674835869473405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--486</f>
        <v>486</v>
      </c>
      <c r="U23" s="2"/>
      <c r="V23" s="19"/>
      <c r="W23" s="2"/>
      <c r="X23" s="2">
        <f t="shared" si="2"/>
        <v>2242</v>
      </c>
      <c r="Y23" s="2"/>
      <c r="Z23" s="19">
        <f t="shared" si="3"/>
        <v>4.6131687242798352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--1925.98</f>
        <v>1925.98</v>
      </c>
      <c r="E24" s="2"/>
      <c r="F24" s="19"/>
      <c r="G24" s="2"/>
      <c r="H24" s="2">
        <f>--149.99</f>
        <v>149.99</v>
      </c>
      <c r="I24" s="2"/>
      <c r="J24" s="19"/>
      <c r="K24" s="2"/>
      <c r="L24" s="2">
        <f t="shared" si="0"/>
        <v>1775.99</v>
      </c>
      <c r="M24" s="2"/>
      <c r="N24" s="19">
        <f t="shared" si="1"/>
        <v>11.840722714847656</v>
      </c>
      <c r="O24" s="11"/>
      <c r="P24" s="2">
        <f>--11327.82</f>
        <v>11327.82</v>
      </c>
      <c r="Q24" s="2"/>
      <c r="R24" s="19"/>
      <c r="S24" s="2"/>
      <c r="T24" s="2">
        <f>--3074.9</f>
        <v>3074.9</v>
      </c>
      <c r="U24" s="2"/>
      <c r="V24" s="19"/>
      <c r="W24" s="2"/>
      <c r="X24" s="2">
        <f t="shared" si="2"/>
        <v>8252.92</v>
      </c>
      <c r="Y24" s="2"/>
      <c r="Z24" s="19">
        <f t="shared" si="3"/>
        <v>2.6839637061367849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--326.92</f>
        <v>326.92</v>
      </c>
      <c r="E25" s="2"/>
      <c r="F25" s="19"/>
      <c r="G25" s="2"/>
      <c r="H25" s="2">
        <f>--1020.06</f>
        <v>1020.06</v>
      </c>
      <c r="I25" s="2"/>
      <c r="J25" s="19"/>
      <c r="K25" s="2"/>
      <c r="L25" s="2">
        <f t="shared" si="0"/>
        <v>-693.13999999999987</v>
      </c>
      <c r="M25" s="2"/>
      <c r="N25" s="19">
        <f t="shared" si="1"/>
        <v>-0.67950904848734384</v>
      </c>
      <c r="O25" s="11"/>
      <c r="P25" s="2">
        <f>--1980.28</f>
        <v>1980.28</v>
      </c>
      <c r="Q25" s="2"/>
      <c r="R25" s="19"/>
      <c r="S25" s="2"/>
      <c r="T25" s="2">
        <f>--4025.05</f>
        <v>4025.05</v>
      </c>
      <c r="U25" s="2"/>
      <c r="V25" s="19"/>
      <c r="W25" s="2"/>
      <c r="X25" s="2">
        <f t="shared" si="2"/>
        <v>-2044.7700000000002</v>
      </c>
      <c r="Y25" s="2"/>
      <c r="Z25" s="19">
        <f t="shared" si="3"/>
        <v>-0.5080110806076944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-642.85</f>
        <v>-642.85</v>
      </c>
      <c r="E27" s="2"/>
      <c r="F27" s="19"/>
      <c r="G27" s="2"/>
      <c r="H27" s="2">
        <f>-553.38</f>
        <v>-553.38</v>
      </c>
      <c r="I27" s="2"/>
      <c r="J27" s="19"/>
      <c r="K27" s="2"/>
      <c r="L27" s="2">
        <f t="shared" si="0"/>
        <v>-89.470000000000027</v>
      </c>
      <c r="M27" s="2"/>
      <c r="N27" s="19">
        <f t="shared" si="1"/>
        <v>0.16167913549459689</v>
      </c>
      <c r="O27" s="11"/>
      <c r="P27" s="2">
        <f>-6449.84</f>
        <v>-6449.84</v>
      </c>
      <c r="Q27" s="2"/>
      <c r="R27" s="19"/>
      <c r="S27" s="2"/>
      <c r="T27" s="2">
        <f>-6056.15</f>
        <v>-6056.15</v>
      </c>
      <c r="U27" s="2"/>
      <c r="V27" s="19"/>
      <c r="W27" s="2"/>
      <c r="X27" s="2">
        <f t="shared" si="2"/>
        <v>-393.69000000000051</v>
      </c>
      <c r="Y27" s="2"/>
      <c r="Z27" s="19">
        <f t="shared" si="3"/>
        <v>6.5006646136572005E-2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-15229.61</f>
        <v>-15229.61</v>
      </c>
      <c r="E28" s="2"/>
      <c r="F28" s="19"/>
      <c r="G28" s="2"/>
      <c r="H28" s="2">
        <f>-6494</f>
        <v>-6494</v>
      </c>
      <c r="I28" s="2"/>
      <c r="J28" s="19"/>
      <c r="K28" s="2"/>
      <c r="L28" s="2">
        <f t="shared" si="0"/>
        <v>-8735.61</v>
      </c>
      <c r="M28" s="2"/>
      <c r="N28" s="19">
        <f t="shared" si="1"/>
        <v>1.3451817061903297</v>
      </c>
      <c r="O28" s="11"/>
      <c r="P28" s="2">
        <f>-202883.19</f>
        <v>-202883.19</v>
      </c>
      <c r="Q28" s="2"/>
      <c r="R28" s="19"/>
      <c r="S28" s="2"/>
      <c r="T28" s="2">
        <f>-51540.97</f>
        <v>-51540.97</v>
      </c>
      <c r="U28" s="2"/>
      <c r="V28" s="19"/>
      <c r="W28" s="2"/>
      <c r="X28" s="2">
        <f t="shared" si="2"/>
        <v>-151342.22</v>
      </c>
      <c r="Y28" s="2"/>
      <c r="Z28" s="19">
        <f t="shared" si="3"/>
        <v>2.9363479189468107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-1632.57</f>
        <v>-1632.57</v>
      </c>
      <c r="E29" s="2"/>
      <c r="F29" s="19"/>
      <c r="G29" s="2"/>
      <c r="H29" s="2">
        <f>-1022.1</f>
        <v>-1022.1</v>
      </c>
      <c r="I29" s="2"/>
      <c r="J29" s="19"/>
      <c r="K29" s="2"/>
      <c r="L29" s="2">
        <f t="shared" si="0"/>
        <v>-610.46999999999991</v>
      </c>
      <c r="M29" s="2"/>
      <c r="N29" s="19">
        <f t="shared" si="1"/>
        <v>0.59727032579982375</v>
      </c>
      <c r="O29" s="11"/>
      <c r="P29" s="2">
        <f>-4914.72</f>
        <v>-4914.72</v>
      </c>
      <c r="Q29" s="2"/>
      <c r="R29" s="19"/>
      <c r="S29" s="2"/>
      <c r="T29" s="2">
        <f>-5027.57</f>
        <v>-5027.57</v>
      </c>
      <c r="U29" s="2"/>
      <c r="V29" s="19"/>
      <c r="W29" s="2"/>
      <c r="X29" s="2">
        <f t="shared" si="2"/>
        <v>112.84999999999945</v>
      </c>
      <c r="Y29" s="2"/>
      <c r="Z29" s="19">
        <f t="shared" si="3"/>
        <v>-2.244623147962126E-2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-304.12</f>
        <v>-304.12</v>
      </c>
      <c r="E32" s="2"/>
      <c r="F32" s="19"/>
      <c r="G32" s="2"/>
      <c r="H32" s="2">
        <f>-647.83</f>
        <v>-647.83000000000004</v>
      </c>
      <c r="I32" s="2"/>
      <c r="J32" s="19"/>
      <c r="K32" s="2"/>
      <c r="L32" s="2">
        <f t="shared" si="0"/>
        <v>343.71000000000004</v>
      </c>
      <c r="M32" s="2"/>
      <c r="N32" s="19">
        <f t="shared" si="1"/>
        <v>-0.53055585570288499</v>
      </c>
      <c r="O32" s="11"/>
      <c r="P32" s="2">
        <f>-3292.01</f>
        <v>-3292.01</v>
      </c>
      <c r="Q32" s="2"/>
      <c r="R32" s="19"/>
      <c r="S32" s="2"/>
      <c r="T32" s="2">
        <f>-3585.58</f>
        <v>-3585.58</v>
      </c>
      <c r="U32" s="2"/>
      <c r="V32" s="19"/>
      <c r="W32" s="2"/>
      <c r="X32" s="2">
        <f t="shared" si="2"/>
        <v>293.56999999999971</v>
      </c>
      <c r="Y32" s="2"/>
      <c r="Z32" s="19">
        <f t="shared" si="3"/>
        <v>-8.1875177795503018E-2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5" si="8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8"/>
        <v>0</v>
      </c>
      <c r="E34" s="2"/>
      <c r="F34" s="19"/>
      <c r="G34" s="2"/>
      <c r="H34" s="2">
        <f>-79.95</f>
        <v>-79.95</v>
      </c>
      <c r="I34" s="2"/>
      <c r="J34" s="19"/>
      <c r="K34" s="2"/>
      <c r="L34" s="2">
        <f t="shared" si="0"/>
        <v>79.95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-89.94</f>
        <v>-89.94</v>
      </c>
      <c r="U34" s="2"/>
      <c r="V34" s="19"/>
      <c r="W34" s="2"/>
      <c r="X34" s="2">
        <f t="shared" si="2"/>
        <v>-1189.8999999999999</v>
      </c>
      <c r="Y34" s="2"/>
      <c r="Z34" s="19">
        <f t="shared" si="3"/>
        <v>13.229931065154545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8"/>
        <v>0</v>
      </c>
      <c r="E35" s="2"/>
      <c r="F35" s="19"/>
      <c r="G35" s="2"/>
      <c r="H35" s="2">
        <f>-64.97</f>
        <v>-64.97</v>
      </c>
      <c r="I35" s="2"/>
      <c r="J35" s="19"/>
      <c r="K35" s="2"/>
      <c r="L35" s="2">
        <f t="shared" si="0"/>
        <v>64.97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-49.99</f>
        <v>-49.99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-49.99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-49.99</f>
        <v>-49.99</v>
      </c>
      <c r="U36" s="2"/>
      <c r="V36" s="19"/>
      <c r="W36" s="2"/>
      <c r="X36" s="2">
        <f t="shared" si="2"/>
        <v>-54.969999999999992</v>
      </c>
      <c r="Y36" s="2"/>
      <c r="Z36" s="19">
        <f t="shared" si="3"/>
        <v>1.0996199239847968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181262.43</v>
      </c>
      <c r="E38" s="4"/>
      <c r="F38" s="12">
        <f t="shared" ref="F38:F52" si="9">IF(D$12=0,0,D38/D$12)</f>
        <v>0.84259408957409054</v>
      </c>
      <c r="G38" s="4"/>
      <c r="H38" s="4">
        <f>SUM(OSRRefH16x_0)</f>
        <v>239041.72999999998</v>
      </c>
      <c r="I38" s="4"/>
      <c r="J38" s="12">
        <f t="shared" ref="J38:J52" si="10">IF(H$12=0,0,H38/H$12)</f>
        <v>0.84912442669685562</v>
      </c>
      <c r="K38" s="4"/>
      <c r="L38" s="4">
        <f t="shared" ref="L38:L52" si="11">+D38-H38</f>
        <v>-57779.299999999988</v>
      </c>
      <c r="M38" s="4"/>
      <c r="N38" s="12">
        <f t="shared" ref="N38:N52" si="12">IF(H38=0,0,L38/H38)</f>
        <v>-0.24171218975030007</v>
      </c>
      <c r="O38" s="10"/>
      <c r="P38" s="4">
        <f>SUM(OSRRefP16x_0)</f>
        <v>1588309.2800000005</v>
      </c>
      <c r="Q38" s="4"/>
      <c r="R38" s="12">
        <f t="shared" ref="R38:R52" si="13">IF(P$12=0,0,P38/P$12)</f>
        <v>0.88312703006687776</v>
      </c>
      <c r="S38" s="4"/>
      <c r="T38" s="4">
        <f>SUM(OSRRefT16x_0)</f>
        <v>1545472.58</v>
      </c>
      <c r="U38" s="4"/>
      <c r="V38" s="12">
        <f t="shared" ref="V38:V52" si="14">IF(T$12=0,0,T38/T$12)</f>
        <v>0.84744691326721833</v>
      </c>
      <c r="W38" s="4"/>
      <c r="X38" s="4">
        <f t="shared" ref="X38:X52" si="15">+P38-T38</f>
        <v>42836.700000000419</v>
      </c>
      <c r="Y38" s="4"/>
      <c r="Z38" s="12">
        <f t="shared" ref="Z38:Z52" si="16">IF(T38=0,0,X38/T38)</f>
        <v>2.7717541258480572E-2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32346.16</v>
      </c>
      <c r="E39" s="2"/>
      <c r="F39" s="19">
        <f t="shared" si="9"/>
        <v>0.15036035452254426</v>
      </c>
      <c r="G39" s="2"/>
      <c r="H39" s="2">
        <v>8959.82</v>
      </c>
      <c r="I39" s="2"/>
      <c r="J39" s="19">
        <f t="shared" si="10"/>
        <v>3.18270873491713E-2</v>
      </c>
      <c r="K39" s="2"/>
      <c r="L39" s="2">
        <f t="shared" si="11"/>
        <v>23386.34</v>
      </c>
      <c r="M39" s="2"/>
      <c r="N39" s="19">
        <f t="shared" si="12"/>
        <v>2.6101350250339852</v>
      </c>
      <c r="O39" s="11"/>
      <c r="P39" s="2">
        <v>219755.59</v>
      </c>
      <c r="Q39" s="2"/>
      <c r="R39" s="19">
        <f t="shared" si="13"/>
        <v>0.12218785344960927</v>
      </c>
      <c r="S39" s="2"/>
      <c r="T39" s="2">
        <v>170243.29</v>
      </c>
      <c r="U39" s="2"/>
      <c r="V39" s="19">
        <f t="shared" si="14"/>
        <v>9.3351478688127806E-2</v>
      </c>
      <c r="W39" s="2"/>
      <c r="X39" s="2">
        <f t="shared" si="15"/>
        <v>49512.299999999988</v>
      </c>
      <c r="Y39" s="2"/>
      <c r="Z39" s="19">
        <f t="shared" si="16"/>
        <v>0.29083260785197457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159135.18</v>
      </c>
      <c r="E40" s="2"/>
      <c r="F40" s="19">
        <f t="shared" si="9"/>
        <v>0.73973609485048286</v>
      </c>
      <c r="G40" s="2"/>
      <c r="H40" s="2">
        <v>202415.77</v>
      </c>
      <c r="I40" s="2"/>
      <c r="J40" s="19">
        <f t="shared" si="10"/>
        <v>0.71902163130953156</v>
      </c>
      <c r="K40" s="2"/>
      <c r="L40" s="2">
        <f t="shared" si="11"/>
        <v>-43280.59</v>
      </c>
      <c r="M40" s="2"/>
      <c r="N40" s="19">
        <f t="shared" si="12"/>
        <v>-0.21382024730582996</v>
      </c>
      <c r="O40" s="11"/>
      <c r="P40" s="2">
        <v>1167313.1600000001</v>
      </c>
      <c r="Q40" s="2"/>
      <c r="R40" s="19">
        <f t="shared" si="13"/>
        <v>0.64904601208952317</v>
      </c>
      <c r="S40" s="2"/>
      <c r="T40" s="2">
        <v>1147679.08</v>
      </c>
      <c r="U40" s="2"/>
      <c r="V40" s="19">
        <f t="shared" si="14"/>
        <v>0.62932018746483409</v>
      </c>
      <c r="W40" s="2"/>
      <c r="X40" s="2">
        <f t="shared" si="15"/>
        <v>19634.080000000075</v>
      </c>
      <c r="Y40" s="2"/>
      <c r="Z40" s="19">
        <f t="shared" si="16"/>
        <v>1.7107639532821382E-2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10446.64</v>
      </c>
      <c r="E41" s="2"/>
      <c r="F41" s="19">
        <f t="shared" si="9"/>
        <v>4.8560957281154601E-2</v>
      </c>
      <c r="G41" s="2"/>
      <c r="H41" s="2">
        <v>7027.4</v>
      </c>
      <c r="I41" s="2"/>
      <c r="J41" s="19">
        <f t="shared" si="10"/>
        <v>2.4962741844988669E-2</v>
      </c>
      <c r="K41" s="2"/>
      <c r="L41" s="2">
        <f t="shared" si="11"/>
        <v>3419.24</v>
      </c>
      <c r="M41" s="2"/>
      <c r="N41" s="19">
        <f t="shared" si="12"/>
        <v>0.48655832882716227</v>
      </c>
      <c r="O41" s="11"/>
      <c r="P41" s="2">
        <v>64898.07</v>
      </c>
      <c r="Q41" s="2"/>
      <c r="R41" s="19">
        <f t="shared" si="13"/>
        <v>3.6084433011794981E-2</v>
      </c>
      <c r="S41" s="2"/>
      <c r="T41" s="2">
        <v>68543.89</v>
      </c>
      <c r="U41" s="2"/>
      <c r="V41" s="19">
        <f t="shared" si="14"/>
        <v>3.7585466578661492E-2</v>
      </c>
      <c r="W41" s="2"/>
      <c r="X41" s="2">
        <f t="shared" si="15"/>
        <v>-3645.8199999999997</v>
      </c>
      <c r="Y41" s="2"/>
      <c r="Z41" s="19">
        <f t="shared" si="16"/>
        <v>-5.3189569486062141E-2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1.5168144947326895E-3</v>
      </c>
      <c r="S42" s="2"/>
      <c r="T42" s="2">
        <v>1750</v>
      </c>
      <c r="U42" s="2"/>
      <c r="V42" s="19">
        <f t="shared" si="14"/>
        <v>9.5959780678712004E-4</v>
      </c>
      <c r="W42" s="2"/>
      <c r="X42" s="2">
        <f t="shared" si="15"/>
        <v>978</v>
      </c>
      <c r="Y42" s="2"/>
      <c r="Z42" s="19">
        <f t="shared" si="16"/>
        <v>0.55885714285714283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/>
      <c r="E43" s="2"/>
      <c r="F43" s="19">
        <f t="shared" si="9"/>
        <v>0</v>
      </c>
      <c r="G43" s="2"/>
      <c r="H43" s="2">
        <v>2806.51</v>
      </c>
      <c r="I43" s="2"/>
      <c r="J43" s="19">
        <f t="shared" si="10"/>
        <v>9.9692894406721057E-3</v>
      </c>
      <c r="K43" s="2"/>
      <c r="L43" s="2">
        <f t="shared" si="11"/>
        <v>-2806.51</v>
      </c>
      <c r="M43" s="2"/>
      <c r="N43" s="19">
        <f t="shared" si="12"/>
        <v>-1</v>
      </c>
      <c r="O43" s="11"/>
      <c r="P43" s="2">
        <v>7860.66</v>
      </c>
      <c r="Q43" s="2"/>
      <c r="R43" s="19">
        <f t="shared" si="13"/>
        <v>4.3706609333451106E-3</v>
      </c>
      <c r="S43" s="2"/>
      <c r="T43" s="2">
        <v>9369.98</v>
      </c>
      <c r="U43" s="2"/>
      <c r="V43" s="19">
        <f t="shared" si="14"/>
        <v>5.137949861508102E-3</v>
      </c>
      <c r="W43" s="2"/>
      <c r="X43" s="2">
        <f t="shared" si="15"/>
        <v>-1509.3199999999997</v>
      </c>
      <c r="Y43" s="2"/>
      <c r="Z43" s="19">
        <f t="shared" si="16"/>
        <v>-0.16108038651096371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4327.1400000000003</v>
      </c>
      <c r="E44" s="2"/>
      <c r="F44" s="19">
        <f t="shared" si="9"/>
        <v>2.0114607250711746E-2</v>
      </c>
      <c r="G44" s="2"/>
      <c r="H44" s="2">
        <v>5632.36</v>
      </c>
      <c r="I44" s="2"/>
      <c r="J44" s="19">
        <f t="shared" si="10"/>
        <v>2.0007278461172038E-2</v>
      </c>
      <c r="K44" s="2"/>
      <c r="L44" s="2">
        <f t="shared" si="11"/>
        <v>-1305.2199999999993</v>
      </c>
      <c r="M44" s="2"/>
      <c r="N44" s="19">
        <f t="shared" si="12"/>
        <v>-0.23173589756336588</v>
      </c>
      <c r="O44" s="11"/>
      <c r="P44" s="2">
        <v>24931.52</v>
      </c>
      <c r="Q44" s="2"/>
      <c r="R44" s="19">
        <f t="shared" si="13"/>
        <v>1.3862350040952326E-2</v>
      </c>
      <c r="S44" s="2"/>
      <c r="T44" s="2">
        <v>29561.919999999998</v>
      </c>
      <c r="U44" s="2"/>
      <c r="V44" s="19">
        <f t="shared" si="14"/>
        <v>1.6210030626523597E-2</v>
      </c>
      <c r="W44" s="2"/>
      <c r="X44" s="2">
        <f t="shared" si="15"/>
        <v>-4630.3999999999978</v>
      </c>
      <c r="Y44" s="2"/>
      <c r="Z44" s="19">
        <f t="shared" si="16"/>
        <v>-0.15663393987941238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/>
      <c r="I45" s="2"/>
      <c r="J45" s="19">
        <f t="shared" si="10"/>
        <v>0</v>
      </c>
      <c r="K45" s="2"/>
      <c r="L45" s="2">
        <f t="shared" si="11"/>
        <v>0</v>
      </c>
      <c r="M45" s="2"/>
      <c r="N45" s="19">
        <f t="shared" si="12"/>
        <v>0</v>
      </c>
      <c r="O45" s="11"/>
      <c r="P45" s="2">
        <v>88.75</v>
      </c>
      <c r="Q45" s="2"/>
      <c r="R45" s="19">
        <f t="shared" si="13"/>
        <v>4.9346512612729545E-5</v>
      </c>
      <c r="S45" s="2"/>
      <c r="T45" s="2">
        <v>0</v>
      </c>
      <c r="U45" s="2"/>
      <c r="V45" s="19">
        <f t="shared" si="14"/>
        <v>0</v>
      </c>
      <c r="W45" s="2"/>
      <c r="X45" s="2">
        <f t="shared" si="15"/>
        <v>88.75</v>
      </c>
      <c r="Y45" s="2"/>
      <c r="Z45" s="19">
        <f t="shared" si="16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-206288</v>
      </c>
      <c r="E46" s="2"/>
      <c r="F46" s="19">
        <f t="shared" si="9"/>
        <v>-0.95892485580194409</v>
      </c>
      <c r="G46" s="2"/>
      <c r="H46" s="2">
        <v>-226918</v>
      </c>
      <c r="I46" s="2"/>
      <c r="J46" s="19">
        <f t="shared" si="10"/>
        <v>-0.80605849303883925</v>
      </c>
      <c r="K46" s="2"/>
      <c r="L46" s="2">
        <f t="shared" si="11"/>
        <v>20630</v>
      </c>
      <c r="M46" s="2"/>
      <c r="N46" s="19">
        <f t="shared" si="12"/>
        <v>-9.0913898412642455E-2</v>
      </c>
      <c r="O46" s="11"/>
      <c r="P46" s="2">
        <v>-1487929</v>
      </c>
      <c r="Q46" s="2"/>
      <c r="R46" s="19">
        <f t="shared" si="13"/>
        <v>-0.82731388355319502</v>
      </c>
      <c r="S46" s="2"/>
      <c r="T46" s="2">
        <v>-1427406</v>
      </c>
      <c r="U46" s="2"/>
      <c r="V46" s="19">
        <f t="shared" si="14"/>
        <v>-0.78270609542558622</v>
      </c>
      <c r="W46" s="2"/>
      <c r="X46" s="2">
        <f t="shared" si="15"/>
        <v>-60523</v>
      </c>
      <c r="Y46" s="2"/>
      <c r="Z46" s="19">
        <f t="shared" si="16"/>
        <v>4.2400690483296276E-2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181262</v>
      </c>
      <c r="E47" s="2"/>
      <c r="F47" s="19">
        <f t="shared" si="9"/>
        <v>0.84259209072932983</v>
      </c>
      <c r="G47" s="2"/>
      <c r="H47" s="2">
        <v>239042</v>
      </c>
      <c r="I47" s="2"/>
      <c r="J47" s="19">
        <f t="shared" si="10"/>
        <v>0.84912538579130004</v>
      </c>
      <c r="K47" s="2"/>
      <c r="L47" s="2">
        <f t="shared" si="11"/>
        <v>-57780</v>
      </c>
      <c r="M47" s="2"/>
      <c r="N47" s="19">
        <f t="shared" si="12"/>
        <v>-0.2417148450899842</v>
      </c>
      <c r="O47" s="11"/>
      <c r="P47" s="2">
        <v>1588307</v>
      </c>
      <c r="Q47" s="2"/>
      <c r="R47" s="19">
        <f t="shared" si="13"/>
        <v>0.88312576234801832</v>
      </c>
      <c r="S47" s="2"/>
      <c r="T47" s="2">
        <v>1545460</v>
      </c>
      <c r="U47" s="2"/>
      <c r="V47" s="19">
        <f t="shared" si="14"/>
        <v>0.84744001512984146</v>
      </c>
      <c r="W47" s="2"/>
      <c r="X47" s="2">
        <f t="shared" si="15"/>
        <v>42847</v>
      </c>
      <c r="Y47" s="2"/>
      <c r="Z47" s="19">
        <f t="shared" si="16"/>
        <v>2.7724431560829786E-2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/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7.7206497826072292E-6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105.75</v>
      </c>
      <c r="Q49" s="2"/>
      <c r="R49" s="19">
        <f t="shared" si="13"/>
        <v>5.8798802352632666E-5</v>
      </c>
      <c r="S49" s="2"/>
      <c r="T49" s="2"/>
      <c r="U49" s="2"/>
      <c r="V49" s="19">
        <f t="shared" si="14"/>
        <v>0</v>
      </c>
      <c r="W49" s="2"/>
      <c r="X49" s="2">
        <f t="shared" si="15"/>
        <v>105.75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4.84</v>
      </c>
      <c r="Q50" s="2"/>
      <c r="R50" s="19">
        <f t="shared" si="13"/>
        <v>2.6911224906547717E-6</v>
      </c>
      <c r="S50" s="2"/>
      <c r="T50" s="2">
        <v>12</v>
      </c>
      <c r="U50" s="2"/>
      <c r="V50" s="19">
        <f t="shared" si="14"/>
        <v>6.5800992465402519E-6</v>
      </c>
      <c r="W50" s="2"/>
      <c r="X50" s="2">
        <f t="shared" si="15"/>
        <v>-7.16</v>
      </c>
      <c r="Y50" s="2"/>
      <c r="Z50" s="19">
        <f t="shared" si="16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3.83</v>
      </c>
      <c r="I51" s="2"/>
      <c r="J51" s="19">
        <f t="shared" si="10"/>
        <v>1.3604932303029088E-5</v>
      </c>
      <c r="K51" s="2"/>
      <c r="L51" s="2">
        <f t="shared" si="11"/>
        <v>-3.83</v>
      </c>
      <c r="M51" s="2"/>
      <c r="N51" s="19">
        <f t="shared" si="12"/>
        <v>-1</v>
      </c>
      <c r="O51" s="11"/>
      <c r="P51" s="2">
        <v>49.12</v>
      </c>
      <c r="Q51" s="2"/>
      <c r="R51" s="19">
        <f t="shared" si="13"/>
        <v>2.731155717788479E-5</v>
      </c>
      <c r="S51" s="2"/>
      <c r="T51" s="2">
        <v>26.73</v>
      </c>
      <c r="U51" s="2"/>
      <c r="V51" s="19">
        <f t="shared" si="14"/>
        <v>1.4657171071668411E-5</v>
      </c>
      <c r="W51" s="2"/>
      <c r="X51" s="2">
        <f t="shared" si="15"/>
        <v>22.389999999999997</v>
      </c>
      <c r="Y51" s="2"/>
      <c r="Z51" s="19">
        <f t="shared" si="16"/>
        <v>0.83763561541339304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33.31</v>
      </c>
      <c r="E52" s="2"/>
      <c r="F52" s="19">
        <f t="shared" si="9"/>
        <v>1.5484074181126755E-4</v>
      </c>
      <c r="G52" s="2"/>
      <c r="H52" s="2">
        <v>72.040000000000006</v>
      </c>
      <c r="I52" s="2"/>
      <c r="J52" s="19">
        <f t="shared" si="10"/>
        <v>2.5590060655619203E-4</v>
      </c>
      <c r="K52" s="2"/>
      <c r="L52" s="2">
        <f t="shared" si="11"/>
        <v>-38.730000000000004</v>
      </c>
      <c r="M52" s="2"/>
      <c r="N52" s="19">
        <f t="shared" si="12"/>
        <v>-0.53761799000555244</v>
      </c>
      <c r="O52" s="11"/>
      <c r="P52" s="2">
        <v>195.82</v>
      </c>
      <c r="Q52" s="2"/>
      <c r="R52" s="19">
        <f t="shared" si="13"/>
        <v>1.0887925746281351E-4</v>
      </c>
      <c r="S52" s="2"/>
      <c r="T52" s="2">
        <v>217.61</v>
      </c>
      <c r="U52" s="2"/>
      <c r="V52" s="19">
        <f t="shared" si="14"/>
        <v>1.1932461641996868E-4</v>
      </c>
      <c r="W52" s="2"/>
      <c r="X52" s="2">
        <f t="shared" si="15"/>
        <v>-21.79000000000002</v>
      </c>
      <c r="Y52" s="2"/>
      <c r="Z52" s="19">
        <f t="shared" si="16"/>
        <v>-0.10013326593447001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D12-D38</f>
        <v>33861.830000000075</v>
      </c>
      <c r="E54" s="14"/>
      <c r="F54" s="22">
        <f>IF(D$12=0,0,D54/D$12)</f>
        <v>0.15740591042590948</v>
      </c>
      <c r="G54" s="14"/>
      <c r="H54" s="21">
        <f>H12-H38</f>
        <v>42473.820000000007</v>
      </c>
      <c r="I54" s="14"/>
      <c r="J54" s="22">
        <f>IF(H$12=0,0,H54/H$12)</f>
        <v>0.15087557330314438</v>
      </c>
      <c r="K54" s="16"/>
      <c r="L54" s="21">
        <f>+D54-H54</f>
        <v>-8611.9899999999325</v>
      </c>
      <c r="M54" s="16"/>
      <c r="N54" s="22">
        <f>IF(H54=0,0,L54/H54)</f>
        <v>-0.20275995895824606</v>
      </c>
      <c r="O54" s="29"/>
      <c r="P54" s="21">
        <f>P12-P38</f>
        <v>210196.73999999929</v>
      </c>
      <c r="Q54" s="14"/>
      <c r="R54" s="22">
        <f>IF(P$12=0,0,P54/P$12)</f>
        <v>0.11687296993312223</v>
      </c>
      <c r="S54" s="14"/>
      <c r="T54" s="21">
        <f>T12-T38</f>
        <v>278208.12000000011</v>
      </c>
      <c r="U54" s="14"/>
      <c r="V54" s="22">
        <f>IF(T$12=0,0,T54/T$12)</f>
        <v>0.15255308673278173</v>
      </c>
      <c r="W54" s="16"/>
      <c r="X54" s="21">
        <f>+P54-T54</f>
        <v>-68011.38000000082</v>
      </c>
      <c r="Y54" s="16"/>
      <c r="Z54" s="22">
        <f>IF(T54=0,0,X54/T54)</f>
        <v>-0.24446223927612462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0">
        <f>SUM(OSRRefD22x_0)</f>
        <v>17632.02</v>
      </c>
      <c r="E56" s="20"/>
      <c r="F56" s="32">
        <f t="shared" ref="F56:F66" si="17">IF(D$12=0,0,D56/D$12)</f>
        <v>8.1962025110510525E-2</v>
      </c>
      <c r="G56" s="20"/>
      <c r="H56" s="20">
        <f>SUM(OSRRefH22x_0)</f>
        <v>33810.61</v>
      </c>
      <c r="I56" s="20"/>
      <c r="J56" s="32">
        <f t="shared" ref="J56:J66" si="18">IF(H$12=0,0,H56/H$12)</f>
        <v>0.12010210448410399</v>
      </c>
      <c r="K56" s="4"/>
      <c r="L56" s="20">
        <f t="shared" ref="L56:L66" si="19">+D56-H56</f>
        <v>-16178.59</v>
      </c>
      <c r="M56" s="4"/>
      <c r="N56" s="32">
        <f t="shared" ref="N56:N66" si="20">IF(H56=0,0,L56/H56)</f>
        <v>-0.47850630319890708</v>
      </c>
      <c r="O56" s="10"/>
      <c r="P56" s="20">
        <f>SUM(OSRRefP22x_0)</f>
        <v>146065.96</v>
      </c>
      <c r="Q56" s="20"/>
      <c r="R56" s="32">
        <f t="shared" ref="R56:R66" si="21">IF(P$12=0,0,P56/P$12)</f>
        <v>8.1215163238652938E-2</v>
      </c>
      <c r="S56" s="20"/>
      <c r="T56" s="20">
        <f>SUM(OSRRefT22x_0)</f>
        <v>204186.19999999995</v>
      </c>
      <c r="U56" s="20"/>
      <c r="V56" s="32">
        <f t="shared" ref="V56:V66" si="22">IF(T$12=0,0,T56/T$12)</f>
        <v>0.11196378839782641</v>
      </c>
      <c r="W56" s="4"/>
      <c r="X56" s="20">
        <f t="shared" ref="X56:X66" si="23">+P56-T56</f>
        <v>-58120.239999999962</v>
      </c>
      <c r="Y56" s="4"/>
      <c r="Z56" s="32">
        <f t="shared" ref="Z56:Z66" si="24">IF(T56=0,0,X56/T56)</f>
        <v>-0.28464333045034373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3177.6899999999996</v>
      </c>
      <c r="E57" s="1"/>
      <c r="F57" s="5">
        <f t="shared" si="17"/>
        <v>1.4771416296795157E-2</v>
      </c>
      <c r="G57" s="1"/>
      <c r="H57" s="1">
        <f>SUM(OSRRefH22_0x_0)</f>
        <v>2025.97</v>
      </c>
      <c r="I57" s="1"/>
      <c r="J57" s="5">
        <f t="shared" si="18"/>
        <v>7.1966539681378172E-3</v>
      </c>
      <c r="K57" s="1"/>
      <c r="L57" s="1">
        <f t="shared" si="19"/>
        <v>1151.7199999999996</v>
      </c>
      <c r="M57" s="1"/>
      <c r="N57" s="5">
        <f t="shared" si="20"/>
        <v>0.56847830915561415</v>
      </c>
      <c r="O57" s="13"/>
      <c r="P57" s="1">
        <f>SUM(OSRRefP22_0x_0)</f>
        <v>21398.9</v>
      </c>
      <c r="Q57" s="1"/>
      <c r="R57" s="5">
        <f t="shared" si="21"/>
        <v>1.1898153112659586E-2</v>
      </c>
      <c r="S57" s="1"/>
      <c r="T57" s="1">
        <f>SUM(OSRRefT22_0x_0)</f>
        <v>16564.48</v>
      </c>
      <c r="U57" s="1"/>
      <c r="V57" s="5">
        <f t="shared" si="22"/>
        <v>9.0829935306109225E-3</v>
      </c>
      <c r="W57" s="1"/>
      <c r="X57" s="1">
        <f t="shared" si="23"/>
        <v>4834.4200000000019</v>
      </c>
      <c r="Y57" s="1"/>
      <c r="Z57" s="5">
        <f t="shared" si="24"/>
        <v>0.29185461904025978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597.77</v>
      </c>
      <c r="E58" s="2"/>
      <c r="F58" s="7">
        <f t="shared" si="17"/>
        <v>2.7787196107031341E-3</v>
      </c>
      <c r="G58" s="2"/>
      <c r="H58" s="6">
        <v>263.69</v>
      </c>
      <c r="I58" s="2"/>
      <c r="J58" s="7">
        <f t="shared" si="18"/>
        <v>9.3668005195450131E-4</v>
      </c>
      <c r="K58" s="2"/>
      <c r="L58" s="6">
        <f t="shared" si="19"/>
        <v>334.08</v>
      </c>
      <c r="M58" s="2"/>
      <c r="N58" s="7">
        <f t="shared" si="20"/>
        <v>1.2669422427850885</v>
      </c>
      <c r="O58" s="11"/>
      <c r="P58" s="6">
        <v>4825.51</v>
      </c>
      <c r="Q58" s="2"/>
      <c r="R58" s="7">
        <f t="shared" si="21"/>
        <v>2.6830658036941131E-3</v>
      </c>
      <c r="S58" s="2"/>
      <c r="T58" s="6">
        <v>3537.54</v>
      </c>
      <c r="U58" s="2"/>
      <c r="V58" s="7">
        <f t="shared" si="22"/>
        <v>1.9397803573838336E-3</v>
      </c>
      <c r="W58" s="2"/>
      <c r="X58" s="6">
        <f t="shared" si="23"/>
        <v>1287.9700000000003</v>
      </c>
      <c r="Y58" s="2"/>
      <c r="Z58" s="7">
        <f t="shared" si="24"/>
        <v>0.36408634248658678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192.57</v>
      </c>
      <c r="E59" s="2"/>
      <c r="F59" s="7">
        <f t="shared" si="17"/>
        <v>8.9515705945949532E-4</v>
      </c>
      <c r="G59" s="2"/>
      <c r="H59" s="6">
        <v>81.2</v>
      </c>
      <c r="I59" s="2"/>
      <c r="J59" s="7">
        <f t="shared" si="18"/>
        <v>2.8843877363079947E-4</v>
      </c>
      <c r="K59" s="2"/>
      <c r="L59" s="6">
        <f t="shared" si="19"/>
        <v>111.36999999999999</v>
      </c>
      <c r="M59" s="2"/>
      <c r="N59" s="7">
        <f t="shared" si="20"/>
        <v>1.3715517241379309</v>
      </c>
      <c r="O59" s="11"/>
      <c r="P59" s="6">
        <v>1153.18</v>
      </c>
      <c r="Q59" s="2"/>
      <c r="R59" s="7">
        <f t="shared" si="21"/>
        <v>6.4118773425067555E-4</v>
      </c>
      <c r="S59" s="2"/>
      <c r="T59" s="6">
        <v>814.03</v>
      </c>
      <c r="U59" s="2"/>
      <c r="V59" s="7">
        <f t="shared" si="22"/>
        <v>4.4636651580509673E-4</v>
      </c>
      <c r="W59" s="2"/>
      <c r="X59" s="6">
        <f t="shared" si="23"/>
        <v>339.15000000000009</v>
      </c>
      <c r="Y59" s="2"/>
      <c r="Z59" s="7">
        <f t="shared" si="24"/>
        <v>0.4166308367013502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1376.77</v>
      </c>
      <c r="E60" s="2"/>
      <c r="F60" s="7">
        <f t="shared" si="17"/>
        <v>6.3998825608975922E-3</v>
      </c>
      <c r="G60" s="2"/>
      <c r="H60" s="6">
        <v>964.88</v>
      </c>
      <c r="I60" s="2"/>
      <c r="J60" s="7">
        <f t="shared" si="18"/>
        <v>3.4274483239025342E-3</v>
      </c>
      <c r="K60" s="2"/>
      <c r="L60" s="6">
        <f t="shared" si="19"/>
        <v>411.89</v>
      </c>
      <c r="M60" s="2"/>
      <c r="N60" s="7">
        <f t="shared" si="20"/>
        <v>0.42688209932841387</v>
      </c>
      <c r="O60" s="11"/>
      <c r="P60" s="6">
        <v>7811.59</v>
      </c>
      <c r="Q60" s="2"/>
      <c r="R60" s="7">
        <f t="shared" si="21"/>
        <v>4.3433771770194024E-3</v>
      </c>
      <c r="S60" s="2"/>
      <c r="T60" s="6">
        <v>6503.54</v>
      </c>
      <c r="U60" s="2"/>
      <c r="V60" s="7">
        <f t="shared" si="22"/>
        <v>3.5661615544870322E-3</v>
      </c>
      <c r="W60" s="2"/>
      <c r="X60" s="6">
        <f t="shared" si="23"/>
        <v>1308.0500000000002</v>
      </c>
      <c r="Y60" s="2"/>
      <c r="Z60" s="7">
        <f t="shared" si="24"/>
        <v>0.20112892363236026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26.35</v>
      </c>
      <c r="E61" s="2"/>
      <c r="F61" s="7">
        <f t="shared" si="17"/>
        <v>1.2248734754508856E-4</v>
      </c>
      <c r="G61" s="2"/>
      <c r="H61" s="6">
        <v>17.739999999999998</v>
      </c>
      <c r="I61" s="2"/>
      <c r="J61" s="7">
        <f t="shared" si="18"/>
        <v>6.3016057194709141E-5</v>
      </c>
      <c r="K61" s="2"/>
      <c r="L61" s="6">
        <f t="shared" si="19"/>
        <v>8.610000000000003</v>
      </c>
      <c r="M61" s="2"/>
      <c r="N61" s="7">
        <f t="shared" si="20"/>
        <v>0.48534385569334859</v>
      </c>
      <c r="O61" s="11"/>
      <c r="P61" s="6">
        <v>186.25</v>
      </c>
      <c r="Q61" s="2"/>
      <c r="R61" s="7">
        <f t="shared" si="21"/>
        <v>1.0355817435629157E-4</v>
      </c>
      <c r="S61" s="2"/>
      <c r="T61" s="6">
        <v>177.86</v>
      </c>
      <c r="U61" s="2"/>
      <c r="V61" s="7">
        <f t="shared" si="22"/>
        <v>9.7528037665804102E-5</v>
      </c>
      <c r="W61" s="2"/>
      <c r="X61" s="6">
        <f t="shared" si="23"/>
        <v>8.3899999999999864</v>
      </c>
      <c r="Y61" s="2"/>
      <c r="Z61" s="7">
        <f t="shared" si="24"/>
        <v>4.7171932980996208E-2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400.55</v>
      </c>
      <c r="E62" s="2"/>
      <c r="F62" s="7">
        <f t="shared" si="17"/>
        <v>1.8619471369709761E-3</v>
      </c>
      <c r="G62" s="2"/>
      <c r="H62" s="6">
        <v>261.63</v>
      </c>
      <c r="I62" s="2"/>
      <c r="J62" s="7">
        <f t="shared" si="18"/>
        <v>9.2936251656436028E-4</v>
      </c>
      <c r="K62" s="2"/>
      <c r="L62" s="6">
        <f t="shared" si="19"/>
        <v>138.92000000000002</v>
      </c>
      <c r="M62" s="2"/>
      <c r="N62" s="7">
        <f t="shared" si="20"/>
        <v>0.53097886328020494</v>
      </c>
      <c r="O62" s="11"/>
      <c r="P62" s="6">
        <v>1686.47</v>
      </c>
      <c r="Q62" s="2"/>
      <c r="R62" s="7">
        <f t="shared" si="21"/>
        <v>9.3770606339143659E-4</v>
      </c>
      <c r="S62" s="2"/>
      <c r="T62" s="6">
        <v>1392.82</v>
      </c>
      <c r="U62" s="2"/>
      <c r="V62" s="7">
        <f t="shared" si="22"/>
        <v>7.6374115271384945E-4</v>
      </c>
      <c r="W62" s="2"/>
      <c r="X62" s="6">
        <f t="shared" si="23"/>
        <v>293.65000000000009</v>
      </c>
      <c r="Y62" s="2"/>
      <c r="Z62" s="7">
        <f t="shared" si="24"/>
        <v>0.21083126319265957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163.13</v>
      </c>
      <c r="E63" s="2"/>
      <c r="F63" s="7">
        <f t="shared" si="17"/>
        <v>7.5830592049450833E-4</v>
      </c>
      <c r="G63" s="2"/>
      <c r="H63" s="6">
        <v>35.15</v>
      </c>
      <c r="I63" s="2"/>
      <c r="J63" s="7">
        <f t="shared" si="18"/>
        <v>1.2485988784633744E-4</v>
      </c>
      <c r="K63" s="2"/>
      <c r="L63" s="6">
        <f t="shared" si="19"/>
        <v>127.97999999999999</v>
      </c>
      <c r="M63" s="2"/>
      <c r="N63" s="7">
        <f t="shared" si="20"/>
        <v>3.6409672830725461</v>
      </c>
      <c r="O63" s="11"/>
      <c r="P63" s="6">
        <v>1195.3599999999999</v>
      </c>
      <c r="Q63" s="2"/>
      <c r="R63" s="7">
        <f t="shared" si="21"/>
        <v>6.6464053314650566E-4</v>
      </c>
      <c r="S63" s="2"/>
      <c r="T63" s="6">
        <v>847.41</v>
      </c>
      <c r="U63" s="2"/>
      <c r="V63" s="7">
        <f t="shared" si="22"/>
        <v>4.6467015854255618E-4</v>
      </c>
      <c r="W63" s="2"/>
      <c r="X63" s="6">
        <f t="shared" si="23"/>
        <v>347.94999999999993</v>
      </c>
      <c r="Y63" s="2"/>
      <c r="Z63" s="7">
        <f t="shared" si="24"/>
        <v>0.41060407594906828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67.989999999999995</v>
      </c>
      <c r="E64" s="2"/>
      <c r="F64" s="7">
        <f t="shared" si="17"/>
        <v>3.1604989599964215E-4</v>
      </c>
      <c r="G64" s="2"/>
      <c r="H64" s="6">
        <v>146.9</v>
      </c>
      <c r="I64" s="2"/>
      <c r="J64" s="7">
        <f t="shared" si="18"/>
        <v>5.2181842175325662E-4</v>
      </c>
      <c r="K64" s="2"/>
      <c r="L64" s="6">
        <f t="shared" si="19"/>
        <v>-78.910000000000011</v>
      </c>
      <c r="M64" s="2"/>
      <c r="N64" s="7">
        <f t="shared" si="20"/>
        <v>-0.53716814159292037</v>
      </c>
      <c r="O64" s="11"/>
      <c r="P64" s="6">
        <v>1599.08</v>
      </c>
      <c r="Q64" s="2"/>
      <c r="R64" s="7">
        <f t="shared" si="21"/>
        <v>8.8911573395789923E-4</v>
      </c>
      <c r="S64" s="2"/>
      <c r="T64" s="6">
        <v>1251.67</v>
      </c>
      <c r="U64" s="2"/>
      <c r="V64" s="7">
        <f t="shared" si="22"/>
        <v>6.8634273532641981E-4</v>
      </c>
      <c r="W64" s="2"/>
      <c r="X64" s="6">
        <f t="shared" si="23"/>
        <v>347.40999999999985</v>
      </c>
      <c r="Y64" s="2"/>
      <c r="Z64" s="7">
        <f t="shared" si="24"/>
        <v>0.27755718360270665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177.56</v>
      </c>
      <c r="E65" s="2"/>
      <c r="F65" s="7">
        <f t="shared" si="17"/>
        <v>8.2538343188257772E-4</v>
      </c>
      <c r="G65" s="2"/>
      <c r="H65" s="6">
        <v>117.58</v>
      </c>
      <c r="I65" s="2"/>
      <c r="J65" s="7">
        <f t="shared" si="18"/>
        <v>4.1766786950134726E-4</v>
      </c>
      <c r="K65" s="2"/>
      <c r="L65" s="6">
        <f t="shared" si="19"/>
        <v>59.980000000000004</v>
      </c>
      <c r="M65" s="2"/>
      <c r="N65" s="7">
        <f t="shared" si="20"/>
        <v>0.51012076883823787</v>
      </c>
      <c r="O65" s="11"/>
      <c r="P65" s="6">
        <v>1805.68</v>
      </c>
      <c r="Q65" s="2"/>
      <c r="R65" s="7">
        <f t="shared" si="21"/>
        <v>1.0039888551498983E-3</v>
      </c>
      <c r="S65" s="2"/>
      <c r="T65" s="6">
        <v>1049.92</v>
      </c>
      <c r="U65" s="2"/>
      <c r="V65" s="7">
        <f t="shared" si="22"/>
        <v>5.7571481674396181E-4</v>
      </c>
      <c r="W65" s="2"/>
      <c r="X65" s="6">
        <f t="shared" si="23"/>
        <v>755.76</v>
      </c>
      <c r="Y65" s="2"/>
      <c r="Z65" s="7">
        <f t="shared" si="24"/>
        <v>0.71982627247790298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175</v>
      </c>
      <c r="E66" s="2"/>
      <c r="F66" s="7">
        <f t="shared" si="17"/>
        <v>8.1348333284214408E-4</v>
      </c>
      <c r="G66" s="2"/>
      <c r="H66" s="6">
        <v>137.19999999999999</v>
      </c>
      <c r="I66" s="2"/>
      <c r="J66" s="7">
        <f t="shared" si="18"/>
        <v>4.8736206578997143E-4</v>
      </c>
      <c r="K66" s="2"/>
      <c r="L66" s="6">
        <f t="shared" si="19"/>
        <v>37.800000000000011</v>
      </c>
      <c r="M66" s="2"/>
      <c r="N66" s="7">
        <f t="shared" si="20"/>
        <v>0.27551020408163274</v>
      </c>
      <c r="O66" s="11"/>
      <c r="P66" s="6">
        <v>1135.78</v>
      </c>
      <c r="Q66" s="2"/>
      <c r="R66" s="7">
        <f t="shared" si="21"/>
        <v>6.3151303769336286E-4</v>
      </c>
      <c r="S66" s="2"/>
      <c r="T66" s="6">
        <v>989.69</v>
      </c>
      <c r="U66" s="2"/>
      <c r="V66" s="7">
        <f t="shared" si="22"/>
        <v>5.4268820194236847E-4</v>
      </c>
      <c r="W66" s="2"/>
      <c r="X66" s="6">
        <f t="shared" si="23"/>
        <v>146.08999999999992</v>
      </c>
      <c r="Y66" s="2"/>
      <c r="Z66" s="7">
        <f t="shared" si="24"/>
        <v>0.14761187846699461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12027.429999999998</v>
      </c>
      <c r="E67" s="1"/>
      <c r="F67" s="5">
        <f t="shared" ref="F67:F71" si="25">IF(D$12=0,0,D67/D$12)</f>
        <v>5.59092219538605E-2</v>
      </c>
      <c r="G67" s="1"/>
      <c r="H67" s="1">
        <f>SUM(OSRRefH22_1x_0)</f>
        <v>9074.43</v>
      </c>
      <c r="I67" s="1"/>
      <c r="J67" s="5">
        <f t="shared" ref="J67:J71" si="26">IF(H$12=0,0,H67/H$12)</f>
        <v>3.2234205179784918E-2</v>
      </c>
      <c r="K67" s="1"/>
      <c r="L67" s="1">
        <f t="shared" ref="L67:L71" si="27">+D67-H67</f>
        <v>2952.9999999999982</v>
      </c>
      <c r="M67" s="1"/>
      <c r="N67" s="5">
        <f t="shared" ref="N67:N71" si="28">IF(H67=0,0,L67/H67)</f>
        <v>0.32541988863212323</v>
      </c>
      <c r="O67" s="13"/>
      <c r="P67" s="1">
        <f>SUM(OSRRefP22_1x_0)</f>
        <v>69315.930000000008</v>
      </c>
      <c r="Q67" s="1"/>
      <c r="R67" s="5">
        <f t="shared" ref="R67:R71" si="29">IF(P$12=0,0,P67/P$12)</f>
        <v>3.854083846769666E-2</v>
      </c>
      <c r="S67" s="1"/>
      <c r="T67" s="1">
        <f>SUM(OSRRefT22_1x_0)</f>
        <v>62993.24</v>
      </c>
      <c r="U67" s="1"/>
      <c r="V67" s="5">
        <f t="shared" ref="V67:V71" si="30">IF(T$12=0,0,T67/T$12)</f>
        <v>3.4541814255094103E-2</v>
      </c>
      <c r="W67" s="1"/>
      <c r="X67" s="1">
        <f t="shared" ref="X67:X71" si="31">+P67-T67</f>
        <v>6322.6900000000096</v>
      </c>
      <c r="Y67" s="1"/>
      <c r="Z67" s="5">
        <f t="shared" ref="Z67:Z71" si="32">IF(T67=0,0,X67/T67)</f>
        <v>0.10037092869012627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4760.5600000000004</v>
      </c>
      <c r="E68" s="2"/>
      <c r="F68" s="7">
        <f t="shared" si="25"/>
        <v>2.2129349799971415E-2</v>
      </c>
      <c r="G68" s="2"/>
      <c r="H68" s="6">
        <v>2932.28</v>
      </c>
      <c r="I68" s="2"/>
      <c r="J68" s="7">
        <f t="shared" si="26"/>
        <v>1.0416049841651733E-2</v>
      </c>
      <c r="K68" s="2"/>
      <c r="L68" s="6">
        <f t="shared" si="27"/>
        <v>1828.2800000000002</v>
      </c>
      <c r="M68" s="2"/>
      <c r="N68" s="7">
        <f t="shared" si="28"/>
        <v>0.62350116632790864</v>
      </c>
      <c r="O68" s="11"/>
      <c r="P68" s="6">
        <v>23538.7</v>
      </c>
      <c r="Q68" s="2"/>
      <c r="R68" s="7">
        <f t="shared" si="29"/>
        <v>1.3087918382391628E-2</v>
      </c>
      <c r="S68" s="2"/>
      <c r="T68" s="6">
        <v>18482.400000000001</v>
      </c>
      <c r="U68" s="2"/>
      <c r="V68" s="7">
        <f t="shared" si="30"/>
        <v>1.0134668859521296E-2</v>
      </c>
      <c r="W68" s="2"/>
      <c r="X68" s="6">
        <f t="shared" si="31"/>
        <v>5056.2999999999993</v>
      </c>
      <c r="Y68" s="2"/>
      <c r="Z68" s="7">
        <f t="shared" si="32"/>
        <v>0.27357377829719076</v>
      </c>
    </row>
    <row r="69" spans="1:26" s="24" customFormat="1" hidden="1" outlineLevel="2" x14ac:dyDescent="0.25">
      <c r="A69" s="25"/>
      <c r="B69" s="11" t="str">
        <f>CONCATENATE("          ", "6005", " - ", "TEMPORARY WAGES-HOURLY")</f>
        <v xml:space="preserve">          6005 - TEMPORARY WAGES-HOURLY</v>
      </c>
      <c r="C69" s="11"/>
      <c r="D69" s="6">
        <v>3463.74</v>
      </c>
      <c r="E69" s="2"/>
      <c r="F69" s="7">
        <f t="shared" si="25"/>
        <v>1.6101112910277989E-2</v>
      </c>
      <c r="G69" s="2"/>
      <c r="H69" s="6">
        <v>897.65</v>
      </c>
      <c r="I69" s="2"/>
      <c r="J69" s="7">
        <f t="shared" si="26"/>
        <v>3.1886338072621566E-3</v>
      </c>
      <c r="K69" s="2"/>
      <c r="L69" s="6">
        <f t="shared" si="27"/>
        <v>2566.0899999999997</v>
      </c>
      <c r="M69" s="2"/>
      <c r="N69" s="7">
        <f t="shared" si="28"/>
        <v>2.858675430290202</v>
      </c>
      <c r="O69" s="11"/>
      <c r="P69" s="6">
        <v>23123.030000000002</v>
      </c>
      <c r="Q69" s="2"/>
      <c r="R69" s="7">
        <f t="shared" si="29"/>
        <v>1.2856798777910126E-2</v>
      </c>
      <c r="S69" s="2"/>
      <c r="T69" s="6">
        <v>15979.969999999998</v>
      </c>
      <c r="U69" s="2"/>
      <c r="V69" s="7">
        <f t="shared" si="30"/>
        <v>8.7624823797279837E-3</v>
      </c>
      <c r="W69" s="2"/>
      <c r="X69" s="6">
        <f t="shared" si="31"/>
        <v>7143.0600000000049</v>
      </c>
      <c r="Y69" s="2"/>
      <c r="Z69" s="7">
        <f t="shared" si="32"/>
        <v>0.44700083917554329</v>
      </c>
    </row>
    <row r="70" spans="1:26" s="24" customFormat="1" hidden="1" outlineLevel="2" x14ac:dyDescent="0.25">
      <c r="A70" s="25"/>
      <c r="B70" s="11" t="str">
        <f>CONCATENATE("          ", "6006", " - ", "TEMPORARY PART TIME")</f>
        <v xml:space="preserve">          6006 - TEMPORARY PART TIME</v>
      </c>
      <c r="C70" s="11"/>
      <c r="D70" s="6">
        <v>299.06</v>
      </c>
      <c r="E70" s="2"/>
      <c r="F70" s="7">
        <f t="shared" si="25"/>
        <v>1.3901732886844092E-3</v>
      </c>
      <c r="G70" s="2"/>
      <c r="H70" s="6"/>
      <c r="I70" s="2"/>
      <c r="J70" s="7">
        <f t="shared" si="26"/>
        <v>0</v>
      </c>
      <c r="K70" s="2"/>
      <c r="L70" s="6">
        <f t="shared" si="27"/>
        <v>299.06</v>
      </c>
      <c r="M70" s="2"/>
      <c r="N70" s="7">
        <f t="shared" si="28"/>
        <v>0</v>
      </c>
      <c r="O70" s="11"/>
      <c r="P70" s="6">
        <v>8541.2199999999993</v>
      </c>
      <c r="Q70" s="2"/>
      <c r="R70" s="7">
        <f t="shared" si="29"/>
        <v>4.7490638924856093E-3</v>
      </c>
      <c r="S70" s="2"/>
      <c r="T70" s="6"/>
      <c r="U70" s="2"/>
      <c r="V70" s="7">
        <f t="shared" si="30"/>
        <v>0</v>
      </c>
      <c r="W70" s="2"/>
      <c r="X70" s="6">
        <f t="shared" si="31"/>
        <v>8541.2199999999993</v>
      </c>
      <c r="Y70" s="2"/>
      <c r="Z70" s="7">
        <f t="shared" si="32"/>
        <v>0</v>
      </c>
    </row>
    <row r="71" spans="1:26" s="24" customFormat="1" hidden="1" outlineLevel="2" x14ac:dyDescent="0.25">
      <c r="A71" s="25"/>
      <c r="B71" s="11" t="str">
        <f>CONCATENATE("          ", "6007", " - ", "STUDENT HOURLY")</f>
        <v xml:space="preserve">          6007 - STUDENT HOURLY</v>
      </c>
      <c r="C71" s="11"/>
      <c r="D71" s="6">
        <v>3504.07</v>
      </c>
      <c r="E71" s="2"/>
      <c r="F71" s="7">
        <f t="shared" si="25"/>
        <v>1.6288585954926698E-2</v>
      </c>
      <c r="G71" s="2"/>
      <c r="H71" s="6">
        <v>5244.5</v>
      </c>
      <c r="I71" s="2"/>
      <c r="J71" s="7">
        <f t="shared" si="26"/>
        <v>1.8629521530871031E-2</v>
      </c>
      <c r="K71" s="2"/>
      <c r="L71" s="6">
        <f t="shared" si="27"/>
        <v>-1740.4299999999998</v>
      </c>
      <c r="M71" s="2"/>
      <c r="N71" s="7">
        <f t="shared" si="28"/>
        <v>-0.33185813709600531</v>
      </c>
      <c r="O71" s="11"/>
      <c r="P71" s="6">
        <v>14112.98</v>
      </c>
      <c r="Q71" s="2"/>
      <c r="R71" s="7">
        <f t="shared" si="29"/>
        <v>7.8470574149092937E-3</v>
      </c>
      <c r="S71" s="2"/>
      <c r="T71" s="6">
        <v>28530.870000000003</v>
      </c>
      <c r="U71" s="2"/>
      <c r="V71" s="7">
        <f t="shared" si="30"/>
        <v>1.5644663015844825E-2</v>
      </c>
      <c r="W71" s="2"/>
      <c r="X71" s="6">
        <f t="shared" si="31"/>
        <v>-14417.890000000003</v>
      </c>
      <c r="Y71" s="2"/>
      <c r="Z71" s="7">
        <f t="shared" si="32"/>
        <v>-0.50534351038016023</v>
      </c>
    </row>
    <row r="72" spans="1:26" s="26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140.44999999999999</v>
      </c>
      <c r="E72" s="1"/>
      <c r="F72" s="5">
        <f t="shared" ref="F72:F94" si="33">IF(D$12=0,0,D72/D$12)</f>
        <v>6.5287848055816647E-4</v>
      </c>
      <c r="G72" s="1"/>
      <c r="H72" s="1">
        <f>SUM(OSRRefH22_2x_0)</f>
        <v>1639.25</v>
      </c>
      <c r="I72" s="1"/>
      <c r="J72" s="5">
        <f t="shared" ref="J72:J94" si="34">IF(H$12=0,0,H72/H$12)</f>
        <v>5.8229465477129061E-3</v>
      </c>
      <c r="K72" s="1"/>
      <c r="L72" s="1">
        <f t="shared" ref="L72:L94" si="35">+D72-H72</f>
        <v>-1498.8</v>
      </c>
      <c r="M72" s="1"/>
      <c r="N72" s="5">
        <f t="shared" ref="N72:N94" si="36">IF(H72=0,0,L72/H72)</f>
        <v>-0.91432057343297235</v>
      </c>
      <c r="O72" s="13"/>
      <c r="P72" s="1">
        <f>SUM(OSRRefP22_2x_0)</f>
        <v>1648.83</v>
      </c>
      <c r="Q72" s="1"/>
      <c r="R72" s="5">
        <f t="shared" ref="R72:R94" si="37">IF(P$12=0,0,P72/P$12)</f>
        <v>9.1677758187320394E-4</v>
      </c>
      <c r="S72" s="1"/>
      <c r="T72" s="1">
        <f>SUM(OSRRefT22_2x_0)</f>
        <v>2986.14</v>
      </c>
      <c r="U72" s="1"/>
      <c r="V72" s="5">
        <f t="shared" ref="V72:V94" si="38">IF(T$12=0,0,T72/T$12)</f>
        <v>1.6374247970053089E-3</v>
      </c>
      <c r="W72" s="1"/>
      <c r="X72" s="1">
        <f t="shared" ref="X72:X94" si="39">+P72-T72</f>
        <v>-1337.31</v>
      </c>
      <c r="Y72" s="1"/>
      <c r="Z72" s="5">
        <f t="shared" ref="Z72:Z94" si="40">IF(T72=0,0,X72/T72)</f>
        <v>-0.44783901625509853</v>
      </c>
    </row>
    <row r="73" spans="1:26" s="24" customFormat="1" hidden="1" outlineLevel="2" x14ac:dyDescent="0.25">
      <c r="A73" s="25"/>
      <c r="B73" s="11" t="str">
        <f>CONCATENATE("          ", "6362", " - ", "ADVERTISING EXPENSE")</f>
        <v xml:space="preserve">          6362 - ADVERTISING EXPENSE</v>
      </c>
      <c r="C73" s="11"/>
      <c r="D73" s="6">
        <v>140.44999999999999</v>
      </c>
      <c r="E73" s="2"/>
      <c r="F73" s="7">
        <f t="shared" si="33"/>
        <v>6.5287848055816647E-4</v>
      </c>
      <c r="G73" s="2"/>
      <c r="H73" s="6">
        <v>1639.25</v>
      </c>
      <c r="I73" s="2"/>
      <c r="J73" s="7">
        <f t="shared" si="34"/>
        <v>5.8229465477129061E-3</v>
      </c>
      <c r="K73" s="2"/>
      <c r="L73" s="6">
        <f t="shared" si="35"/>
        <v>-1498.8</v>
      </c>
      <c r="M73" s="2"/>
      <c r="N73" s="7">
        <f t="shared" si="36"/>
        <v>-0.91432057343297235</v>
      </c>
      <c r="O73" s="11"/>
      <c r="P73" s="6">
        <v>1648.83</v>
      </c>
      <c r="Q73" s="2"/>
      <c r="R73" s="7">
        <f t="shared" si="37"/>
        <v>9.1677758187320394E-4</v>
      </c>
      <c r="S73" s="2"/>
      <c r="T73" s="6">
        <v>2986.14</v>
      </c>
      <c r="U73" s="2"/>
      <c r="V73" s="7">
        <f t="shared" si="38"/>
        <v>1.6374247970053089E-3</v>
      </c>
      <c r="W73" s="2"/>
      <c r="X73" s="6">
        <f t="shared" si="39"/>
        <v>-1337.31</v>
      </c>
      <c r="Y73" s="2"/>
      <c r="Z73" s="7">
        <f t="shared" si="40"/>
        <v>-0.44783901625509853</v>
      </c>
    </row>
    <row r="74" spans="1:26" s="26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3"/>
        <v>1.303618662070005E-3</v>
      </c>
      <c r="G74" s="1"/>
      <c r="H74" s="1">
        <f>SUM(OSRRefH22_3x_0)</f>
        <v>280.44</v>
      </c>
      <c r="I74" s="1"/>
      <c r="J74" s="5">
        <f t="shared" si="34"/>
        <v>9.9617942951996802E-4</v>
      </c>
      <c r="K74" s="1"/>
      <c r="L74" s="1">
        <f t="shared" si="35"/>
        <v>0</v>
      </c>
      <c r="M74" s="1"/>
      <c r="N74" s="5">
        <f t="shared" si="36"/>
        <v>0</v>
      </c>
      <c r="O74" s="13"/>
      <c r="P74" s="1">
        <f>SUM(OSRRefP22_3x_0)</f>
        <v>1963.08</v>
      </c>
      <c r="Q74" s="1"/>
      <c r="R74" s="5">
        <f t="shared" si="37"/>
        <v>1.0915059378005308E-3</v>
      </c>
      <c r="S74" s="1"/>
      <c r="T74" s="1">
        <f>SUM(OSRRefT22_3x_0)</f>
        <v>1963.08</v>
      </c>
      <c r="U74" s="1"/>
      <c r="V74" s="5">
        <f t="shared" si="38"/>
        <v>1.0764384357415198E-3</v>
      </c>
      <c r="W74" s="1"/>
      <c r="X74" s="1">
        <f t="shared" si="39"/>
        <v>0</v>
      </c>
      <c r="Y74" s="1"/>
      <c r="Z74" s="5">
        <f t="shared" si="40"/>
        <v>0</v>
      </c>
    </row>
    <row r="75" spans="1:26" s="24" customFormat="1" hidden="1" outlineLevel="2" x14ac:dyDescent="0.25">
      <c r="A75" s="25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3"/>
        <v>1.303618662070005E-3</v>
      </c>
      <c r="G75" s="2"/>
      <c r="H75" s="6">
        <v>280.44</v>
      </c>
      <c r="I75" s="2"/>
      <c r="J75" s="7">
        <f t="shared" si="34"/>
        <v>9.9617942951996802E-4</v>
      </c>
      <c r="K75" s="2"/>
      <c r="L75" s="6">
        <f t="shared" si="35"/>
        <v>0</v>
      </c>
      <c r="M75" s="2"/>
      <c r="N75" s="7">
        <f t="shared" si="36"/>
        <v>0</v>
      </c>
      <c r="O75" s="11"/>
      <c r="P75" s="6">
        <v>1963.08</v>
      </c>
      <c r="Q75" s="2"/>
      <c r="R75" s="7">
        <f t="shared" si="37"/>
        <v>1.0915059378005308E-3</v>
      </c>
      <c r="S75" s="2"/>
      <c r="T75" s="6">
        <v>1963.08</v>
      </c>
      <c r="U75" s="2"/>
      <c r="V75" s="7">
        <f t="shared" si="38"/>
        <v>1.0764384357415198E-3</v>
      </c>
      <c r="W75" s="2"/>
      <c r="X75" s="6">
        <f t="shared" si="39"/>
        <v>0</v>
      </c>
      <c r="Y75" s="2"/>
      <c r="Z75" s="7">
        <f t="shared" si="40"/>
        <v>0</v>
      </c>
    </row>
    <row r="76" spans="1:26" s="26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1440.51</v>
      </c>
      <c r="E76" s="1"/>
      <c r="F76" s="5">
        <f t="shared" si="33"/>
        <v>6.6961764330996402E-3</v>
      </c>
      <c r="G76" s="1"/>
      <c r="H76" s="1">
        <f>SUM(OSRRefH22_4x_0)</f>
        <v>35.68</v>
      </c>
      <c r="I76" s="1"/>
      <c r="J76" s="5">
        <f t="shared" si="34"/>
        <v>1.2674255471855817E-4</v>
      </c>
      <c r="K76" s="1"/>
      <c r="L76" s="1">
        <f t="shared" si="35"/>
        <v>1404.83</v>
      </c>
      <c r="M76" s="1"/>
      <c r="N76" s="5">
        <f t="shared" si="36"/>
        <v>39.373038116591928</v>
      </c>
      <c r="O76" s="13"/>
      <c r="P76" s="1">
        <f>SUM(OSRRefP22_4x_0)</f>
        <v>50711.17</v>
      </c>
      <c r="Q76" s="1"/>
      <c r="R76" s="5">
        <f t="shared" si="37"/>
        <v>2.8196274817028417E-2</v>
      </c>
      <c r="S76" s="1"/>
      <c r="T76" s="1">
        <f>SUM(OSRRefT22_4x_0)</f>
        <v>87184.81</v>
      </c>
      <c r="U76" s="1"/>
      <c r="V76" s="5">
        <f t="shared" si="38"/>
        <v>4.7807058549229585E-2</v>
      </c>
      <c r="W76" s="1"/>
      <c r="X76" s="1">
        <f t="shared" si="39"/>
        <v>-36473.64</v>
      </c>
      <c r="Y76" s="1"/>
      <c r="Z76" s="5">
        <f t="shared" si="40"/>
        <v>-0.41834856324169312</v>
      </c>
    </row>
    <row r="77" spans="1:26" s="24" customFormat="1" hidden="1" outlineLevel="2" x14ac:dyDescent="0.25">
      <c r="A77" s="25"/>
      <c r="B77" s="11" t="str">
        <f>CONCATENATE("          ", "6382", " - ", "DISCOUNTS/MARK DOWNS")</f>
        <v xml:space="preserve">          6382 - DISCOUNTS/MARK DOWNS</v>
      </c>
      <c r="C77" s="11"/>
      <c r="D77" s="6">
        <v>1440.51</v>
      </c>
      <c r="E77" s="2"/>
      <c r="F77" s="7">
        <f t="shared" si="33"/>
        <v>6.6961764330996402E-3</v>
      </c>
      <c r="G77" s="2"/>
      <c r="H77" s="6">
        <v>35.68</v>
      </c>
      <c r="I77" s="2"/>
      <c r="J77" s="7">
        <f t="shared" si="34"/>
        <v>1.2674255471855817E-4</v>
      </c>
      <c r="K77" s="2"/>
      <c r="L77" s="6">
        <f t="shared" si="35"/>
        <v>1404.83</v>
      </c>
      <c r="M77" s="2"/>
      <c r="N77" s="7">
        <f t="shared" si="36"/>
        <v>39.373038116591928</v>
      </c>
      <c r="O77" s="11"/>
      <c r="P77" s="6">
        <v>50711.17</v>
      </c>
      <c r="Q77" s="2"/>
      <c r="R77" s="7">
        <f t="shared" si="37"/>
        <v>2.8196274817028417E-2</v>
      </c>
      <c r="S77" s="2"/>
      <c r="T77" s="6">
        <v>87184.81</v>
      </c>
      <c r="U77" s="2"/>
      <c r="V77" s="7">
        <f t="shared" si="38"/>
        <v>4.7807058549229585E-2</v>
      </c>
      <c r="W77" s="2"/>
      <c r="X77" s="6">
        <f t="shared" si="39"/>
        <v>-36473.64</v>
      </c>
      <c r="Y77" s="2"/>
      <c r="Z77" s="7">
        <f t="shared" si="40"/>
        <v>-0.41834856324169312</v>
      </c>
    </row>
    <row r="78" spans="1:26" s="26" customFormat="1" outlineLevel="1" collapsed="1" x14ac:dyDescent="0.25">
      <c r="A78" s="27"/>
      <c r="B78" s="13" t="str">
        <f>CONCATENATE("     ","Donations                                         ")</f>
        <v xml:space="preserve">     Donations                                         </v>
      </c>
      <c r="C78" s="13"/>
      <c r="D78" s="1">
        <f>SUM(OSRRefD22_5x_0)</f>
        <v>0</v>
      </c>
      <c r="E78" s="1"/>
      <c r="F78" s="5">
        <f t="shared" si="33"/>
        <v>0</v>
      </c>
      <c r="G78" s="1"/>
      <c r="H78" s="1">
        <f>SUM(OSRRefH22_5x_0)</f>
        <v>19137.419999999998</v>
      </c>
      <c r="I78" s="1"/>
      <c r="J78" s="5">
        <f t="shared" si="34"/>
        <v>6.7979974818442535E-2</v>
      </c>
      <c r="K78" s="1"/>
      <c r="L78" s="1">
        <f t="shared" si="35"/>
        <v>-19137.419999999998</v>
      </c>
      <c r="M78" s="1"/>
      <c r="N78" s="5">
        <f t="shared" si="36"/>
        <v>-1</v>
      </c>
      <c r="O78" s="13"/>
      <c r="P78" s="1">
        <f>SUM(OSRRefP22_5x_0)</f>
        <v>0</v>
      </c>
      <c r="Q78" s="1"/>
      <c r="R78" s="5">
        <f t="shared" si="37"/>
        <v>0</v>
      </c>
      <c r="S78" s="1"/>
      <c r="T78" s="1">
        <f>SUM(OSRRefT22_5x_0)</f>
        <v>19137.419999999998</v>
      </c>
      <c r="U78" s="1"/>
      <c r="V78" s="5">
        <f t="shared" si="38"/>
        <v>1.0493843576893694E-2</v>
      </c>
      <c r="W78" s="1"/>
      <c r="X78" s="1">
        <f t="shared" si="39"/>
        <v>-19137.419999999998</v>
      </c>
      <c r="Y78" s="1"/>
      <c r="Z78" s="5">
        <f t="shared" si="40"/>
        <v>-1</v>
      </c>
    </row>
    <row r="79" spans="1:26" s="24" customFormat="1" hidden="1" outlineLevel="2" x14ac:dyDescent="0.25">
      <c r="A79" s="25"/>
      <c r="B79" s="11" t="str">
        <f>CONCATENATE("          ", "6399", " - ", "DONATION-ON CAMPUS")</f>
        <v xml:space="preserve">          6399 - DONATION-ON CAMPUS</v>
      </c>
      <c r="C79" s="11"/>
      <c r="D79" s="6"/>
      <c r="E79" s="2"/>
      <c r="F79" s="7">
        <f t="shared" si="33"/>
        <v>0</v>
      </c>
      <c r="G79" s="2"/>
      <c r="H79" s="6">
        <v>19137.419999999998</v>
      </c>
      <c r="I79" s="2"/>
      <c r="J79" s="7">
        <f t="shared" si="34"/>
        <v>6.7979974818442535E-2</v>
      </c>
      <c r="K79" s="2"/>
      <c r="L79" s="6">
        <f t="shared" si="35"/>
        <v>-19137.419999999998</v>
      </c>
      <c r="M79" s="2"/>
      <c r="N79" s="7">
        <f t="shared" si="36"/>
        <v>-1</v>
      </c>
      <c r="O79" s="11"/>
      <c r="P79" s="6"/>
      <c r="Q79" s="2"/>
      <c r="R79" s="7">
        <f t="shared" si="37"/>
        <v>0</v>
      </c>
      <c r="S79" s="2"/>
      <c r="T79" s="6">
        <v>19137.419999999998</v>
      </c>
      <c r="U79" s="2"/>
      <c r="V79" s="7">
        <f t="shared" si="38"/>
        <v>1.0493843576893694E-2</v>
      </c>
      <c r="W79" s="2"/>
      <c r="X79" s="6">
        <f t="shared" si="39"/>
        <v>-19137.419999999998</v>
      </c>
      <c r="Y79" s="2"/>
      <c r="Z79" s="7">
        <f t="shared" si="40"/>
        <v>-1</v>
      </c>
    </row>
    <row r="80" spans="1:26" s="26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SUM(OSRRefD22_6x_0)</f>
        <v>0</v>
      </c>
      <c r="E80" s="1"/>
      <c r="F80" s="5">
        <f t="shared" si="33"/>
        <v>0</v>
      </c>
      <c r="G80" s="1"/>
      <c r="H80" s="1">
        <f>SUM(OSRRefH22_6x_0)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3"/>
      <c r="P80" s="1">
        <f>SUM(OSRRefP22_6x_0)</f>
        <v>0</v>
      </c>
      <c r="Q80" s="1"/>
      <c r="R80" s="5">
        <f t="shared" si="37"/>
        <v>0</v>
      </c>
      <c r="S80" s="1"/>
      <c r="T80" s="1">
        <f>SUM(OSRRefT22_6x_0)</f>
        <v>181.84</v>
      </c>
      <c r="U80" s="1"/>
      <c r="V80" s="5">
        <f t="shared" si="38"/>
        <v>9.9710437249239954E-5</v>
      </c>
      <c r="W80" s="1"/>
      <c r="X80" s="1">
        <f t="shared" si="39"/>
        <v>-181.84</v>
      </c>
      <c r="Y80" s="1"/>
      <c r="Z80" s="5">
        <f t="shared" si="40"/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/>
      <c r="Q81" s="2"/>
      <c r="R81" s="7">
        <f t="shared" si="37"/>
        <v>0</v>
      </c>
      <c r="S81" s="2"/>
      <c r="T81" s="6">
        <v>181.84</v>
      </c>
      <c r="U81" s="2"/>
      <c r="V81" s="7">
        <f t="shared" si="38"/>
        <v>9.9710437249239954E-5</v>
      </c>
      <c r="W81" s="2"/>
      <c r="X81" s="6">
        <f t="shared" si="39"/>
        <v>-181.84</v>
      </c>
      <c r="Y81" s="2"/>
      <c r="Z81" s="7">
        <f t="shared" si="40"/>
        <v>-1</v>
      </c>
    </row>
    <row r="82" spans="1:26" s="26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SUM(OSRRefD22_7x_0)</f>
        <v>0</v>
      </c>
      <c r="E82" s="1"/>
      <c r="F82" s="5">
        <f t="shared" si="33"/>
        <v>0</v>
      </c>
      <c r="G82" s="1"/>
      <c r="H82" s="1">
        <f>SUM(OSRRefH22_7x_0)</f>
        <v>19.38</v>
      </c>
      <c r="I82" s="1"/>
      <c r="J82" s="5">
        <f t="shared" si="34"/>
        <v>6.8841667893656316E-5</v>
      </c>
      <c r="K82" s="1"/>
      <c r="L82" s="1">
        <f t="shared" si="35"/>
        <v>-19.38</v>
      </c>
      <c r="M82" s="1"/>
      <c r="N82" s="5">
        <f t="shared" si="36"/>
        <v>-1</v>
      </c>
      <c r="O82" s="13"/>
      <c r="P82" s="1">
        <f>SUM(OSRRefP22_7x_0)</f>
        <v>41.61</v>
      </c>
      <c r="Q82" s="1"/>
      <c r="R82" s="5">
        <f t="shared" si="37"/>
        <v>2.3135869181021703E-5</v>
      </c>
      <c r="S82" s="1"/>
      <c r="T82" s="1">
        <f>SUM(OSRRefT22_7x_0)</f>
        <v>91.34</v>
      </c>
      <c r="U82" s="1"/>
      <c r="V82" s="5">
        <f t="shared" si="38"/>
        <v>5.0085522098248883E-5</v>
      </c>
      <c r="W82" s="1"/>
      <c r="X82" s="1">
        <f t="shared" si="39"/>
        <v>-49.730000000000004</v>
      </c>
      <c r="Y82" s="1"/>
      <c r="Z82" s="5">
        <f t="shared" si="40"/>
        <v>-0.54444931026932342</v>
      </c>
    </row>
    <row r="83" spans="1:26" s="24" customFormat="1" hidden="1" outlineLevel="2" x14ac:dyDescent="0.25">
      <c r="A83" s="25"/>
      <c r="B83" s="11" t="str">
        <f>CONCATENATE("          ", "6305", " - ", "FREIGHT OUT")</f>
        <v xml:space="preserve">          6305 - FREIGHT OUT</v>
      </c>
      <c r="C83" s="11"/>
      <c r="D83" s="6"/>
      <c r="E83" s="2"/>
      <c r="F83" s="7">
        <f t="shared" si="33"/>
        <v>0</v>
      </c>
      <c r="G83" s="2"/>
      <c r="H83" s="6">
        <v>19.38</v>
      </c>
      <c r="I83" s="2"/>
      <c r="J83" s="7">
        <f t="shared" si="34"/>
        <v>6.8841667893656316E-5</v>
      </c>
      <c r="K83" s="2"/>
      <c r="L83" s="6">
        <f t="shared" si="35"/>
        <v>-19.38</v>
      </c>
      <c r="M83" s="2"/>
      <c r="N83" s="7">
        <f t="shared" si="36"/>
        <v>-1</v>
      </c>
      <c r="O83" s="11"/>
      <c r="P83" s="6">
        <v>41.61</v>
      </c>
      <c r="Q83" s="2"/>
      <c r="R83" s="7">
        <f t="shared" si="37"/>
        <v>2.3135869181021703E-5</v>
      </c>
      <c r="S83" s="2"/>
      <c r="T83" s="6">
        <v>91.34</v>
      </c>
      <c r="U83" s="2"/>
      <c r="V83" s="7">
        <f t="shared" si="38"/>
        <v>5.0085522098248883E-5</v>
      </c>
      <c r="W83" s="2"/>
      <c r="X83" s="6">
        <f t="shared" si="39"/>
        <v>-49.730000000000004</v>
      </c>
      <c r="Y83" s="2"/>
      <c r="Z83" s="7">
        <f t="shared" si="40"/>
        <v>-0.54444931026932342</v>
      </c>
    </row>
    <row r="84" spans="1:26" s="26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33"/>
        <v>0</v>
      </c>
      <c r="G84" s="1"/>
      <c r="H84" s="1">
        <f>SUM(OSRRefH22_8x_0)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3"/>
      <c r="P84" s="1">
        <f>SUM(OSRRefP22_8x_0)</f>
        <v>0</v>
      </c>
      <c r="Q84" s="1"/>
      <c r="R84" s="5">
        <f t="shared" si="37"/>
        <v>0</v>
      </c>
      <c r="S84" s="1"/>
      <c r="T84" s="1">
        <f>SUM(OSRRefT22_8x_0)</f>
        <v>312.39</v>
      </c>
      <c r="U84" s="1"/>
      <c r="V84" s="5">
        <f t="shared" si="38"/>
        <v>1.7129643363555908E-4</v>
      </c>
      <c r="W84" s="1"/>
      <c r="X84" s="1">
        <f t="shared" si="39"/>
        <v>-312.39</v>
      </c>
      <c r="Y84" s="1"/>
      <c r="Z84" s="5">
        <f t="shared" si="40"/>
        <v>-1</v>
      </c>
    </row>
    <row r="85" spans="1:26" s="24" customFormat="1" hidden="1" outlineLevel="2" x14ac:dyDescent="0.25">
      <c r="A85" s="25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1"/>
      <c r="P85" s="6"/>
      <c r="Q85" s="2"/>
      <c r="R85" s="7">
        <f t="shared" si="37"/>
        <v>0</v>
      </c>
      <c r="S85" s="2"/>
      <c r="T85" s="6">
        <v>312.39</v>
      </c>
      <c r="U85" s="2"/>
      <c r="V85" s="7">
        <f t="shared" si="38"/>
        <v>1.7129643363555908E-4</v>
      </c>
      <c r="W85" s="2"/>
      <c r="X85" s="6">
        <f t="shared" si="39"/>
        <v>-312.39</v>
      </c>
      <c r="Y85" s="2"/>
      <c r="Z85" s="7">
        <f t="shared" si="40"/>
        <v>-1</v>
      </c>
    </row>
    <row r="86" spans="1:26" s="26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SUM(OSRRefD22_9x_0)</f>
        <v>0</v>
      </c>
      <c r="E86" s="1"/>
      <c r="F86" s="5">
        <f t="shared" si="33"/>
        <v>0</v>
      </c>
      <c r="G86" s="1"/>
      <c r="H86" s="1">
        <f>SUM(OSRRefH22_9x_0)</f>
        <v>1250</v>
      </c>
      <c r="I86" s="1"/>
      <c r="J86" s="5">
        <f t="shared" si="34"/>
        <v>4.440252057124376E-3</v>
      </c>
      <c r="K86" s="1"/>
      <c r="L86" s="1">
        <f t="shared" si="35"/>
        <v>-1250</v>
      </c>
      <c r="M86" s="1"/>
      <c r="N86" s="5">
        <f t="shared" si="36"/>
        <v>-1</v>
      </c>
      <c r="O86" s="13"/>
      <c r="P86" s="1">
        <f>SUM(OSRRefP22_9x_0)</f>
        <v>0</v>
      </c>
      <c r="Q86" s="1"/>
      <c r="R86" s="5">
        <f t="shared" si="37"/>
        <v>0</v>
      </c>
      <c r="S86" s="1"/>
      <c r="T86" s="1">
        <f>SUM(OSRRefT22_9x_0)</f>
        <v>8750</v>
      </c>
      <c r="U86" s="1"/>
      <c r="V86" s="5">
        <f t="shared" si="38"/>
        <v>4.7979890339355999E-3</v>
      </c>
      <c r="W86" s="1"/>
      <c r="X86" s="1">
        <f t="shared" si="39"/>
        <v>-8750</v>
      </c>
      <c r="Y86" s="1"/>
      <c r="Z86" s="5">
        <f t="shared" si="40"/>
        <v>-1</v>
      </c>
    </row>
    <row r="87" spans="1:26" s="24" customFormat="1" hidden="1" outlineLevel="2" x14ac:dyDescent="0.25">
      <c r="A87" s="25"/>
      <c r="B87" s="11" t="str">
        <f>CONCATENATE("          ", "6408", " - ", "INVENTORY ADJUSTMENT")</f>
        <v xml:space="preserve">          6408 - INVENTORY ADJUSTMENT</v>
      </c>
      <c r="C87" s="11"/>
      <c r="D87" s="6"/>
      <c r="E87" s="2"/>
      <c r="F87" s="7">
        <f t="shared" si="33"/>
        <v>0</v>
      </c>
      <c r="G87" s="2"/>
      <c r="H87" s="6">
        <v>1250</v>
      </c>
      <c r="I87" s="2"/>
      <c r="J87" s="7">
        <f t="shared" si="34"/>
        <v>4.440252057124376E-3</v>
      </c>
      <c r="K87" s="2"/>
      <c r="L87" s="6">
        <f t="shared" si="35"/>
        <v>-1250</v>
      </c>
      <c r="M87" s="2"/>
      <c r="N87" s="7">
        <f t="shared" si="36"/>
        <v>-1</v>
      </c>
      <c r="O87" s="11"/>
      <c r="P87" s="6"/>
      <c r="Q87" s="2"/>
      <c r="R87" s="7">
        <f t="shared" si="37"/>
        <v>0</v>
      </c>
      <c r="S87" s="2"/>
      <c r="T87" s="6">
        <v>8750</v>
      </c>
      <c r="U87" s="2"/>
      <c r="V87" s="7">
        <f t="shared" si="38"/>
        <v>4.7979890339355999E-3</v>
      </c>
      <c r="W87" s="2"/>
      <c r="X87" s="6">
        <f t="shared" si="39"/>
        <v>-8750</v>
      </c>
      <c r="Y87" s="2"/>
      <c r="Z87" s="7">
        <f t="shared" si="40"/>
        <v>-1</v>
      </c>
    </row>
    <row r="88" spans="1:26" s="26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SUM(OSRRefD22_10x_0)</f>
        <v>0</v>
      </c>
      <c r="E88" s="1"/>
      <c r="F88" s="5">
        <f t="shared" si="33"/>
        <v>0</v>
      </c>
      <c r="G88" s="1"/>
      <c r="H88" s="1">
        <f>SUM(OSRRefH22_10x_0)</f>
        <v>0</v>
      </c>
      <c r="I88" s="1"/>
      <c r="J88" s="5">
        <f t="shared" si="34"/>
        <v>0</v>
      </c>
      <c r="K88" s="1"/>
      <c r="L88" s="1">
        <f t="shared" si="35"/>
        <v>0</v>
      </c>
      <c r="M88" s="1"/>
      <c r="N88" s="5">
        <f t="shared" si="36"/>
        <v>0</v>
      </c>
      <c r="O88" s="13"/>
      <c r="P88" s="1">
        <f>SUM(OSRRefP22_10x_0)</f>
        <v>197.18</v>
      </c>
      <c r="Q88" s="1"/>
      <c r="R88" s="5">
        <f t="shared" si="37"/>
        <v>1.0963544064200577E-4</v>
      </c>
      <c r="S88" s="1"/>
      <c r="T88" s="1">
        <f>SUM(OSRRefT22_10x_0)</f>
        <v>0</v>
      </c>
      <c r="U88" s="1"/>
      <c r="V88" s="5">
        <f t="shared" si="38"/>
        <v>0</v>
      </c>
      <c r="W88" s="1"/>
      <c r="X88" s="1">
        <f t="shared" si="39"/>
        <v>197.18</v>
      </c>
      <c r="Y88" s="1"/>
      <c r="Z88" s="5">
        <f t="shared" si="40"/>
        <v>0</v>
      </c>
    </row>
    <row r="89" spans="1:26" s="24" customFormat="1" hidden="1" outlineLevel="2" x14ac:dyDescent="0.25">
      <c r="A89" s="25"/>
      <c r="B89" s="11" t="str">
        <f>CONCATENATE("          ", "6375", " - ", "OUTSIDE REPAIRS &amp; MAINTENANCE")</f>
        <v xml:space="preserve">          6375 - OUTSIDE REPAIRS &amp; MAINTENANCE</v>
      </c>
      <c r="C89" s="11"/>
      <c r="D89" s="6"/>
      <c r="E89" s="2"/>
      <c r="F89" s="7">
        <f t="shared" si="33"/>
        <v>0</v>
      </c>
      <c r="G89" s="2"/>
      <c r="H89" s="6"/>
      <c r="I89" s="2"/>
      <c r="J89" s="7">
        <f t="shared" si="34"/>
        <v>0</v>
      </c>
      <c r="K89" s="2"/>
      <c r="L89" s="6">
        <f t="shared" si="35"/>
        <v>0</v>
      </c>
      <c r="M89" s="2"/>
      <c r="N89" s="7">
        <f t="shared" si="36"/>
        <v>0</v>
      </c>
      <c r="O89" s="11"/>
      <c r="P89" s="6">
        <v>197.18</v>
      </c>
      <c r="Q89" s="2"/>
      <c r="R89" s="7">
        <f t="shared" si="37"/>
        <v>1.0963544064200577E-4</v>
      </c>
      <c r="S89" s="2"/>
      <c r="T89" s="6"/>
      <c r="U89" s="2"/>
      <c r="V89" s="7">
        <f t="shared" si="38"/>
        <v>0</v>
      </c>
      <c r="W89" s="2"/>
      <c r="X89" s="6">
        <f t="shared" si="39"/>
        <v>197.18</v>
      </c>
      <c r="Y89" s="2"/>
      <c r="Z89" s="7">
        <f t="shared" si="40"/>
        <v>0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SUM(OSRRefD22_11x_0)</f>
        <v>0</v>
      </c>
      <c r="E90" s="1"/>
      <c r="F90" s="5">
        <f t="shared" si="33"/>
        <v>0</v>
      </c>
      <c r="G90" s="1"/>
      <c r="H90" s="1">
        <f>SUM(OSRRefH22_11x_0)</f>
        <v>0</v>
      </c>
      <c r="I90" s="1"/>
      <c r="J90" s="5">
        <f t="shared" si="34"/>
        <v>0</v>
      </c>
      <c r="K90" s="1"/>
      <c r="L90" s="1">
        <f t="shared" si="35"/>
        <v>0</v>
      </c>
      <c r="M90" s="1"/>
      <c r="N90" s="5">
        <f t="shared" si="36"/>
        <v>0</v>
      </c>
      <c r="O90" s="13"/>
      <c r="P90" s="1">
        <f>SUM(OSRRefP22_11x_0)</f>
        <v>-5000</v>
      </c>
      <c r="Q90" s="1"/>
      <c r="R90" s="5">
        <f t="shared" si="37"/>
        <v>-2.7800852176185658E-3</v>
      </c>
      <c r="S90" s="1"/>
      <c r="T90" s="1">
        <f>SUM(OSRRefT22_11x_0)</f>
        <v>258.74</v>
      </c>
      <c r="U90" s="1"/>
      <c r="V90" s="5">
        <f t="shared" si="38"/>
        <v>1.4187790658748539E-4</v>
      </c>
      <c r="W90" s="1"/>
      <c r="X90" s="1">
        <f t="shared" si="39"/>
        <v>-5258.74</v>
      </c>
      <c r="Y90" s="1"/>
      <c r="Z90" s="5">
        <f t="shared" si="40"/>
        <v>-20.324418335008115</v>
      </c>
    </row>
    <row r="91" spans="1:26" s="24" customFormat="1" hidden="1" outlineLevel="2" x14ac:dyDescent="0.25">
      <c r="A91" s="25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33"/>
        <v>0</v>
      </c>
      <c r="G91" s="2"/>
      <c r="H91" s="6"/>
      <c r="I91" s="2"/>
      <c r="J91" s="7">
        <f t="shared" si="34"/>
        <v>0</v>
      </c>
      <c r="K91" s="2"/>
      <c r="L91" s="6">
        <f t="shared" si="35"/>
        <v>0</v>
      </c>
      <c r="M91" s="2"/>
      <c r="N91" s="7">
        <f t="shared" si="36"/>
        <v>0</v>
      </c>
      <c r="O91" s="11"/>
      <c r="P91" s="6">
        <v>-5000</v>
      </c>
      <c r="Q91" s="2"/>
      <c r="R91" s="7">
        <f t="shared" si="37"/>
        <v>-2.7800852176185658E-3</v>
      </c>
      <c r="S91" s="2"/>
      <c r="T91" s="6">
        <v>258.74</v>
      </c>
      <c r="U91" s="2"/>
      <c r="V91" s="7">
        <f t="shared" si="38"/>
        <v>1.4187790658748539E-4</v>
      </c>
      <c r="W91" s="2"/>
      <c r="X91" s="6">
        <f t="shared" si="39"/>
        <v>-5258.74</v>
      </c>
      <c r="Y91" s="2"/>
      <c r="Z91" s="7">
        <f t="shared" si="40"/>
        <v>-20.324418335008115</v>
      </c>
    </row>
    <row r="92" spans="1:26" s="26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SUM(OSRRefD22_12x_0)</f>
        <v>311.60000000000002</v>
      </c>
      <c r="E92" s="1"/>
      <c r="F92" s="5">
        <f t="shared" si="33"/>
        <v>1.4484651800777835E-3</v>
      </c>
      <c r="G92" s="1"/>
      <c r="H92" s="1">
        <f>SUM(OSRRefH22_12x_0)</f>
        <v>394.84</v>
      </c>
      <c r="I92" s="1"/>
      <c r="J92" s="5">
        <f t="shared" si="34"/>
        <v>1.4025512977879908E-3</v>
      </c>
      <c r="K92" s="1"/>
      <c r="L92" s="1">
        <f t="shared" si="35"/>
        <v>-83.239999999999952</v>
      </c>
      <c r="M92" s="1"/>
      <c r="N92" s="5">
        <f t="shared" si="36"/>
        <v>-0.21081957248505714</v>
      </c>
      <c r="O92" s="13"/>
      <c r="P92" s="1">
        <f>SUM(OSRRefP22_12x_0)</f>
        <v>3013.63</v>
      </c>
      <c r="Q92" s="1"/>
      <c r="R92" s="5">
        <f t="shared" si="37"/>
        <v>1.6756296428743678E-3</v>
      </c>
      <c r="S92" s="1"/>
      <c r="T92" s="1">
        <f>SUM(OSRRefT22_12x_0)</f>
        <v>1678.27</v>
      </c>
      <c r="U92" s="1"/>
      <c r="V92" s="5">
        <f t="shared" si="38"/>
        <v>9.2026526354092571E-4</v>
      </c>
      <c r="W92" s="1"/>
      <c r="X92" s="1">
        <f t="shared" si="39"/>
        <v>1335.3600000000001</v>
      </c>
      <c r="Y92" s="1"/>
      <c r="Z92" s="5">
        <f t="shared" si="40"/>
        <v>0.7956765002055689</v>
      </c>
    </row>
    <row r="93" spans="1:26" s="24" customFormat="1" hidden="1" outlineLevel="2" x14ac:dyDescent="0.25">
      <c r="A93" s="25"/>
      <c r="B93" s="11" t="str">
        <f>CONCATENATE("          ", "6241", " - ", "OFFICE EXPENSE")</f>
        <v xml:space="preserve">          6241 - OFFICE EXPENSE</v>
      </c>
      <c r="C93" s="11"/>
      <c r="D93" s="6">
        <v>311.60000000000002</v>
      </c>
      <c r="E93" s="2"/>
      <c r="F93" s="7">
        <f t="shared" si="33"/>
        <v>1.4484651800777835E-3</v>
      </c>
      <c r="G93" s="2"/>
      <c r="H93" s="6">
        <v>356.26</v>
      </c>
      <c r="I93" s="2"/>
      <c r="J93" s="7">
        <f t="shared" si="34"/>
        <v>1.265507358296904E-3</v>
      </c>
      <c r="K93" s="2"/>
      <c r="L93" s="6">
        <f t="shared" si="35"/>
        <v>-44.659999999999968</v>
      </c>
      <c r="M93" s="2"/>
      <c r="N93" s="7">
        <f t="shared" si="36"/>
        <v>-0.12535788469095596</v>
      </c>
      <c r="O93" s="11"/>
      <c r="P93" s="6">
        <v>1004.25</v>
      </c>
      <c r="Q93" s="2"/>
      <c r="R93" s="7">
        <f t="shared" si="37"/>
        <v>5.5838011595868897E-4</v>
      </c>
      <c r="S93" s="2"/>
      <c r="T93" s="6">
        <v>1410.93</v>
      </c>
      <c r="U93" s="2"/>
      <c r="V93" s="7">
        <f t="shared" si="38"/>
        <v>7.7367161916008646E-4</v>
      </c>
      <c r="W93" s="2"/>
      <c r="X93" s="6">
        <f t="shared" si="39"/>
        <v>-406.68000000000006</v>
      </c>
      <c r="Y93" s="2"/>
      <c r="Z93" s="7">
        <f t="shared" si="40"/>
        <v>-0.28823541919159706</v>
      </c>
    </row>
    <row r="94" spans="1:26" s="24" customFormat="1" hidden="1" outlineLevel="2" x14ac:dyDescent="0.25">
      <c r="A94" s="25"/>
      <c r="B94" s="11" t="str">
        <f>CONCATENATE("          ", "6247", " - ", "STORE SUPPLIES")</f>
        <v xml:space="preserve">          6247 - STORE SUPPLIES</v>
      </c>
      <c r="C94" s="11"/>
      <c r="D94" s="6"/>
      <c r="E94" s="2"/>
      <c r="F94" s="7">
        <f t="shared" si="33"/>
        <v>0</v>
      </c>
      <c r="G94" s="2"/>
      <c r="H94" s="6">
        <v>38.58</v>
      </c>
      <c r="I94" s="2"/>
      <c r="J94" s="7">
        <f t="shared" si="34"/>
        <v>1.3704393949108673E-4</v>
      </c>
      <c r="K94" s="2"/>
      <c r="L94" s="6">
        <f t="shared" si="35"/>
        <v>-38.58</v>
      </c>
      <c r="M94" s="2"/>
      <c r="N94" s="7">
        <f t="shared" si="36"/>
        <v>-1</v>
      </c>
      <c r="O94" s="11"/>
      <c r="P94" s="6">
        <v>2009.38</v>
      </c>
      <c r="Q94" s="2"/>
      <c r="R94" s="7">
        <f t="shared" si="37"/>
        <v>1.1172495269156789E-3</v>
      </c>
      <c r="S94" s="2"/>
      <c r="T94" s="6">
        <v>267.33999999999997</v>
      </c>
      <c r="U94" s="2"/>
      <c r="V94" s="7">
        <f t="shared" si="38"/>
        <v>1.4659364438083923E-4</v>
      </c>
      <c r="W94" s="2"/>
      <c r="X94" s="6">
        <f t="shared" si="39"/>
        <v>1742.0400000000002</v>
      </c>
      <c r="Y94" s="2"/>
      <c r="Z94" s="7">
        <f t="shared" si="40"/>
        <v>6.5161966035759722</v>
      </c>
    </row>
    <row r="95" spans="1:26" s="26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SUM(OSRRefD22_13x_0)</f>
        <v>253.9</v>
      </c>
      <c r="E95" s="1"/>
      <c r="F95" s="5">
        <f t="shared" ref="F95:F100" si="41">IF(D$12=0,0,D95/D$12)</f>
        <v>1.1802481040492593E-3</v>
      </c>
      <c r="G95" s="1"/>
      <c r="H95" s="1">
        <f>SUM(OSRRefH22_13x_0)</f>
        <v>-46.8</v>
      </c>
      <c r="I95" s="1"/>
      <c r="J95" s="5">
        <f t="shared" ref="J95:J100" si="42">IF(H$12=0,0,H95/H$12)</f>
        <v>-1.6624303701873663E-4</v>
      </c>
      <c r="K95" s="1"/>
      <c r="L95" s="1">
        <f t="shared" ref="L95:L100" si="43">+D95-H95</f>
        <v>300.7</v>
      </c>
      <c r="M95" s="1"/>
      <c r="N95" s="5">
        <f t="shared" ref="N95:N100" si="44">IF(H95=0,0,L95/H95)</f>
        <v>-6.4252136752136755</v>
      </c>
      <c r="O95" s="13"/>
      <c r="P95" s="1">
        <f>SUM(OSRRefP22_13x_0)</f>
        <v>1790.05</v>
      </c>
      <c r="Q95" s="1"/>
      <c r="R95" s="5">
        <f t="shared" ref="R95:R100" si="45">IF(P$12=0,0,P95/P$12)</f>
        <v>9.9529830875962262E-4</v>
      </c>
      <c r="S95" s="1"/>
      <c r="T95" s="1">
        <f>SUM(OSRRefT22_13x_0)</f>
        <v>1971.05</v>
      </c>
      <c r="U95" s="1"/>
      <c r="V95" s="5">
        <f t="shared" ref="V95:V100" si="46">IF(T$12=0,0,T95/T$12)</f>
        <v>1.0808087183244303E-3</v>
      </c>
      <c r="W95" s="1"/>
      <c r="X95" s="1">
        <f t="shared" ref="X95:X100" si="47">+P95-T95</f>
        <v>-181</v>
      </c>
      <c r="Y95" s="1"/>
      <c r="Z95" s="5">
        <f t="shared" ref="Z95:Z100" si="48">IF(T95=0,0,X95/T95)</f>
        <v>-9.1829228076405978E-2</v>
      </c>
    </row>
    <row r="96" spans="1:26" s="24" customFormat="1" hidden="1" outlineLevel="2" x14ac:dyDescent="0.25">
      <c r="A96" s="25"/>
      <c r="B96" s="11" t="str">
        <f>CONCATENATE("          ", "6309", " - ", "TELEPHONE")</f>
        <v xml:space="preserve">          6309 - TELEPHONE</v>
      </c>
      <c r="C96" s="11"/>
      <c r="D96" s="6">
        <v>253.9</v>
      </c>
      <c r="E96" s="2"/>
      <c r="F96" s="7">
        <f t="shared" si="41"/>
        <v>1.1802481040492593E-3</v>
      </c>
      <c r="G96" s="2"/>
      <c r="H96" s="6">
        <v>-46.8</v>
      </c>
      <c r="I96" s="2"/>
      <c r="J96" s="7">
        <f t="shared" si="42"/>
        <v>-1.6624303701873663E-4</v>
      </c>
      <c r="K96" s="2"/>
      <c r="L96" s="6">
        <f t="shared" si="43"/>
        <v>300.7</v>
      </c>
      <c r="M96" s="2"/>
      <c r="N96" s="7">
        <f t="shared" si="44"/>
        <v>-6.4252136752136755</v>
      </c>
      <c r="O96" s="11"/>
      <c r="P96" s="6">
        <v>1790.05</v>
      </c>
      <c r="Q96" s="2"/>
      <c r="R96" s="7">
        <f t="shared" si="45"/>
        <v>9.9529830875962262E-4</v>
      </c>
      <c r="S96" s="2"/>
      <c r="T96" s="6">
        <v>1971.05</v>
      </c>
      <c r="U96" s="2"/>
      <c r="V96" s="7">
        <f t="shared" si="46"/>
        <v>1.0808087183244303E-3</v>
      </c>
      <c r="W96" s="2"/>
      <c r="X96" s="6">
        <f t="shared" si="47"/>
        <v>-181</v>
      </c>
      <c r="Y96" s="2"/>
      <c r="Z96" s="7">
        <f t="shared" si="48"/>
        <v>-9.1829228076405978E-2</v>
      </c>
    </row>
    <row r="97" spans="1:26" s="26" customFormat="1" outlineLevel="1" collapsed="1" x14ac:dyDescent="0.25">
      <c r="A97" s="27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0</v>
      </c>
      <c r="E97" s="1"/>
      <c r="F97" s="5">
        <f t="shared" si="41"/>
        <v>0</v>
      </c>
      <c r="G97" s="1"/>
      <c r="H97" s="1">
        <f>SUM(OSRRefH22_14x_0)</f>
        <v>0</v>
      </c>
      <c r="I97" s="1"/>
      <c r="J97" s="5">
        <f t="shared" si="42"/>
        <v>0</v>
      </c>
      <c r="K97" s="1"/>
      <c r="L97" s="1">
        <f t="shared" si="43"/>
        <v>0</v>
      </c>
      <c r="M97" s="1"/>
      <c r="N97" s="5">
        <f t="shared" si="44"/>
        <v>0</v>
      </c>
      <c r="O97" s="13"/>
      <c r="P97" s="1">
        <f>SUM(OSRRefP22_14x_0)</f>
        <v>1163.6400000000001</v>
      </c>
      <c r="Q97" s="1"/>
      <c r="R97" s="5">
        <f t="shared" si="45"/>
        <v>6.4700367252593365E-4</v>
      </c>
      <c r="S97" s="1"/>
      <c r="T97" s="1">
        <f>SUM(OSRRefT22_14x_0)</f>
        <v>0</v>
      </c>
      <c r="U97" s="1"/>
      <c r="V97" s="5">
        <f t="shared" si="46"/>
        <v>0</v>
      </c>
      <c r="W97" s="1"/>
      <c r="X97" s="1">
        <f t="shared" si="47"/>
        <v>1163.6400000000001</v>
      </c>
      <c r="Y97" s="1"/>
      <c r="Z97" s="5">
        <f t="shared" si="48"/>
        <v>0</v>
      </c>
    </row>
    <row r="98" spans="1:26" s="24" customFormat="1" hidden="1" outlineLevel="2" x14ac:dyDescent="0.25">
      <c r="A98" s="25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41"/>
        <v>0</v>
      </c>
      <c r="G98" s="2"/>
      <c r="H98" s="6"/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1"/>
      <c r="P98" s="6">
        <v>1163.6400000000001</v>
      </c>
      <c r="Q98" s="2"/>
      <c r="R98" s="7">
        <f t="shared" si="45"/>
        <v>6.4700367252593365E-4</v>
      </c>
      <c r="S98" s="2"/>
      <c r="T98" s="6"/>
      <c r="U98" s="2"/>
      <c r="V98" s="7">
        <f t="shared" si="46"/>
        <v>0</v>
      </c>
      <c r="W98" s="2"/>
      <c r="X98" s="6">
        <f t="shared" si="47"/>
        <v>1163.6400000000001</v>
      </c>
      <c r="Y98" s="2"/>
      <c r="Z98" s="7">
        <f t="shared" si="48"/>
        <v>0</v>
      </c>
    </row>
    <row r="99" spans="1:26" s="26" customFormat="1" outlineLevel="1" collapsed="1" x14ac:dyDescent="0.25">
      <c r="A99" s="27"/>
      <c r="B99" s="13" t="str">
        <f>CONCATENATE("     ","Travel                                            ")</f>
        <v xml:space="preserve">     Travel                                            </v>
      </c>
      <c r="C99" s="13"/>
      <c r="D99" s="1">
        <f>SUM(OSRRefD22_15x_0)</f>
        <v>0</v>
      </c>
      <c r="E99" s="1"/>
      <c r="F99" s="5">
        <f t="shared" si="41"/>
        <v>0</v>
      </c>
      <c r="G99" s="1"/>
      <c r="H99" s="1">
        <f>SUM(OSRRefH22_15x_0)</f>
        <v>0</v>
      </c>
      <c r="I99" s="1"/>
      <c r="J99" s="5">
        <f t="shared" si="42"/>
        <v>0</v>
      </c>
      <c r="K99" s="1"/>
      <c r="L99" s="1">
        <f t="shared" si="43"/>
        <v>0</v>
      </c>
      <c r="M99" s="1"/>
      <c r="N99" s="5">
        <f t="shared" si="44"/>
        <v>0</v>
      </c>
      <c r="O99" s="13"/>
      <c r="P99" s="1">
        <f>SUM(OSRRefP22_15x_0)</f>
        <v>-178.06</v>
      </c>
      <c r="Q99" s="1"/>
      <c r="R99" s="5">
        <f t="shared" si="45"/>
        <v>-9.9004394769832359E-5</v>
      </c>
      <c r="S99" s="1"/>
      <c r="T99" s="1">
        <f>SUM(OSRRefT22_15x_0)</f>
        <v>113.4</v>
      </c>
      <c r="U99" s="1"/>
      <c r="V99" s="5">
        <f t="shared" si="46"/>
        <v>6.2181937879805387E-5</v>
      </c>
      <c r="W99" s="1"/>
      <c r="X99" s="1">
        <f t="shared" si="47"/>
        <v>-291.46000000000004</v>
      </c>
      <c r="Y99" s="1"/>
      <c r="Z99" s="5">
        <f t="shared" si="48"/>
        <v>-2.570194003527337</v>
      </c>
    </row>
    <row r="100" spans="1:26" s="24" customFormat="1" hidden="1" outlineLevel="2" x14ac:dyDescent="0.25">
      <c r="A100" s="25"/>
      <c r="B100" s="11" t="str">
        <f>CONCATENATE("          ", "6292", " - ", "TRAVEL/CONFERENCE")</f>
        <v xml:space="preserve">          6292 - TRAVEL/CONFERENCE</v>
      </c>
      <c r="C100" s="11"/>
      <c r="D100" s="6"/>
      <c r="E100" s="2"/>
      <c r="F100" s="7">
        <f t="shared" si="41"/>
        <v>0</v>
      </c>
      <c r="G100" s="2"/>
      <c r="H100" s="6"/>
      <c r="I100" s="2"/>
      <c r="J100" s="7">
        <f t="shared" si="42"/>
        <v>0</v>
      </c>
      <c r="K100" s="2"/>
      <c r="L100" s="6">
        <f t="shared" si="43"/>
        <v>0</v>
      </c>
      <c r="M100" s="2"/>
      <c r="N100" s="7">
        <f t="shared" si="44"/>
        <v>0</v>
      </c>
      <c r="O100" s="11"/>
      <c r="P100" s="6">
        <v>-178.06</v>
      </c>
      <c r="Q100" s="2"/>
      <c r="R100" s="7">
        <f t="shared" si="45"/>
        <v>-9.9004394769832359E-5</v>
      </c>
      <c r="S100" s="2"/>
      <c r="T100" s="6">
        <v>113.4</v>
      </c>
      <c r="U100" s="2"/>
      <c r="V100" s="7">
        <f t="shared" si="46"/>
        <v>6.2181937879805387E-5</v>
      </c>
      <c r="W100" s="2"/>
      <c r="X100" s="6">
        <f t="shared" si="47"/>
        <v>-291.46000000000004</v>
      </c>
      <c r="Y100" s="2"/>
      <c r="Z100" s="7">
        <f t="shared" si="48"/>
        <v>-2.570194003527337</v>
      </c>
    </row>
    <row r="101" spans="1:26" s="59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5983.15</v>
      </c>
      <c r="E102" s="4"/>
      <c r="F102" s="12">
        <f t="shared" ref="F102:F106" si="49">IF(D$12=0,0,D102/D$12)</f>
        <v>2.7812530302254137E-2</v>
      </c>
      <c r="G102" s="4"/>
      <c r="H102" s="4">
        <f>SUM(OSRRefH25x_0)</f>
        <v>-778.4</v>
      </c>
      <c r="I102" s="4"/>
      <c r="J102" s="12">
        <f t="shared" ref="J102:J106" si="50">IF(H$12=0,0,H102/H$12)</f>
        <v>-2.7650337610124914E-3</v>
      </c>
      <c r="K102" s="4"/>
      <c r="L102" s="4">
        <f t="shared" ref="L102:L106" si="51">+D102-H102</f>
        <v>6761.5499999999993</v>
      </c>
      <c r="M102" s="4"/>
      <c r="N102" s="12">
        <f t="shared" ref="N102:N106" si="52">IF(H102=0,0,L102/H102)</f>
        <v>-8.6864722507708105</v>
      </c>
      <c r="O102" s="10"/>
      <c r="P102" s="4">
        <f>SUM(OSRRefP25x_0)</f>
        <v>13219.810000000001</v>
      </c>
      <c r="Q102" s="4"/>
      <c r="R102" s="12">
        <f t="shared" ref="R102:R106" si="53">IF(P$12=0,0,P102/P$12)</f>
        <v>7.3504396721452191E-3</v>
      </c>
      <c r="S102" s="4"/>
      <c r="T102" s="4">
        <f>SUM(OSRRefT25x_0)</f>
        <v>5809.09</v>
      </c>
      <c r="U102" s="4"/>
      <c r="V102" s="12">
        <f t="shared" ref="V102:V106" si="54">IF(T$12=0,0,T102/T$12)</f>
        <v>3.1853657276737094E-3</v>
      </c>
      <c r="W102" s="4"/>
      <c r="X102" s="4">
        <f t="shared" ref="X102:X106" si="55">+P102-T102</f>
        <v>7410.7200000000012</v>
      </c>
      <c r="Y102" s="4"/>
      <c r="Z102" s="12">
        <f t="shared" ref="Z102:Z106" si="56">IF(T102=0,0,X102/T102)</f>
        <v>1.2757109977638497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--1922.01</f>
        <v>1922.01</v>
      </c>
      <c r="E103" s="2"/>
      <c r="F103" s="19">
        <f t="shared" si="49"/>
        <v>8.9344177174624541E-3</v>
      </c>
      <c r="G103" s="2"/>
      <c r="H103" s="2">
        <f>-1799.01</f>
        <v>-1799.01</v>
      </c>
      <c r="I103" s="2"/>
      <c r="J103" s="19">
        <f t="shared" si="50"/>
        <v>-6.3904462826298589E-3</v>
      </c>
      <c r="K103" s="2"/>
      <c r="L103" s="2">
        <f t="shared" si="51"/>
        <v>3721.02</v>
      </c>
      <c r="M103" s="2"/>
      <c r="N103" s="19">
        <f t="shared" si="52"/>
        <v>-2.0683709373488752</v>
      </c>
      <c r="O103" s="11"/>
      <c r="P103" s="2">
        <f>--15110.93</f>
        <v>15110.93</v>
      </c>
      <c r="Q103" s="2"/>
      <c r="R103" s="19">
        <f t="shared" si="53"/>
        <v>8.4019346234937824E-3</v>
      </c>
      <c r="S103" s="2"/>
      <c r="T103" s="2">
        <f>--3510.74</f>
        <v>3510.74</v>
      </c>
      <c r="U103" s="2"/>
      <c r="V103" s="19">
        <f t="shared" si="54"/>
        <v>1.9250848023998936E-3</v>
      </c>
      <c r="W103" s="2"/>
      <c r="X103" s="2">
        <f t="shared" si="55"/>
        <v>11600.19</v>
      </c>
      <c r="Y103" s="2"/>
      <c r="Z103" s="19">
        <f t="shared" si="56"/>
        <v>3.3042008237579545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 t="shared" ref="D104:D105" si="57">0</f>
        <v>0</v>
      </c>
      <c r="E104" s="2"/>
      <c r="F104" s="19">
        <f t="shared" si="49"/>
        <v>0</v>
      </c>
      <c r="G104" s="2"/>
      <c r="H104" s="2">
        <f t="shared" ref="H104:H105" si="58">0</f>
        <v>0</v>
      </c>
      <c r="I104" s="2"/>
      <c r="J104" s="19">
        <f t="shared" si="50"/>
        <v>0</v>
      </c>
      <c r="K104" s="2"/>
      <c r="L104" s="2">
        <f t="shared" si="51"/>
        <v>0</v>
      </c>
      <c r="M104" s="2"/>
      <c r="N104" s="19">
        <f t="shared" si="52"/>
        <v>0</v>
      </c>
      <c r="O104" s="11"/>
      <c r="P104" s="2">
        <f>-7889</f>
        <v>-7889</v>
      </c>
      <c r="Q104" s="2"/>
      <c r="R104" s="19">
        <f t="shared" si="53"/>
        <v>-4.3864184563585729E-3</v>
      </c>
      <c r="S104" s="2"/>
      <c r="T104" s="2">
        <f t="shared" ref="T104:T105" si="59">0</f>
        <v>0</v>
      </c>
      <c r="U104" s="2"/>
      <c r="V104" s="19">
        <f t="shared" si="54"/>
        <v>0</v>
      </c>
      <c r="W104" s="2"/>
      <c r="X104" s="2">
        <f t="shared" si="55"/>
        <v>-7889</v>
      </c>
      <c r="Y104" s="2"/>
      <c r="Z104" s="19">
        <f t="shared" si="56"/>
        <v>0</v>
      </c>
    </row>
    <row r="105" spans="1:26" s="24" customFormat="1" hidden="1" outlineLevel="1" x14ac:dyDescent="0.25">
      <c r="A105" s="44"/>
      <c r="B105" s="11" t="str">
        <f>CONCATENATE("          ", "5087", " - ", "PURCHASES @ COST-COMPUTER REPA")</f>
        <v xml:space="preserve">          5087 - PURCHASES @ COST-COMPUTER REPA</v>
      </c>
      <c r="C105" s="11"/>
      <c r="D105" s="2">
        <f t="shared" si="57"/>
        <v>0</v>
      </c>
      <c r="E105" s="2"/>
      <c r="F105" s="19">
        <f t="shared" si="49"/>
        <v>0</v>
      </c>
      <c r="G105" s="2"/>
      <c r="H105" s="2">
        <f t="shared" si="58"/>
        <v>0</v>
      </c>
      <c r="I105" s="2"/>
      <c r="J105" s="19">
        <f t="shared" si="50"/>
        <v>0</v>
      </c>
      <c r="K105" s="2"/>
      <c r="L105" s="2">
        <f t="shared" si="51"/>
        <v>0</v>
      </c>
      <c r="M105" s="2"/>
      <c r="N105" s="19">
        <f t="shared" si="52"/>
        <v>0</v>
      </c>
      <c r="O105" s="11"/>
      <c r="P105" s="2">
        <f>-56.72</f>
        <v>-56.72</v>
      </c>
      <c r="Q105" s="2"/>
      <c r="R105" s="19">
        <f t="shared" si="53"/>
        <v>-3.1537286708665008E-5</v>
      </c>
      <c r="S105" s="2"/>
      <c r="T105" s="2">
        <f t="shared" si="59"/>
        <v>0</v>
      </c>
      <c r="U105" s="2"/>
      <c r="V105" s="19">
        <f t="shared" si="54"/>
        <v>0</v>
      </c>
      <c r="W105" s="2"/>
      <c r="X105" s="2">
        <f t="shared" si="55"/>
        <v>-56.72</v>
      </c>
      <c r="Y105" s="2"/>
      <c r="Z105" s="19">
        <f t="shared" si="56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--4061.14</f>
        <v>4061.14</v>
      </c>
      <c r="E106" s="2"/>
      <c r="F106" s="19">
        <f t="shared" si="49"/>
        <v>1.8878112584791686E-2</v>
      </c>
      <c r="G106" s="2"/>
      <c r="H106" s="2">
        <f>--1020.61</f>
        <v>1020.61</v>
      </c>
      <c r="I106" s="2"/>
      <c r="J106" s="19">
        <f t="shared" si="50"/>
        <v>3.6254125216173675E-3</v>
      </c>
      <c r="K106" s="2"/>
      <c r="L106" s="2">
        <f t="shared" si="51"/>
        <v>3040.5299999999997</v>
      </c>
      <c r="M106" s="2"/>
      <c r="N106" s="19">
        <f t="shared" si="52"/>
        <v>2.9791301280606692</v>
      </c>
      <c r="O106" s="11"/>
      <c r="P106" s="2">
        <f>--6054.6</f>
        <v>6054.6</v>
      </c>
      <c r="Q106" s="2"/>
      <c r="R106" s="19">
        <f t="shared" si="53"/>
        <v>3.3664607917186741E-3</v>
      </c>
      <c r="S106" s="2"/>
      <c r="T106" s="2">
        <f>--2298.35</f>
        <v>2298.35</v>
      </c>
      <c r="U106" s="2"/>
      <c r="V106" s="19">
        <f t="shared" si="54"/>
        <v>1.2602809252738156E-3</v>
      </c>
      <c r="W106" s="2"/>
      <c r="X106" s="2">
        <f t="shared" si="55"/>
        <v>3756.2500000000005</v>
      </c>
      <c r="Y106" s="2"/>
      <c r="Z106" s="19">
        <f t="shared" si="56"/>
        <v>1.6343246241869169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1">
        <f>+D54-D56+D102</f>
        <v>22212.960000000072</v>
      </c>
      <c r="E108" s="14"/>
      <c r="F108" s="22">
        <f>IF(D$12=0,0,D108/D$12)</f>
        <v>0.1032564156176531</v>
      </c>
      <c r="G108" s="14"/>
      <c r="H108" s="21">
        <f>+H54-H56+H102</f>
        <v>7884.8100000000068</v>
      </c>
      <c r="I108" s="14"/>
      <c r="J108" s="22">
        <f>IF(H$12=0,0,H108/H$12)</f>
        <v>2.8008435058027904E-2</v>
      </c>
      <c r="K108" s="16"/>
      <c r="L108" s="21">
        <f>+D108-H108</f>
        <v>14328.150000000065</v>
      </c>
      <c r="M108" s="16"/>
      <c r="N108" s="22">
        <f>IF(H108=0,0,L108/H108)</f>
        <v>1.8171839270699044</v>
      </c>
      <c r="O108" s="29"/>
      <c r="P108" s="21">
        <f>+P54-P56+P102</f>
        <v>77350.589999999298</v>
      </c>
      <c r="Q108" s="14"/>
      <c r="R108" s="22">
        <f>IF(P$12=0,0,P108/P$12)</f>
        <v>4.3008246366614503E-2</v>
      </c>
      <c r="S108" s="14"/>
      <c r="T108" s="21">
        <f>+T54-T56+T102</f>
        <v>79831.010000000155</v>
      </c>
      <c r="U108" s="14"/>
      <c r="V108" s="22">
        <f>IF(T$12=0,0,T108/T$12)</f>
        <v>4.3774664062629025E-2</v>
      </c>
      <c r="W108" s="16"/>
      <c r="X108" s="21">
        <f>+P108-T108</f>
        <v>-2480.4200000008568</v>
      </c>
      <c r="Y108" s="16"/>
      <c r="Z108" s="22">
        <f>IF(T108=0,0,X108/T108)</f>
        <v>-3.1070883357242406E-2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16541.28</v>
      </c>
      <c r="E110" s="4"/>
      <c r="F110" s="12">
        <f>IF(D$12=0,0,D110/D$12)</f>
        <v>7.6891746193572003E-2</v>
      </c>
      <c r="G110" s="4"/>
      <c r="H110" s="4"/>
      <c r="I110" s="4"/>
      <c r="J110" s="12">
        <f>IF(H$12=0,0,H110/H$12)</f>
        <v>0</v>
      </c>
      <c r="K110" s="4"/>
      <c r="L110" s="4">
        <f>+D110-H110</f>
        <v>16541.28</v>
      </c>
      <c r="M110" s="4"/>
      <c r="N110" s="12">
        <f>IF(H110=0,0,L110/H110)</f>
        <v>0</v>
      </c>
      <c r="O110" s="10"/>
      <c r="P110" s="4">
        <v>187558.7</v>
      </c>
      <c r="Q110" s="4"/>
      <c r="R110" s="12">
        <f>IF(P$12=0,0,P110/P$12)</f>
        <v>0.10428583386115106</v>
      </c>
      <c r="S110" s="4"/>
      <c r="T110" s="4">
        <v>166422.97</v>
      </c>
      <c r="U110" s="4"/>
      <c r="V110" s="12">
        <f>IF(T$12=0,0,T110/T$12)</f>
        <v>9.1256638291999245E-2</v>
      </c>
      <c r="W110" s="4"/>
      <c r="X110" s="4">
        <f>+P110-T110</f>
        <v>21135.73000000001</v>
      </c>
      <c r="Y110" s="4"/>
      <c r="Z110" s="12">
        <f>IF(T110=0,0,X110/T110)</f>
        <v>0.12700007697254778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4">
        <f>+D108-D110</f>
        <v>5671.6800000000731</v>
      </c>
      <c r="E112" s="14"/>
      <c r="F112" s="31">
        <f>IF(D$12=0,0,D112/D$12)</f>
        <v>2.6364669424081093E-2</v>
      </c>
      <c r="G112" s="14"/>
      <c r="H112" s="34">
        <f>+H108-H110</f>
        <v>7884.8100000000068</v>
      </c>
      <c r="I112" s="14"/>
      <c r="J112" s="31">
        <f>IF(H$12=0,0,H112/H$12)</f>
        <v>2.8008435058027904E-2</v>
      </c>
      <c r="K112" s="16"/>
      <c r="L112" s="34">
        <f>D112-H112</f>
        <v>-2213.1299999999337</v>
      </c>
      <c r="M112" s="16"/>
      <c r="N112" s="31">
        <f>IF(H112=0,0,L112/H112)</f>
        <v>-0.28068273046527842</v>
      </c>
      <c r="O112" s="29"/>
      <c r="P112" s="34">
        <f>+P108-P110</f>
        <v>-110208.11000000071</v>
      </c>
      <c r="Q112" s="14"/>
      <c r="R112" s="31">
        <f>IF(P$12=0,0,P112/P$12)</f>
        <v>-6.1277587494536566E-2</v>
      </c>
      <c r="S112" s="14"/>
      <c r="T112" s="34">
        <f>+T108-T110</f>
        <v>-86591.959999999846</v>
      </c>
      <c r="U112" s="14"/>
      <c r="V112" s="31">
        <f>IF(T$12=0,0,T112/T$12)</f>
        <v>-4.7481974229370214E-2</v>
      </c>
      <c r="W112" s="16"/>
      <c r="X112" s="34">
        <f>P112-T112</f>
        <v>-23616.150000000867</v>
      </c>
      <c r="Y112" s="16"/>
      <c r="Z112" s="31">
        <f>IF(T112=0,0,X112/T112)</f>
        <v>0.27272913097244722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0">
        <f>SUM(D112:D114)</f>
        <v>5671.6800000000731</v>
      </c>
      <c r="E115" s="14"/>
      <c r="F115" s="33">
        <f>IF(D$12=0,0,D115/D$12)</f>
        <v>2.6364669424081093E-2</v>
      </c>
      <c r="G115" s="14"/>
      <c r="H115" s="30">
        <f>SUM(H112:H114)</f>
        <v>7884.8100000000068</v>
      </c>
      <c r="I115" s="14"/>
      <c r="J115" s="33">
        <f>IF(H$12=0,0,H115/H$12)</f>
        <v>2.8008435058027904E-2</v>
      </c>
      <c r="K115" s="16"/>
      <c r="L115" s="30">
        <f>+D115-H115</f>
        <v>-2213.1299999999337</v>
      </c>
      <c r="M115" s="16"/>
      <c r="N115" s="33">
        <f>IF(H115=0,0,L115/H115)</f>
        <v>-0.28068273046527842</v>
      </c>
      <c r="O115" s="29"/>
      <c r="P115" s="30">
        <f>SUM(P112:P114)</f>
        <v>-110208.11000000071</v>
      </c>
      <c r="Q115" s="14"/>
      <c r="R115" s="33">
        <f>IF(P$12=0,0,P115/P$12)</f>
        <v>-6.1277587494536566E-2</v>
      </c>
      <c r="S115" s="14"/>
      <c r="T115" s="30">
        <f>SUM(T112:T114)</f>
        <v>-86591.959999999846</v>
      </c>
      <c r="U115" s="14"/>
      <c r="V115" s="33">
        <f>IF(T$12=0,0,T115/T$12)</f>
        <v>-4.7481974229370214E-2</v>
      </c>
      <c r="W115" s="16"/>
      <c r="X115" s="30">
        <f>+P115-T115</f>
        <v>-23616.150000000867</v>
      </c>
      <c r="Y115" s="16"/>
      <c r="Z115" s="33">
        <f>IF(T115=0,0,X115/T115)</f>
        <v>0.27272913097244722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61">
        <v>43879.553540856483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5" t="s">
        <v>313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58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","317", " - ", "Computer Store")</f>
        <v>Department 317 - Computer 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215124.26000000007</v>
      </c>
      <c r="E12" s="4"/>
      <c r="F12" s="12"/>
      <c r="G12" s="4"/>
      <c r="H12" s="4">
        <f>SUM(OSRRefH13x_0)</f>
        <v>281515.55</v>
      </c>
      <c r="I12" s="4"/>
      <c r="J12" s="12"/>
      <c r="K12" s="4"/>
      <c r="L12" s="4">
        <f t="shared" ref="L12:L36" si="0">+D12-H12</f>
        <v>-66391.289999999921</v>
      </c>
      <c r="M12" s="4"/>
      <c r="N12" s="12">
        <f t="shared" ref="N12:N36" si="1">IF(H12=0,0,L12/H12)</f>
        <v>-0.23583524959811253</v>
      </c>
      <c r="O12" s="10"/>
      <c r="P12" s="4">
        <f>SUM(OSRRefP13x_0)</f>
        <v>1798506.0199999998</v>
      </c>
      <c r="Q12" s="4"/>
      <c r="R12" s="12"/>
      <c r="S12" s="4"/>
      <c r="T12" s="4">
        <f>SUM(OSRRefT13x_0)</f>
        <v>1823680.7000000002</v>
      </c>
      <c r="U12" s="4"/>
      <c r="V12" s="12"/>
      <c r="W12" s="4"/>
      <c r="X12" s="4">
        <f t="shared" ref="X12:X36" si="2">+P12-T12</f>
        <v>-25174.6800000004</v>
      </c>
      <c r="Y12" s="4"/>
      <c r="Z12" s="12">
        <f t="shared" ref="Z12:Z36" si="3">IF(T12=0,0,X12/T12)</f>
        <v>-1.3804324408324548E-2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--27353.95</f>
        <v>27353.95</v>
      </c>
      <c r="E13" s="2"/>
      <c r="F13" s="19"/>
      <c r="G13" s="2"/>
      <c r="H13" s="2">
        <f>--13865.33</f>
        <v>13865.33</v>
      </c>
      <c r="I13" s="2"/>
      <c r="J13" s="19"/>
      <c r="K13" s="2"/>
      <c r="L13" s="2">
        <f t="shared" si="0"/>
        <v>13488.62</v>
      </c>
      <c r="M13" s="2"/>
      <c r="N13" s="19">
        <f t="shared" si="1"/>
        <v>0.97283079450687437</v>
      </c>
      <c r="O13" s="11"/>
      <c r="P13" s="2">
        <f>--271489</f>
        <v>271489</v>
      </c>
      <c r="Q13" s="2"/>
      <c r="R13" s="19"/>
      <c r="S13" s="2"/>
      <c r="T13" s="2">
        <f>--194500.24</f>
        <v>194500.24</v>
      </c>
      <c r="U13" s="2"/>
      <c r="V13" s="19"/>
      <c r="W13" s="2"/>
      <c r="X13" s="2">
        <f t="shared" si="2"/>
        <v>76988.760000000009</v>
      </c>
      <c r="Y13" s="2"/>
      <c r="Z13" s="19">
        <f t="shared" si="3"/>
        <v>0.39582861183101886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--164778.22</f>
        <v>164778.22</v>
      </c>
      <c r="E14" s="2"/>
      <c r="F14" s="19"/>
      <c r="G14" s="2"/>
      <c r="H14" s="2">
        <f>--241188.54</f>
        <v>241188.54</v>
      </c>
      <c r="I14" s="2"/>
      <c r="J14" s="19"/>
      <c r="K14" s="2"/>
      <c r="L14" s="2">
        <f t="shared" si="0"/>
        <v>-76410.320000000007</v>
      </c>
      <c r="M14" s="2"/>
      <c r="N14" s="19">
        <f t="shared" si="1"/>
        <v>-0.31680742376897347</v>
      </c>
      <c r="O14" s="11"/>
      <c r="P14" s="2">
        <f>--1507113.48</f>
        <v>1507113.48</v>
      </c>
      <c r="Q14" s="2"/>
      <c r="R14" s="19"/>
      <c r="S14" s="2"/>
      <c r="T14" s="2">
        <f>--1342985.45</f>
        <v>1342985.45</v>
      </c>
      <c r="U14" s="2"/>
      <c r="V14" s="19"/>
      <c r="W14" s="2"/>
      <c r="X14" s="2">
        <f t="shared" si="2"/>
        <v>164128.03000000003</v>
      </c>
      <c r="Y14" s="2"/>
      <c r="Z14" s="19">
        <f t="shared" si="3"/>
        <v>0.12221132403184266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--13898.03</f>
        <v>13898.03</v>
      </c>
      <c r="E15" s="2"/>
      <c r="F15" s="19"/>
      <c r="G15" s="2"/>
      <c r="H15" s="2">
        <f>--10580.72</f>
        <v>10580.72</v>
      </c>
      <c r="I15" s="2"/>
      <c r="J15" s="19"/>
      <c r="K15" s="2"/>
      <c r="L15" s="2">
        <f t="shared" si="0"/>
        <v>3317.3100000000013</v>
      </c>
      <c r="M15" s="2"/>
      <c r="N15" s="19">
        <f t="shared" si="1"/>
        <v>0.31352403239099053</v>
      </c>
      <c r="O15" s="11"/>
      <c r="P15" s="2">
        <f>--84329.23</f>
        <v>84329.23</v>
      </c>
      <c r="Q15" s="2"/>
      <c r="R15" s="19"/>
      <c r="S15" s="2"/>
      <c r="T15" s="2">
        <f>--87740.81</f>
        <v>87740.81</v>
      </c>
      <c r="U15" s="2"/>
      <c r="V15" s="19"/>
      <c r="W15" s="2"/>
      <c r="X15" s="2">
        <f t="shared" si="2"/>
        <v>-3411.5800000000017</v>
      </c>
      <c r="Y15" s="2"/>
      <c r="Z15" s="19">
        <f t="shared" si="3"/>
        <v>-3.8882476694710268E-2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--1484.99</f>
        <v>1484.99</v>
      </c>
      <c r="U16" s="2"/>
      <c r="V16" s="19"/>
      <c r="W16" s="2"/>
      <c r="X16" s="2">
        <f t="shared" si="2"/>
        <v>-1355.99</v>
      </c>
      <c r="Y16" s="2"/>
      <c r="Z16" s="19">
        <f t="shared" si="3"/>
        <v>-0.91313072815305152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--416.99</f>
        <v>416.99</v>
      </c>
      <c r="I17" s="2"/>
      <c r="J17" s="19"/>
      <c r="K17" s="2"/>
      <c r="L17" s="2">
        <f t="shared" si="0"/>
        <v>-416.99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--10245.8</f>
        <v>10245.799999999999</v>
      </c>
      <c r="U17" s="2"/>
      <c r="V17" s="19"/>
      <c r="W17" s="2"/>
      <c r="X17" s="2">
        <f t="shared" si="2"/>
        <v>-5837.86</v>
      </c>
      <c r="Y17" s="2"/>
      <c r="Z17" s="19">
        <f t="shared" si="3"/>
        <v>-0.56978078822541922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--7282.64</f>
        <v>7282.64</v>
      </c>
      <c r="E18" s="2"/>
      <c r="F18" s="19"/>
      <c r="G18" s="2"/>
      <c r="H18" s="2">
        <f>--6543.64</f>
        <v>6543.64</v>
      </c>
      <c r="I18" s="2"/>
      <c r="J18" s="19"/>
      <c r="K18" s="2"/>
      <c r="L18" s="2">
        <f t="shared" si="0"/>
        <v>739</v>
      </c>
      <c r="M18" s="2"/>
      <c r="N18" s="19">
        <f t="shared" si="1"/>
        <v>0.11293408561595686</v>
      </c>
      <c r="O18" s="11"/>
      <c r="P18" s="2">
        <f>--40361.11</f>
        <v>40361.11</v>
      </c>
      <c r="Q18" s="2"/>
      <c r="R18" s="19"/>
      <c r="S18" s="2"/>
      <c r="T18" s="2">
        <f>--49190.47</f>
        <v>49190.47</v>
      </c>
      <c r="U18" s="2"/>
      <c r="V18" s="19"/>
      <c r="W18" s="2"/>
      <c r="X18" s="2">
        <f t="shared" si="2"/>
        <v>-8829.36</v>
      </c>
      <c r="Y18" s="2"/>
      <c r="Z18" s="19">
        <f t="shared" si="3"/>
        <v>-0.17949330429247781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--118.97</f>
        <v>118.97</v>
      </c>
      <c r="E19" s="2"/>
      <c r="F19" s="19"/>
      <c r="G19" s="2"/>
      <c r="H19" s="2">
        <f>--228</f>
        <v>228</v>
      </c>
      <c r="I19" s="2"/>
      <c r="J19" s="19"/>
      <c r="K19" s="2"/>
      <c r="L19" s="2">
        <f t="shared" si="0"/>
        <v>-109.03</v>
      </c>
      <c r="M19" s="2"/>
      <c r="N19" s="19">
        <f t="shared" si="1"/>
        <v>-0.47820175438596491</v>
      </c>
      <c r="O19" s="11"/>
      <c r="P19" s="2">
        <f>--1055.88</f>
        <v>1055.8800000000001</v>
      </c>
      <c r="Q19" s="2"/>
      <c r="R19" s="19"/>
      <c r="S19" s="2"/>
      <c r="T19" s="2">
        <f>--1512.85</f>
        <v>1512.85</v>
      </c>
      <c r="U19" s="2"/>
      <c r="V19" s="19"/>
      <c r="W19" s="2"/>
      <c r="X19" s="2">
        <f t="shared" si="2"/>
        <v>-456.9699999999998</v>
      </c>
      <c r="Y19" s="2"/>
      <c r="Z19" s="19">
        <f t="shared" si="3"/>
        <v>-0.30205902766302001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--343.91</f>
        <v>343.91</v>
      </c>
      <c r="E20" s="2"/>
      <c r="F20" s="19"/>
      <c r="G20" s="2"/>
      <c r="H20" s="2">
        <f>--2774.02</f>
        <v>2774.02</v>
      </c>
      <c r="I20" s="2"/>
      <c r="J20" s="19"/>
      <c r="K20" s="2"/>
      <c r="L20" s="2">
        <f t="shared" si="0"/>
        <v>-2430.11</v>
      </c>
      <c r="M20" s="2"/>
      <c r="N20" s="19">
        <f t="shared" si="1"/>
        <v>-0.87602468619548535</v>
      </c>
      <c r="O20" s="11"/>
      <c r="P20" s="2">
        <f>--1806.42</f>
        <v>1806.42</v>
      </c>
      <c r="Q20" s="2"/>
      <c r="R20" s="19"/>
      <c r="S20" s="2"/>
      <c r="T20" s="2">
        <f>--9040.48</f>
        <v>9040.48</v>
      </c>
      <c r="U20" s="2"/>
      <c r="V20" s="19"/>
      <c r="W20" s="2"/>
      <c r="X20" s="2">
        <f t="shared" si="2"/>
        <v>-7234.0599999999995</v>
      </c>
      <c r="Y20" s="2"/>
      <c r="Z20" s="19">
        <f t="shared" si="3"/>
        <v>-0.80018538838645736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--16176.97</f>
        <v>16176.97</v>
      </c>
      <c r="E21" s="2"/>
      <c r="F21" s="19"/>
      <c r="G21" s="2"/>
      <c r="H21" s="2">
        <f>--12767</f>
        <v>12767</v>
      </c>
      <c r="I21" s="2"/>
      <c r="J21" s="19"/>
      <c r="K21" s="2"/>
      <c r="L21" s="2">
        <f t="shared" si="0"/>
        <v>3409.9699999999993</v>
      </c>
      <c r="M21" s="2"/>
      <c r="N21" s="19">
        <f t="shared" si="1"/>
        <v>0.26709250411216412</v>
      </c>
      <c r="O21" s="11"/>
      <c r="P21" s="2">
        <f>--86971.97</f>
        <v>86971.97</v>
      </c>
      <c r="Q21" s="2"/>
      <c r="R21" s="19"/>
      <c r="S21" s="2"/>
      <c r="T21" s="2">
        <f>--179388.85</f>
        <v>179388.85</v>
      </c>
      <c r="U21" s="2"/>
      <c r="V21" s="19"/>
      <c r="W21" s="2"/>
      <c r="X21" s="2">
        <f t="shared" si="2"/>
        <v>-92416.88</v>
      </c>
      <c r="Y21" s="2"/>
      <c r="Z21" s="19">
        <f t="shared" si="3"/>
        <v>-0.51517627767835072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--777.81</f>
        <v>777.81</v>
      </c>
      <c r="E22" s="2"/>
      <c r="F22" s="19"/>
      <c r="G22" s="2"/>
      <c r="H22" s="2">
        <f>--843.49</f>
        <v>843.49</v>
      </c>
      <c r="I22" s="2"/>
      <c r="J22" s="19"/>
      <c r="K22" s="2"/>
      <c r="L22" s="2">
        <f t="shared" si="0"/>
        <v>-65.680000000000064</v>
      </c>
      <c r="M22" s="2"/>
      <c r="N22" s="19">
        <f t="shared" si="1"/>
        <v>-7.7866957521725289E-2</v>
      </c>
      <c r="O22" s="11"/>
      <c r="P22" s="2">
        <f>--4349.44</f>
        <v>4349.4399999999996</v>
      </c>
      <c r="Q22" s="2"/>
      <c r="R22" s="19"/>
      <c r="S22" s="2"/>
      <c r="T22" s="2">
        <f>--6273.97</f>
        <v>6273.97</v>
      </c>
      <c r="U22" s="2"/>
      <c r="V22" s="19"/>
      <c r="W22" s="2"/>
      <c r="X22" s="2">
        <f t="shared" si="2"/>
        <v>-1924.5300000000007</v>
      </c>
      <c r="Y22" s="2"/>
      <c r="Z22" s="19">
        <f t="shared" si="3"/>
        <v>-0.30674835869473405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--486</f>
        <v>486</v>
      </c>
      <c r="U23" s="2"/>
      <c r="V23" s="19"/>
      <c r="W23" s="2"/>
      <c r="X23" s="2">
        <f t="shared" si="2"/>
        <v>2242</v>
      </c>
      <c r="Y23" s="2"/>
      <c r="Z23" s="19">
        <f t="shared" si="3"/>
        <v>4.6131687242798352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--1925.98</f>
        <v>1925.98</v>
      </c>
      <c r="E24" s="2"/>
      <c r="F24" s="19"/>
      <c r="G24" s="2"/>
      <c r="H24" s="2">
        <f>--149.99</f>
        <v>149.99</v>
      </c>
      <c r="I24" s="2"/>
      <c r="J24" s="19"/>
      <c r="K24" s="2"/>
      <c r="L24" s="2">
        <f t="shared" si="0"/>
        <v>1775.99</v>
      </c>
      <c r="M24" s="2"/>
      <c r="N24" s="19">
        <f t="shared" si="1"/>
        <v>11.840722714847656</v>
      </c>
      <c r="O24" s="11"/>
      <c r="P24" s="2">
        <f>--11327.82</f>
        <v>11327.82</v>
      </c>
      <c r="Q24" s="2"/>
      <c r="R24" s="19"/>
      <c r="S24" s="2"/>
      <c r="T24" s="2">
        <f>--3074.9</f>
        <v>3074.9</v>
      </c>
      <c r="U24" s="2"/>
      <c r="V24" s="19"/>
      <c r="W24" s="2"/>
      <c r="X24" s="2">
        <f t="shared" si="2"/>
        <v>8252.92</v>
      </c>
      <c r="Y24" s="2"/>
      <c r="Z24" s="19">
        <f t="shared" si="3"/>
        <v>2.6839637061367849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--326.92</f>
        <v>326.92</v>
      </c>
      <c r="E25" s="2"/>
      <c r="F25" s="19"/>
      <c r="G25" s="2"/>
      <c r="H25" s="2">
        <f>--1020.06</f>
        <v>1020.06</v>
      </c>
      <c r="I25" s="2"/>
      <c r="J25" s="19"/>
      <c r="K25" s="2"/>
      <c r="L25" s="2">
        <f t="shared" si="0"/>
        <v>-693.13999999999987</v>
      </c>
      <c r="M25" s="2"/>
      <c r="N25" s="19">
        <f t="shared" si="1"/>
        <v>-0.67950904848734384</v>
      </c>
      <c r="O25" s="11"/>
      <c r="P25" s="2">
        <f>--1980.28</f>
        <v>1980.28</v>
      </c>
      <c r="Q25" s="2"/>
      <c r="R25" s="19"/>
      <c r="S25" s="2"/>
      <c r="T25" s="2">
        <f>--4025.05</f>
        <v>4025.05</v>
      </c>
      <c r="U25" s="2"/>
      <c r="V25" s="19"/>
      <c r="W25" s="2"/>
      <c r="X25" s="2">
        <f t="shared" si="2"/>
        <v>-2044.7700000000002</v>
      </c>
      <c r="Y25" s="2"/>
      <c r="Z25" s="19">
        <f t="shared" si="3"/>
        <v>-0.5080110806076944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-642.85</f>
        <v>-642.85</v>
      </c>
      <c r="E27" s="2"/>
      <c r="F27" s="19"/>
      <c r="G27" s="2"/>
      <c r="H27" s="2">
        <f>-553.38</f>
        <v>-553.38</v>
      </c>
      <c r="I27" s="2"/>
      <c r="J27" s="19"/>
      <c r="K27" s="2"/>
      <c r="L27" s="2">
        <f t="shared" si="0"/>
        <v>-89.470000000000027</v>
      </c>
      <c r="M27" s="2"/>
      <c r="N27" s="19">
        <f t="shared" si="1"/>
        <v>0.16167913549459689</v>
      </c>
      <c r="O27" s="11"/>
      <c r="P27" s="2">
        <f>-6449.84</f>
        <v>-6449.84</v>
      </c>
      <c r="Q27" s="2"/>
      <c r="R27" s="19"/>
      <c r="S27" s="2"/>
      <c r="T27" s="2">
        <f>-6056.15</f>
        <v>-6056.15</v>
      </c>
      <c r="U27" s="2"/>
      <c r="V27" s="19"/>
      <c r="W27" s="2"/>
      <c r="X27" s="2">
        <f t="shared" si="2"/>
        <v>-393.69000000000051</v>
      </c>
      <c r="Y27" s="2"/>
      <c r="Z27" s="19">
        <f t="shared" si="3"/>
        <v>6.5006646136572005E-2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-15229.61</f>
        <v>-15229.61</v>
      </c>
      <c r="E28" s="2"/>
      <c r="F28" s="19"/>
      <c r="G28" s="2"/>
      <c r="H28" s="2">
        <f>-6494</f>
        <v>-6494</v>
      </c>
      <c r="I28" s="2"/>
      <c r="J28" s="19"/>
      <c r="K28" s="2"/>
      <c r="L28" s="2">
        <f t="shared" si="0"/>
        <v>-8735.61</v>
      </c>
      <c r="M28" s="2"/>
      <c r="N28" s="19">
        <f t="shared" si="1"/>
        <v>1.3451817061903297</v>
      </c>
      <c r="O28" s="11"/>
      <c r="P28" s="2">
        <f>-202883.19</f>
        <v>-202883.19</v>
      </c>
      <c r="Q28" s="2"/>
      <c r="R28" s="19"/>
      <c r="S28" s="2"/>
      <c r="T28" s="2">
        <f>-51540.97</f>
        <v>-51540.97</v>
      </c>
      <c r="U28" s="2"/>
      <c r="V28" s="19"/>
      <c r="W28" s="2"/>
      <c r="X28" s="2">
        <f t="shared" si="2"/>
        <v>-151342.22</v>
      </c>
      <c r="Y28" s="2"/>
      <c r="Z28" s="19">
        <f t="shared" si="3"/>
        <v>2.9363479189468107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-1632.57</f>
        <v>-1632.57</v>
      </c>
      <c r="E29" s="2"/>
      <c r="F29" s="19"/>
      <c r="G29" s="2"/>
      <c r="H29" s="2">
        <f>-1022.1</f>
        <v>-1022.1</v>
      </c>
      <c r="I29" s="2"/>
      <c r="J29" s="19"/>
      <c r="K29" s="2"/>
      <c r="L29" s="2">
        <f t="shared" si="0"/>
        <v>-610.46999999999991</v>
      </c>
      <c r="M29" s="2"/>
      <c r="N29" s="19">
        <f t="shared" si="1"/>
        <v>0.59727032579982375</v>
      </c>
      <c r="O29" s="11"/>
      <c r="P29" s="2">
        <f>-4914.72</f>
        <v>-4914.72</v>
      </c>
      <c r="Q29" s="2"/>
      <c r="R29" s="19"/>
      <c r="S29" s="2"/>
      <c r="T29" s="2">
        <f>-5027.57</f>
        <v>-5027.57</v>
      </c>
      <c r="U29" s="2"/>
      <c r="V29" s="19"/>
      <c r="W29" s="2"/>
      <c r="X29" s="2">
        <f t="shared" si="2"/>
        <v>112.84999999999945</v>
      </c>
      <c r="Y29" s="2"/>
      <c r="Z29" s="19">
        <f t="shared" si="3"/>
        <v>-2.244623147962126E-2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-304.12</f>
        <v>-304.12</v>
      </c>
      <c r="E32" s="2"/>
      <c r="F32" s="19"/>
      <c r="G32" s="2"/>
      <c r="H32" s="2">
        <f>-647.83</f>
        <v>-647.83000000000004</v>
      </c>
      <c r="I32" s="2"/>
      <c r="J32" s="19"/>
      <c r="K32" s="2"/>
      <c r="L32" s="2">
        <f t="shared" si="0"/>
        <v>343.71000000000004</v>
      </c>
      <c r="M32" s="2"/>
      <c r="N32" s="19">
        <f t="shared" si="1"/>
        <v>-0.53055585570288499</v>
      </c>
      <c r="O32" s="11"/>
      <c r="P32" s="2">
        <f>-3292.01</f>
        <v>-3292.01</v>
      </c>
      <c r="Q32" s="2"/>
      <c r="R32" s="19"/>
      <c r="S32" s="2"/>
      <c r="T32" s="2">
        <f>-3585.58</f>
        <v>-3585.58</v>
      </c>
      <c r="U32" s="2"/>
      <c r="V32" s="19"/>
      <c r="W32" s="2"/>
      <c r="X32" s="2">
        <f t="shared" si="2"/>
        <v>293.56999999999971</v>
      </c>
      <c r="Y32" s="2"/>
      <c r="Z32" s="19">
        <f t="shared" si="3"/>
        <v>-8.1875177795503018E-2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5" si="8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8"/>
        <v>0</v>
      </c>
      <c r="E34" s="2"/>
      <c r="F34" s="19"/>
      <c r="G34" s="2"/>
      <c r="H34" s="2">
        <f>-79.95</f>
        <v>-79.95</v>
      </c>
      <c r="I34" s="2"/>
      <c r="J34" s="19"/>
      <c r="K34" s="2"/>
      <c r="L34" s="2">
        <f t="shared" si="0"/>
        <v>79.95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-89.94</f>
        <v>-89.94</v>
      </c>
      <c r="U34" s="2"/>
      <c r="V34" s="19"/>
      <c r="W34" s="2"/>
      <c r="X34" s="2">
        <f t="shared" si="2"/>
        <v>-1189.8999999999999</v>
      </c>
      <c r="Y34" s="2"/>
      <c r="Z34" s="19">
        <f t="shared" si="3"/>
        <v>13.229931065154545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8"/>
        <v>0</v>
      </c>
      <c r="E35" s="2"/>
      <c r="F35" s="19"/>
      <c r="G35" s="2"/>
      <c r="H35" s="2">
        <f>-64.97</f>
        <v>-64.97</v>
      </c>
      <c r="I35" s="2"/>
      <c r="J35" s="19"/>
      <c r="K35" s="2"/>
      <c r="L35" s="2">
        <f t="shared" si="0"/>
        <v>64.97</v>
      </c>
      <c r="M35" s="2"/>
      <c r="N35" s="19">
        <f t="shared" si="1"/>
        <v>-1</v>
      </c>
      <c r="O35" s="11"/>
      <c r="P35" s="2">
        <f>-49.98</f>
        <v>-49.98</v>
      </c>
      <c r="Q35" s="2"/>
      <c r="R35" s="19"/>
      <c r="S35" s="2"/>
      <c r="T35" s="2">
        <f>-118.94</f>
        <v>-118.94</v>
      </c>
      <c r="U35" s="2"/>
      <c r="V35" s="19"/>
      <c r="W35" s="2"/>
      <c r="X35" s="2">
        <f t="shared" si="2"/>
        <v>68.960000000000008</v>
      </c>
      <c r="Y35" s="2"/>
      <c r="Z35" s="19">
        <f t="shared" si="3"/>
        <v>-0.57978812846813532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-49.99</f>
        <v>-49.99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-49.99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-49.99</f>
        <v>-49.99</v>
      </c>
      <c r="U36" s="2"/>
      <c r="V36" s="19"/>
      <c r="W36" s="2"/>
      <c r="X36" s="2">
        <f t="shared" si="2"/>
        <v>-54.969999999999992</v>
      </c>
      <c r="Y36" s="2"/>
      <c r="Z36" s="19">
        <f t="shared" si="3"/>
        <v>1.0996199239847968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9" t="s">
        <v>8</v>
      </c>
      <c r="C38" s="10"/>
      <c r="D38" s="4">
        <f>SUM(OSRRefD16x_0)</f>
        <v>181262.43</v>
      </c>
      <c r="E38" s="4"/>
      <c r="F38" s="12">
        <f t="shared" ref="F38:F52" si="9">IF(D$12=0,0,D38/D$12)</f>
        <v>0.84259408957409054</v>
      </c>
      <c r="G38" s="4"/>
      <c r="H38" s="4">
        <f>SUM(OSRRefH16x_0)</f>
        <v>239041.72999999998</v>
      </c>
      <c r="I38" s="4"/>
      <c r="J38" s="12">
        <f t="shared" ref="J38:J52" si="10">IF(H$12=0,0,H38/H$12)</f>
        <v>0.84912442669685562</v>
      </c>
      <c r="K38" s="4"/>
      <c r="L38" s="4">
        <f t="shared" ref="L38:L52" si="11">+D38-H38</f>
        <v>-57779.299999999988</v>
      </c>
      <c r="M38" s="4"/>
      <c r="N38" s="12">
        <f t="shared" ref="N38:N52" si="12">IF(H38=0,0,L38/H38)</f>
        <v>-0.24171218975030007</v>
      </c>
      <c r="O38" s="10"/>
      <c r="P38" s="4">
        <f>SUM(OSRRefP16x_0)</f>
        <v>1588309.2800000005</v>
      </c>
      <c r="Q38" s="4"/>
      <c r="R38" s="12">
        <f t="shared" ref="R38:R52" si="13">IF(P$12=0,0,P38/P$12)</f>
        <v>0.88312703006687776</v>
      </c>
      <c r="S38" s="4"/>
      <c r="T38" s="4">
        <f>SUM(OSRRefT16x_0)</f>
        <v>1545472.58</v>
      </c>
      <c r="U38" s="4"/>
      <c r="V38" s="12">
        <f t="shared" ref="V38:V52" si="14">IF(T$12=0,0,T38/T$12)</f>
        <v>0.84744691326721833</v>
      </c>
      <c r="W38" s="4"/>
      <c r="X38" s="4">
        <f t="shared" ref="X38:X52" si="15">+P38-T38</f>
        <v>42836.700000000419</v>
      </c>
      <c r="Y38" s="4"/>
      <c r="Z38" s="12">
        <f t="shared" ref="Z38:Z52" si="16">IF(T38=0,0,X38/T38)</f>
        <v>2.7717541258480572E-2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32346.16</v>
      </c>
      <c r="E39" s="2"/>
      <c r="F39" s="19">
        <f t="shared" si="9"/>
        <v>0.15036035452254426</v>
      </c>
      <c r="G39" s="2"/>
      <c r="H39" s="2">
        <v>8959.82</v>
      </c>
      <c r="I39" s="2"/>
      <c r="J39" s="19">
        <f t="shared" si="10"/>
        <v>3.18270873491713E-2</v>
      </c>
      <c r="K39" s="2"/>
      <c r="L39" s="2">
        <f t="shared" si="11"/>
        <v>23386.34</v>
      </c>
      <c r="M39" s="2"/>
      <c r="N39" s="19">
        <f t="shared" si="12"/>
        <v>2.6101350250339852</v>
      </c>
      <c r="O39" s="11"/>
      <c r="P39" s="2">
        <v>219755.59</v>
      </c>
      <c r="Q39" s="2"/>
      <c r="R39" s="19">
        <f t="shared" si="13"/>
        <v>0.12218785344960927</v>
      </c>
      <c r="S39" s="2"/>
      <c r="T39" s="2">
        <v>170243.29</v>
      </c>
      <c r="U39" s="2"/>
      <c r="V39" s="19">
        <f t="shared" si="14"/>
        <v>9.3351478688127806E-2</v>
      </c>
      <c r="W39" s="2"/>
      <c r="X39" s="2">
        <f t="shared" si="15"/>
        <v>49512.299999999988</v>
      </c>
      <c r="Y39" s="2"/>
      <c r="Z39" s="19">
        <f t="shared" si="16"/>
        <v>0.29083260785197457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159135.18</v>
      </c>
      <c r="E40" s="2"/>
      <c r="F40" s="19">
        <f t="shared" si="9"/>
        <v>0.73973609485048286</v>
      </c>
      <c r="G40" s="2"/>
      <c r="H40" s="2">
        <v>202415.77</v>
      </c>
      <c r="I40" s="2"/>
      <c r="J40" s="19">
        <f t="shared" si="10"/>
        <v>0.71902163130953156</v>
      </c>
      <c r="K40" s="2"/>
      <c r="L40" s="2">
        <f t="shared" si="11"/>
        <v>-43280.59</v>
      </c>
      <c r="M40" s="2"/>
      <c r="N40" s="19">
        <f t="shared" si="12"/>
        <v>-0.21382024730582996</v>
      </c>
      <c r="O40" s="11"/>
      <c r="P40" s="2">
        <v>1167313.1600000001</v>
      </c>
      <c r="Q40" s="2"/>
      <c r="R40" s="19">
        <f t="shared" si="13"/>
        <v>0.64904601208952317</v>
      </c>
      <c r="S40" s="2"/>
      <c r="T40" s="2">
        <v>1147679.08</v>
      </c>
      <c r="U40" s="2"/>
      <c r="V40" s="19">
        <f t="shared" si="14"/>
        <v>0.62932018746483409</v>
      </c>
      <c r="W40" s="2"/>
      <c r="X40" s="2">
        <f t="shared" si="15"/>
        <v>19634.080000000075</v>
      </c>
      <c r="Y40" s="2"/>
      <c r="Z40" s="19">
        <f t="shared" si="16"/>
        <v>1.7107639532821382E-2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10446.64</v>
      </c>
      <c r="E41" s="2"/>
      <c r="F41" s="19">
        <f t="shared" si="9"/>
        <v>4.8560957281154601E-2</v>
      </c>
      <c r="G41" s="2"/>
      <c r="H41" s="2">
        <v>7027.4</v>
      </c>
      <c r="I41" s="2"/>
      <c r="J41" s="19">
        <f t="shared" si="10"/>
        <v>2.4962741844988669E-2</v>
      </c>
      <c r="K41" s="2"/>
      <c r="L41" s="2">
        <f t="shared" si="11"/>
        <v>3419.24</v>
      </c>
      <c r="M41" s="2"/>
      <c r="N41" s="19">
        <f t="shared" si="12"/>
        <v>0.48655832882716227</v>
      </c>
      <c r="O41" s="11"/>
      <c r="P41" s="2">
        <v>64898.07</v>
      </c>
      <c r="Q41" s="2"/>
      <c r="R41" s="19">
        <f t="shared" si="13"/>
        <v>3.6084433011794981E-2</v>
      </c>
      <c r="S41" s="2"/>
      <c r="T41" s="2">
        <v>68543.89</v>
      </c>
      <c r="U41" s="2"/>
      <c r="V41" s="19">
        <f t="shared" si="14"/>
        <v>3.7585466578661492E-2</v>
      </c>
      <c r="W41" s="2"/>
      <c r="X41" s="2">
        <f t="shared" si="15"/>
        <v>-3645.8199999999997</v>
      </c>
      <c r="Y41" s="2"/>
      <c r="Z41" s="19">
        <f t="shared" si="16"/>
        <v>-5.3189569486062141E-2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1.5168144947326895E-3</v>
      </c>
      <c r="S42" s="2"/>
      <c r="T42" s="2">
        <v>1750</v>
      </c>
      <c r="U42" s="2"/>
      <c r="V42" s="19">
        <f t="shared" si="14"/>
        <v>9.5959780678712004E-4</v>
      </c>
      <c r="W42" s="2"/>
      <c r="X42" s="2">
        <f t="shared" si="15"/>
        <v>978</v>
      </c>
      <c r="Y42" s="2"/>
      <c r="Z42" s="19">
        <f t="shared" si="16"/>
        <v>0.55885714285714283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/>
      <c r="E43" s="2"/>
      <c r="F43" s="19">
        <f t="shared" si="9"/>
        <v>0</v>
      </c>
      <c r="G43" s="2"/>
      <c r="H43" s="2">
        <v>2806.51</v>
      </c>
      <c r="I43" s="2"/>
      <c r="J43" s="19">
        <f t="shared" si="10"/>
        <v>9.9692894406721057E-3</v>
      </c>
      <c r="K43" s="2"/>
      <c r="L43" s="2">
        <f t="shared" si="11"/>
        <v>-2806.51</v>
      </c>
      <c r="M43" s="2"/>
      <c r="N43" s="19">
        <f t="shared" si="12"/>
        <v>-1</v>
      </c>
      <c r="O43" s="11"/>
      <c r="P43" s="2">
        <v>7860.66</v>
      </c>
      <c r="Q43" s="2"/>
      <c r="R43" s="19">
        <f t="shared" si="13"/>
        <v>4.3706609333451106E-3</v>
      </c>
      <c r="S43" s="2"/>
      <c r="T43" s="2">
        <v>9369.98</v>
      </c>
      <c r="U43" s="2"/>
      <c r="V43" s="19">
        <f t="shared" si="14"/>
        <v>5.137949861508102E-3</v>
      </c>
      <c r="W43" s="2"/>
      <c r="X43" s="2">
        <f t="shared" si="15"/>
        <v>-1509.3199999999997</v>
      </c>
      <c r="Y43" s="2"/>
      <c r="Z43" s="19">
        <f t="shared" si="16"/>
        <v>-0.16108038651096371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4327.1400000000003</v>
      </c>
      <c r="E44" s="2"/>
      <c r="F44" s="19">
        <f t="shared" si="9"/>
        <v>2.0114607250711746E-2</v>
      </c>
      <c r="G44" s="2"/>
      <c r="H44" s="2">
        <v>5632.36</v>
      </c>
      <c r="I44" s="2"/>
      <c r="J44" s="19">
        <f t="shared" si="10"/>
        <v>2.0007278461172038E-2</v>
      </c>
      <c r="K44" s="2"/>
      <c r="L44" s="2">
        <f t="shared" si="11"/>
        <v>-1305.2199999999993</v>
      </c>
      <c r="M44" s="2"/>
      <c r="N44" s="19">
        <f t="shared" si="12"/>
        <v>-0.23173589756336588</v>
      </c>
      <c r="O44" s="11"/>
      <c r="P44" s="2">
        <v>24931.52</v>
      </c>
      <c r="Q44" s="2"/>
      <c r="R44" s="19">
        <f t="shared" si="13"/>
        <v>1.3862350040952326E-2</v>
      </c>
      <c r="S44" s="2"/>
      <c r="T44" s="2">
        <v>29561.919999999998</v>
      </c>
      <c r="U44" s="2"/>
      <c r="V44" s="19">
        <f t="shared" si="14"/>
        <v>1.6210030626523597E-2</v>
      </c>
      <c r="W44" s="2"/>
      <c r="X44" s="2">
        <f t="shared" si="15"/>
        <v>-4630.3999999999978</v>
      </c>
      <c r="Y44" s="2"/>
      <c r="Z44" s="19">
        <f t="shared" si="16"/>
        <v>-0.15663393987941238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/>
      <c r="I45" s="2"/>
      <c r="J45" s="19">
        <f t="shared" si="10"/>
        <v>0</v>
      </c>
      <c r="K45" s="2"/>
      <c r="L45" s="2">
        <f t="shared" si="11"/>
        <v>0</v>
      </c>
      <c r="M45" s="2"/>
      <c r="N45" s="19">
        <f t="shared" si="12"/>
        <v>0</v>
      </c>
      <c r="O45" s="11"/>
      <c r="P45" s="2">
        <v>88.75</v>
      </c>
      <c r="Q45" s="2"/>
      <c r="R45" s="19">
        <f t="shared" si="13"/>
        <v>4.9346512612729545E-5</v>
      </c>
      <c r="S45" s="2"/>
      <c r="T45" s="2">
        <v>0</v>
      </c>
      <c r="U45" s="2"/>
      <c r="V45" s="19">
        <f t="shared" si="14"/>
        <v>0</v>
      </c>
      <c r="W45" s="2"/>
      <c r="X45" s="2">
        <f t="shared" si="15"/>
        <v>88.75</v>
      </c>
      <c r="Y45" s="2"/>
      <c r="Z45" s="19">
        <f t="shared" si="16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-206288</v>
      </c>
      <c r="E46" s="2"/>
      <c r="F46" s="19">
        <f t="shared" si="9"/>
        <v>-0.95892485580194409</v>
      </c>
      <c r="G46" s="2"/>
      <c r="H46" s="2">
        <v>-226918</v>
      </c>
      <c r="I46" s="2"/>
      <c r="J46" s="19">
        <f t="shared" si="10"/>
        <v>-0.80605849303883925</v>
      </c>
      <c r="K46" s="2"/>
      <c r="L46" s="2">
        <f t="shared" si="11"/>
        <v>20630</v>
      </c>
      <c r="M46" s="2"/>
      <c r="N46" s="19">
        <f t="shared" si="12"/>
        <v>-9.0913898412642455E-2</v>
      </c>
      <c r="O46" s="11"/>
      <c r="P46" s="2">
        <v>-1487929</v>
      </c>
      <c r="Q46" s="2"/>
      <c r="R46" s="19">
        <f t="shared" si="13"/>
        <v>-0.82731388355319502</v>
      </c>
      <c r="S46" s="2"/>
      <c r="T46" s="2">
        <v>-1427406</v>
      </c>
      <c r="U46" s="2"/>
      <c r="V46" s="19">
        <f t="shared" si="14"/>
        <v>-0.78270609542558622</v>
      </c>
      <c r="W46" s="2"/>
      <c r="X46" s="2">
        <f t="shared" si="15"/>
        <v>-60523</v>
      </c>
      <c r="Y46" s="2"/>
      <c r="Z46" s="19">
        <f t="shared" si="16"/>
        <v>4.2400690483296276E-2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181262</v>
      </c>
      <c r="E47" s="2"/>
      <c r="F47" s="19">
        <f t="shared" si="9"/>
        <v>0.84259209072932983</v>
      </c>
      <c r="G47" s="2"/>
      <c r="H47" s="2">
        <v>239042</v>
      </c>
      <c r="I47" s="2"/>
      <c r="J47" s="19">
        <f t="shared" si="10"/>
        <v>0.84912538579130004</v>
      </c>
      <c r="K47" s="2"/>
      <c r="L47" s="2">
        <f t="shared" si="11"/>
        <v>-57780</v>
      </c>
      <c r="M47" s="2"/>
      <c r="N47" s="19">
        <f t="shared" si="12"/>
        <v>-0.2417148450899842</v>
      </c>
      <c r="O47" s="11"/>
      <c r="P47" s="2">
        <v>1588307</v>
      </c>
      <c r="Q47" s="2"/>
      <c r="R47" s="19">
        <f t="shared" si="13"/>
        <v>0.88312576234801832</v>
      </c>
      <c r="S47" s="2"/>
      <c r="T47" s="2">
        <v>1545460</v>
      </c>
      <c r="U47" s="2"/>
      <c r="V47" s="19">
        <f t="shared" si="14"/>
        <v>0.84744001512984146</v>
      </c>
      <c r="W47" s="2"/>
      <c r="X47" s="2">
        <f t="shared" si="15"/>
        <v>42847</v>
      </c>
      <c r="Y47" s="2"/>
      <c r="Z47" s="19">
        <f t="shared" si="16"/>
        <v>2.7724431560829786E-2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/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7.7206497826072292E-6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105.75</v>
      </c>
      <c r="Q49" s="2"/>
      <c r="R49" s="19">
        <f t="shared" si="13"/>
        <v>5.8798802352632666E-5</v>
      </c>
      <c r="S49" s="2"/>
      <c r="T49" s="2"/>
      <c r="U49" s="2"/>
      <c r="V49" s="19">
        <f t="shared" si="14"/>
        <v>0</v>
      </c>
      <c r="W49" s="2"/>
      <c r="X49" s="2">
        <f t="shared" si="15"/>
        <v>105.75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4.84</v>
      </c>
      <c r="Q50" s="2"/>
      <c r="R50" s="19">
        <f t="shared" si="13"/>
        <v>2.6911224906547717E-6</v>
      </c>
      <c r="S50" s="2"/>
      <c r="T50" s="2">
        <v>12</v>
      </c>
      <c r="U50" s="2"/>
      <c r="V50" s="19">
        <f t="shared" si="14"/>
        <v>6.5800992465402519E-6</v>
      </c>
      <c r="W50" s="2"/>
      <c r="X50" s="2">
        <f t="shared" si="15"/>
        <v>-7.16</v>
      </c>
      <c r="Y50" s="2"/>
      <c r="Z50" s="19">
        <f t="shared" si="16"/>
        <v>-0.59666666666666668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3.83</v>
      </c>
      <c r="I51" s="2"/>
      <c r="J51" s="19">
        <f t="shared" si="10"/>
        <v>1.3604932303029088E-5</v>
      </c>
      <c r="K51" s="2"/>
      <c r="L51" s="2">
        <f t="shared" si="11"/>
        <v>-3.83</v>
      </c>
      <c r="M51" s="2"/>
      <c r="N51" s="19">
        <f t="shared" si="12"/>
        <v>-1</v>
      </c>
      <c r="O51" s="11"/>
      <c r="P51" s="2">
        <v>49.12</v>
      </c>
      <c r="Q51" s="2"/>
      <c r="R51" s="19">
        <f t="shared" si="13"/>
        <v>2.731155717788479E-5</v>
      </c>
      <c r="S51" s="2"/>
      <c r="T51" s="2">
        <v>26.73</v>
      </c>
      <c r="U51" s="2"/>
      <c r="V51" s="19">
        <f t="shared" si="14"/>
        <v>1.4657171071668411E-5</v>
      </c>
      <c r="W51" s="2"/>
      <c r="X51" s="2">
        <f t="shared" si="15"/>
        <v>22.389999999999997</v>
      </c>
      <c r="Y51" s="2"/>
      <c r="Z51" s="19">
        <f t="shared" si="16"/>
        <v>0.83763561541339304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>
        <v>33.31</v>
      </c>
      <c r="E52" s="2"/>
      <c r="F52" s="19">
        <f t="shared" si="9"/>
        <v>1.5484074181126755E-4</v>
      </c>
      <c r="G52" s="2"/>
      <c r="H52" s="2">
        <v>72.040000000000006</v>
      </c>
      <c r="I52" s="2"/>
      <c r="J52" s="19">
        <f t="shared" si="10"/>
        <v>2.5590060655619203E-4</v>
      </c>
      <c r="K52" s="2"/>
      <c r="L52" s="2">
        <f t="shared" si="11"/>
        <v>-38.730000000000004</v>
      </c>
      <c r="M52" s="2"/>
      <c r="N52" s="19">
        <f t="shared" si="12"/>
        <v>-0.53761799000555244</v>
      </c>
      <c r="O52" s="11"/>
      <c r="P52" s="2">
        <v>195.82</v>
      </c>
      <c r="Q52" s="2"/>
      <c r="R52" s="19">
        <f t="shared" si="13"/>
        <v>1.0887925746281351E-4</v>
      </c>
      <c r="S52" s="2"/>
      <c r="T52" s="2">
        <v>217.61</v>
      </c>
      <c r="U52" s="2"/>
      <c r="V52" s="19">
        <f t="shared" si="14"/>
        <v>1.1932461641996868E-4</v>
      </c>
      <c r="W52" s="2"/>
      <c r="X52" s="2">
        <f t="shared" si="15"/>
        <v>-21.79000000000002</v>
      </c>
      <c r="Y52" s="2"/>
      <c r="Z52" s="19">
        <f t="shared" si="16"/>
        <v>-0.10013326593447001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1">
        <f>D12-D38</f>
        <v>33861.830000000075</v>
      </c>
      <c r="E54" s="14"/>
      <c r="F54" s="22">
        <f>IF(D$12=0,0,D54/D$12)</f>
        <v>0.15740591042590948</v>
      </c>
      <c r="G54" s="14"/>
      <c r="H54" s="21">
        <f>H12-H38</f>
        <v>42473.820000000007</v>
      </c>
      <c r="I54" s="14"/>
      <c r="J54" s="22">
        <f>IF(H$12=0,0,H54/H$12)</f>
        <v>0.15087557330314438</v>
      </c>
      <c r="K54" s="16"/>
      <c r="L54" s="21">
        <f>+D54-H54</f>
        <v>-8611.9899999999325</v>
      </c>
      <c r="M54" s="16"/>
      <c r="N54" s="22">
        <f>IF(H54=0,0,L54/H54)</f>
        <v>-0.20275995895824606</v>
      </c>
      <c r="O54" s="29"/>
      <c r="P54" s="21">
        <f>P12-P38</f>
        <v>210196.73999999929</v>
      </c>
      <c r="Q54" s="14"/>
      <c r="R54" s="22">
        <f>IF(P$12=0,0,P54/P$12)</f>
        <v>0.11687296993312223</v>
      </c>
      <c r="S54" s="14"/>
      <c r="T54" s="21">
        <f>T12-T38</f>
        <v>278208.12000000011</v>
      </c>
      <c r="U54" s="14"/>
      <c r="V54" s="22">
        <f>IF(T$12=0,0,T54/T$12)</f>
        <v>0.15255308673278173</v>
      </c>
      <c r="W54" s="16"/>
      <c r="X54" s="21">
        <f>+P54-T54</f>
        <v>-68011.38000000082</v>
      </c>
      <c r="Y54" s="16"/>
      <c r="Z54" s="22">
        <f>IF(T54=0,0,X54/T54)</f>
        <v>-0.24446223927612462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0">
        <f>SUM(OSRRefD22x_0)</f>
        <v>17632.02</v>
      </c>
      <c r="E56" s="20"/>
      <c r="F56" s="32">
        <f t="shared" ref="F56:F66" si="17">IF(D$12=0,0,D56/D$12)</f>
        <v>8.1962025110510525E-2</v>
      </c>
      <c r="G56" s="20"/>
      <c r="H56" s="20">
        <f>SUM(OSRRefH22x_0)</f>
        <v>33810.61</v>
      </c>
      <c r="I56" s="20"/>
      <c r="J56" s="32">
        <f t="shared" ref="J56:J66" si="18">IF(H$12=0,0,H56/H$12)</f>
        <v>0.12010210448410399</v>
      </c>
      <c r="K56" s="4"/>
      <c r="L56" s="20">
        <f t="shared" ref="L56:L66" si="19">+D56-H56</f>
        <v>-16178.59</v>
      </c>
      <c r="M56" s="4"/>
      <c r="N56" s="32">
        <f t="shared" ref="N56:N66" si="20">IF(H56=0,0,L56/H56)</f>
        <v>-0.47850630319890708</v>
      </c>
      <c r="O56" s="10"/>
      <c r="P56" s="20">
        <f>SUM(OSRRefP22x_0)</f>
        <v>146065.96</v>
      </c>
      <c r="Q56" s="20"/>
      <c r="R56" s="32">
        <f t="shared" ref="R56:R66" si="21">IF(P$12=0,0,P56/P$12)</f>
        <v>8.1215163238652938E-2</v>
      </c>
      <c r="S56" s="20"/>
      <c r="T56" s="20">
        <f>SUM(OSRRefT22x_0)</f>
        <v>204186.19999999995</v>
      </c>
      <c r="U56" s="20"/>
      <c r="V56" s="32">
        <f t="shared" ref="V56:V66" si="22">IF(T$12=0,0,T56/T$12)</f>
        <v>0.11196378839782641</v>
      </c>
      <c r="W56" s="4"/>
      <c r="X56" s="20">
        <f t="shared" ref="X56:X66" si="23">+P56-T56</f>
        <v>-58120.239999999962</v>
      </c>
      <c r="Y56" s="4"/>
      <c r="Z56" s="32">
        <f t="shared" ref="Z56:Z66" si="24">IF(T56=0,0,X56/T56)</f>
        <v>-0.28464333045034373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3177.6899999999996</v>
      </c>
      <c r="E57" s="1"/>
      <c r="F57" s="5">
        <f t="shared" si="17"/>
        <v>1.4771416296795157E-2</v>
      </c>
      <c r="G57" s="1"/>
      <c r="H57" s="1">
        <f>SUM(OSRRefH22_0x_0)</f>
        <v>2025.97</v>
      </c>
      <c r="I57" s="1"/>
      <c r="J57" s="5">
        <f t="shared" si="18"/>
        <v>7.1966539681378172E-3</v>
      </c>
      <c r="K57" s="1"/>
      <c r="L57" s="1">
        <f t="shared" si="19"/>
        <v>1151.7199999999996</v>
      </c>
      <c r="M57" s="1"/>
      <c r="N57" s="5">
        <f t="shared" si="20"/>
        <v>0.56847830915561415</v>
      </c>
      <c r="O57" s="13"/>
      <c r="P57" s="1">
        <f>SUM(OSRRefP22_0x_0)</f>
        <v>21398.9</v>
      </c>
      <c r="Q57" s="1"/>
      <c r="R57" s="5">
        <f t="shared" si="21"/>
        <v>1.1898153112659586E-2</v>
      </c>
      <c r="S57" s="1"/>
      <c r="T57" s="1">
        <f>SUM(OSRRefT22_0x_0)</f>
        <v>16564.48</v>
      </c>
      <c r="U57" s="1"/>
      <c r="V57" s="5">
        <f t="shared" si="22"/>
        <v>9.0829935306109225E-3</v>
      </c>
      <c r="W57" s="1"/>
      <c r="X57" s="1">
        <f t="shared" si="23"/>
        <v>4834.4200000000019</v>
      </c>
      <c r="Y57" s="1"/>
      <c r="Z57" s="5">
        <f t="shared" si="24"/>
        <v>0.29185461904025978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597.77</v>
      </c>
      <c r="E58" s="2"/>
      <c r="F58" s="7">
        <f t="shared" si="17"/>
        <v>2.7787196107031341E-3</v>
      </c>
      <c r="G58" s="2"/>
      <c r="H58" s="6">
        <v>263.69</v>
      </c>
      <c r="I58" s="2"/>
      <c r="J58" s="7">
        <f t="shared" si="18"/>
        <v>9.3668005195450131E-4</v>
      </c>
      <c r="K58" s="2"/>
      <c r="L58" s="6">
        <f t="shared" si="19"/>
        <v>334.08</v>
      </c>
      <c r="M58" s="2"/>
      <c r="N58" s="7">
        <f t="shared" si="20"/>
        <v>1.2669422427850885</v>
      </c>
      <c r="O58" s="11"/>
      <c r="P58" s="6">
        <v>4825.51</v>
      </c>
      <c r="Q58" s="2"/>
      <c r="R58" s="7">
        <f t="shared" si="21"/>
        <v>2.6830658036941131E-3</v>
      </c>
      <c r="S58" s="2"/>
      <c r="T58" s="6">
        <v>3537.54</v>
      </c>
      <c r="U58" s="2"/>
      <c r="V58" s="7">
        <f t="shared" si="22"/>
        <v>1.9397803573838336E-3</v>
      </c>
      <c r="W58" s="2"/>
      <c r="X58" s="6">
        <f t="shared" si="23"/>
        <v>1287.9700000000003</v>
      </c>
      <c r="Y58" s="2"/>
      <c r="Z58" s="7">
        <f t="shared" si="24"/>
        <v>0.36408634248658678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192.57</v>
      </c>
      <c r="E59" s="2"/>
      <c r="F59" s="7">
        <f t="shared" si="17"/>
        <v>8.9515705945949532E-4</v>
      </c>
      <c r="G59" s="2"/>
      <c r="H59" s="6">
        <v>81.2</v>
      </c>
      <c r="I59" s="2"/>
      <c r="J59" s="7">
        <f t="shared" si="18"/>
        <v>2.8843877363079947E-4</v>
      </c>
      <c r="K59" s="2"/>
      <c r="L59" s="6">
        <f t="shared" si="19"/>
        <v>111.36999999999999</v>
      </c>
      <c r="M59" s="2"/>
      <c r="N59" s="7">
        <f t="shared" si="20"/>
        <v>1.3715517241379309</v>
      </c>
      <c r="O59" s="11"/>
      <c r="P59" s="6">
        <v>1153.18</v>
      </c>
      <c r="Q59" s="2"/>
      <c r="R59" s="7">
        <f t="shared" si="21"/>
        <v>6.4118773425067555E-4</v>
      </c>
      <c r="S59" s="2"/>
      <c r="T59" s="6">
        <v>814.03</v>
      </c>
      <c r="U59" s="2"/>
      <c r="V59" s="7">
        <f t="shared" si="22"/>
        <v>4.4636651580509673E-4</v>
      </c>
      <c r="W59" s="2"/>
      <c r="X59" s="6">
        <f t="shared" si="23"/>
        <v>339.15000000000009</v>
      </c>
      <c r="Y59" s="2"/>
      <c r="Z59" s="7">
        <f t="shared" si="24"/>
        <v>0.4166308367013502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1376.77</v>
      </c>
      <c r="E60" s="2"/>
      <c r="F60" s="7">
        <f t="shared" si="17"/>
        <v>6.3998825608975922E-3</v>
      </c>
      <c r="G60" s="2"/>
      <c r="H60" s="6">
        <v>964.88</v>
      </c>
      <c r="I60" s="2"/>
      <c r="J60" s="7">
        <f t="shared" si="18"/>
        <v>3.4274483239025342E-3</v>
      </c>
      <c r="K60" s="2"/>
      <c r="L60" s="6">
        <f t="shared" si="19"/>
        <v>411.89</v>
      </c>
      <c r="M60" s="2"/>
      <c r="N60" s="7">
        <f t="shared" si="20"/>
        <v>0.42688209932841387</v>
      </c>
      <c r="O60" s="11"/>
      <c r="P60" s="6">
        <v>7811.59</v>
      </c>
      <c r="Q60" s="2"/>
      <c r="R60" s="7">
        <f t="shared" si="21"/>
        <v>4.3433771770194024E-3</v>
      </c>
      <c r="S60" s="2"/>
      <c r="T60" s="6">
        <v>6503.54</v>
      </c>
      <c r="U60" s="2"/>
      <c r="V60" s="7">
        <f t="shared" si="22"/>
        <v>3.5661615544870322E-3</v>
      </c>
      <c r="W60" s="2"/>
      <c r="X60" s="6">
        <f t="shared" si="23"/>
        <v>1308.0500000000002</v>
      </c>
      <c r="Y60" s="2"/>
      <c r="Z60" s="7">
        <f t="shared" si="24"/>
        <v>0.20112892363236026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26.35</v>
      </c>
      <c r="E61" s="2"/>
      <c r="F61" s="7">
        <f t="shared" si="17"/>
        <v>1.2248734754508856E-4</v>
      </c>
      <c r="G61" s="2"/>
      <c r="H61" s="6">
        <v>17.739999999999998</v>
      </c>
      <c r="I61" s="2"/>
      <c r="J61" s="7">
        <f t="shared" si="18"/>
        <v>6.3016057194709141E-5</v>
      </c>
      <c r="K61" s="2"/>
      <c r="L61" s="6">
        <f t="shared" si="19"/>
        <v>8.610000000000003</v>
      </c>
      <c r="M61" s="2"/>
      <c r="N61" s="7">
        <f t="shared" si="20"/>
        <v>0.48534385569334859</v>
      </c>
      <c r="O61" s="11"/>
      <c r="P61" s="6">
        <v>186.25</v>
      </c>
      <c r="Q61" s="2"/>
      <c r="R61" s="7">
        <f t="shared" si="21"/>
        <v>1.0355817435629157E-4</v>
      </c>
      <c r="S61" s="2"/>
      <c r="T61" s="6">
        <v>177.86</v>
      </c>
      <c r="U61" s="2"/>
      <c r="V61" s="7">
        <f t="shared" si="22"/>
        <v>9.7528037665804102E-5</v>
      </c>
      <c r="W61" s="2"/>
      <c r="X61" s="6">
        <f t="shared" si="23"/>
        <v>8.3899999999999864</v>
      </c>
      <c r="Y61" s="2"/>
      <c r="Z61" s="7">
        <f t="shared" si="24"/>
        <v>4.7171932980996208E-2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400.55</v>
      </c>
      <c r="E62" s="2"/>
      <c r="F62" s="7">
        <f t="shared" si="17"/>
        <v>1.8619471369709761E-3</v>
      </c>
      <c r="G62" s="2"/>
      <c r="H62" s="6">
        <v>261.63</v>
      </c>
      <c r="I62" s="2"/>
      <c r="J62" s="7">
        <f t="shared" si="18"/>
        <v>9.2936251656436028E-4</v>
      </c>
      <c r="K62" s="2"/>
      <c r="L62" s="6">
        <f t="shared" si="19"/>
        <v>138.92000000000002</v>
      </c>
      <c r="M62" s="2"/>
      <c r="N62" s="7">
        <f t="shared" si="20"/>
        <v>0.53097886328020494</v>
      </c>
      <c r="O62" s="11"/>
      <c r="P62" s="6">
        <v>1686.47</v>
      </c>
      <c r="Q62" s="2"/>
      <c r="R62" s="7">
        <f t="shared" si="21"/>
        <v>9.3770606339143659E-4</v>
      </c>
      <c r="S62" s="2"/>
      <c r="T62" s="6">
        <v>1392.82</v>
      </c>
      <c r="U62" s="2"/>
      <c r="V62" s="7">
        <f t="shared" si="22"/>
        <v>7.6374115271384945E-4</v>
      </c>
      <c r="W62" s="2"/>
      <c r="X62" s="6">
        <f t="shared" si="23"/>
        <v>293.65000000000009</v>
      </c>
      <c r="Y62" s="2"/>
      <c r="Z62" s="7">
        <f t="shared" si="24"/>
        <v>0.21083126319265957</v>
      </c>
    </row>
    <row r="63" spans="1:26" s="24" customFormat="1" hidden="1" outlineLevel="2" x14ac:dyDescent="0.25">
      <c r="A63" s="25"/>
      <c r="B63" s="11" t="str">
        <f>CONCATENATE("          ", "6117", " - ", "RETIREMENT STAFF HOURLY")</f>
        <v xml:space="preserve">          6117 - RETIREMENT STAFF HOURLY</v>
      </c>
      <c r="C63" s="11"/>
      <c r="D63" s="6">
        <v>163.13</v>
      </c>
      <c r="E63" s="2"/>
      <c r="F63" s="7">
        <f t="shared" si="17"/>
        <v>7.5830592049450833E-4</v>
      </c>
      <c r="G63" s="2"/>
      <c r="H63" s="6">
        <v>35.15</v>
      </c>
      <c r="I63" s="2"/>
      <c r="J63" s="7">
        <f t="shared" si="18"/>
        <v>1.2485988784633744E-4</v>
      </c>
      <c r="K63" s="2"/>
      <c r="L63" s="6">
        <f t="shared" si="19"/>
        <v>127.97999999999999</v>
      </c>
      <c r="M63" s="2"/>
      <c r="N63" s="7">
        <f t="shared" si="20"/>
        <v>3.6409672830725461</v>
      </c>
      <c r="O63" s="11"/>
      <c r="P63" s="6">
        <v>1195.3599999999999</v>
      </c>
      <c r="Q63" s="2"/>
      <c r="R63" s="7">
        <f t="shared" si="21"/>
        <v>6.6464053314650566E-4</v>
      </c>
      <c r="S63" s="2"/>
      <c r="T63" s="6">
        <v>847.41</v>
      </c>
      <c r="U63" s="2"/>
      <c r="V63" s="7">
        <f t="shared" si="22"/>
        <v>4.6467015854255618E-4</v>
      </c>
      <c r="W63" s="2"/>
      <c r="X63" s="6">
        <f t="shared" si="23"/>
        <v>347.94999999999993</v>
      </c>
      <c r="Y63" s="2"/>
      <c r="Z63" s="7">
        <f t="shared" si="24"/>
        <v>0.41060407594906828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67.989999999999995</v>
      </c>
      <c r="E64" s="2"/>
      <c r="F64" s="7">
        <f t="shared" si="17"/>
        <v>3.1604989599964215E-4</v>
      </c>
      <c r="G64" s="2"/>
      <c r="H64" s="6">
        <v>146.9</v>
      </c>
      <c r="I64" s="2"/>
      <c r="J64" s="7">
        <f t="shared" si="18"/>
        <v>5.2181842175325662E-4</v>
      </c>
      <c r="K64" s="2"/>
      <c r="L64" s="6">
        <f t="shared" si="19"/>
        <v>-78.910000000000011</v>
      </c>
      <c r="M64" s="2"/>
      <c r="N64" s="7">
        <f t="shared" si="20"/>
        <v>-0.53716814159292037</v>
      </c>
      <c r="O64" s="11"/>
      <c r="P64" s="6">
        <v>1599.08</v>
      </c>
      <c r="Q64" s="2"/>
      <c r="R64" s="7">
        <f t="shared" si="21"/>
        <v>8.8911573395789923E-4</v>
      </c>
      <c r="S64" s="2"/>
      <c r="T64" s="6">
        <v>1251.67</v>
      </c>
      <c r="U64" s="2"/>
      <c r="V64" s="7">
        <f t="shared" si="22"/>
        <v>6.8634273532641981E-4</v>
      </c>
      <c r="W64" s="2"/>
      <c r="X64" s="6">
        <f t="shared" si="23"/>
        <v>347.40999999999985</v>
      </c>
      <c r="Y64" s="2"/>
      <c r="Z64" s="7">
        <f t="shared" si="24"/>
        <v>0.27755718360270665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177.56</v>
      </c>
      <c r="E65" s="2"/>
      <c r="F65" s="7">
        <f t="shared" si="17"/>
        <v>8.2538343188257772E-4</v>
      </c>
      <c r="G65" s="2"/>
      <c r="H65" s="6">
        <v>117.58</v>
      </c>
      <c r="I65" s="2"/>
      <c r="J65" s="7">
        <f t="shared" si="18"/>
        <v>4.1766786950134726E-4</v>
      </c>
      <c r="K65" s="2"/>
      <c r="L65" s="6">
        <f t="shared" si="19"/>
        <v>59.980000000000004</v>
      </c>
      <c r="M65" s="2"/>
      <c r="N65" s="7">
        <f t="shared" si="20"/>
        <v>0.51012076883823787</v>
      </c>
      <c r="O65" s="11"/>
      <c r="P65" s="6">
        <v>1805.68</v>
      </c>
      <c r="Q65" s="2"/>
      <c r="R65" s="7">
        <f t="shared" si="21"/>
        <v>1.0039888551498983E-3</v>
      </c>
      <c r="S65" s="2"/>
      <c r="T65" s="6">
        <v>1049.92</v>
      </c>
      <c r="U65" s="2"/>
      <c r="V65" s="7">
        <f t="shared" si="22"/>
        <v>5.7571481674396181E-4</v>
      </c>
      <c r="W65" s="2"/>
      <c r="X65" s="6">
        <f t="shared" si="23"/>
        <v>755.76</v>
      </c>
      <c r="Y65" s="2"/>
      <c r="Z65" s="7">
        <f t="shared" si="24"/>
        <v>0.71982627247790298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6">
        <v>175</v>
      </c>
      <c r="E66" s="2"/>
      <c r="F66" s="7">
        <f t="shared" si="17"/>
        <v>8.1348333284214408E-4</v>
      </c>
      <c r="G66" s="2"/>
      <c r="H66" s="6">
        <v>137.19999999999999</v>
      </c>
      <c r="I66" s="2"/>
      <c r="J66" s="7">
        <f t="shared" si="18"/>
        <v>4.8736206578997143E-4</v>
      </c>
      <c r="K66" s="2"/>
      <c r="L66" s="6">
        <f t="shared" si="19"/>
        <v>37.800000000000011</v>
      </c>
      <c r="M66" s="2"/>
      <c r="N66" s="7">
        <f t="shared" si="20"/>
        <v>0.27551020408163274</v>
      </c>
      <c r="O66" s="11"/>
      <c r="P66" s="6">
        <v>1135.78</v>
      </c>
      <c r="Q66" s="2"/>
      <c r="R66" s="7">
        <f t="shared" si="21"/>
        <v>6.3151303769336286E-4</v>
      </c>
      <c r="S66" s="2"/>
      <c r="T66" s="6">
        <v>989.69</v>
      </c>
      <c r="U66" s="2"/>
      <c r="V66" s="7">
        <f t="shared" si="22"/>
        <v>5.4268820194236847E-4</v>
      </c>
      <c r="W66" s="2"/>
      <c r="X66" s="6">
        <f t="shared" si="23"/>
        <v>146.08999999999992</v>
      </c>
      <c r="Y66" s="2"/>
      <c r="Z66" s="7">
        <f t="shared" si="24"/>
        <v>0.14761187846699461</v>
      </c>
    </row>
    <row r="67" spans="1:26" s="26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12027.429999999998</v>
      </c>
      <c r="E67" s="1"/>
      <c r="F67" s="5">
        <f t="shared" ref="F67:F71" si="25">IF(D$12=0,0,D67/D$12)</f>
        <v>5.59092219538605E-2</v>
      </c>
      <c r="G67" s="1"/>
      <c r="H67" s="1">
        <f>SUM(OSRRefH22_1x_0)</f>
        <v>9074.43</v>
      </c>
      <c r="I67" s="1"/>
      <c r="J67" s="5">
        <f t="shared" ref="J67:J71" si="26">IF(H$12=0,0,H67/H$12)</f>
        <v>3.2234205179784918E-2</v>
      </c>
      <c r="K67" s="1"/>
      <c r="L67" s="1">
        <f t="shared" ref="L67:L71" si="27">+D67-H67</f>
        <v>2952.9999999999982</v>
      </c>
      <c r="M67" s="1"/>
      <c r="N67" s="5">
        <f t="shared" ref="N67:N71" si="28">IF(H67=0,0,L67/H67)</f>
        <v>0.32541988863212323</v>
      </c>
      <c r="O67" s="13"/>
      <c r="P67" s="1">
        <f>SUM(OSRRefP22_1x_0)</f>
        <v>69315.930000000008</v>
      </c>
      <c r="Q67" s="1"/>
      <c r="R67" s="5">
        <f t="shared" ref="R67:R71" si="29">IF(P$12=0,0,P67/P$12)</f>
        <v>3.854083846769666E-2</v>
      </c>
      <c r="S67" s="1"/>
      <c r="T67" s="1">
        <f>SUM(OSRRefT22_1x_0)</f>
        <v>62993.24</v>
      </c>
      <c r="U67" s="1"/>
      <c r="V67" s="5">
        <f t="shared" ref="V67:V71" si="30">IF(T$12=0,0,T67/T$12)</f>
        <v>3.4541814255094103E-2</v>
      </c>
      <c r="W67" s="1"/>
      <c r="X67" s="1">
        <f t="shared" ref="X67:X71" si="31">+P67-T67</f>
        <v>6322.6900000000096</v>
      </c>
      <c r="Y67" s="1"/>
      <c r="Z67" s="5">
        <f t="shared" ref="Z67:Z71" si="32">IF(T67=0,0,X67/T67)</f>
        <v>0.10037092869012627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4760.5600000000004</v>
      </c>
      <c r="E68" s="2"/>
      <c r="F68" s="7">
        <f t="shared" si="25"/>
        <v>2.2129349799971415E-2</v>
      </c>
      <c r="G68" s="2"/>
      <c r="H68" s="6">
        <v>2932.28</v>
      </c>
      <c r="I68" s="2"/>
      <c r="J68" s="7">
        <f t="shared" si="26"/>
        <v>1.0416049841651733E-2</v>
      </c>
      <c r="K68" s="2"/>
      <c r="L68" s="6">
        <f t="shared" si="27"/>
        <v>1828.2800000000002</v>
      </c>
      <c r="M68" s="2"/>
      <c r="N68" s="7">
        <f t="shared" si="28"/>
        <v>0.62350116632790864</v>
      </c>
      <c r="O68" s="11"/>
      <c r="P68" s="6">
        <v>23538.7</v>
      </c>
      <c r="Q68" s="2"/>
      <c r="R68" s="7">
        <f t="shared" si="29"/>
        <v>1.3087918382391628E-2</v>
      </c>
      <c r="S68" s="2"/>
      <c r="T68" s="6">
        <v>18482.400000000001</v>
      </c>
      <c r="U68" s="2"/>
      <c r="V68" s="7">
        <f t="shared" si="30"/>
        <v>1.0134668859521296E-2</v>
      </c>
      <c r="W68" s="2"/>
      <c r="X68" s="6">
        <f t="shared" si="31"/>
        <v>5056.2999999999993</v>
      </c>
      <c r="Y68" s="2"/>
      <c r="Z68" s="7">
        <f t="shared" si="32"/>
        <v>0.27357377829719076</v>
      </c>
    </row>
    <row r="69" spans="1:26" s="24" customFormat="1" hidden="1" outlineLevel="2" x14ac:dyDescent="0.25">
      <c r="A69" s="25"/>
      <c r="B69" s="11" t="str">
        <f>CONCATENATE("          ", "6005", " - ", "TEMPORARY WAGES-HOURLY")</f>
        <v xml:space="preserve">          6005 - TEMPORARY WAGES-HOURLY</v>
      </c>
      <c r="C69" s="11"/>
      <c r="D69" s="6">
        <v>3463.74</v>
      </c>
      <c r="E69" s="2"/>
      <c r="F69" s="7">
        <f t="shared" si="25"/>
        <v>1.6101112910277989E-2</v>
      </c>
      <c r="G69" s="2"/>
      <c r="H69" s="6">
        <v>897.65</v>
      </c>
      <c r="I69" s="2"/>
      <c r="J69" s="7">
        <f t="shared" si="26"/>
        <v>3.1886338072621566E-3</v>
      </c>
      <c r="K69" s="2"/>
      <c r="L69" s="6">
        <f t="shared" si="27"/>
        <v>2566.0899999999997</v>
      </c>
      <c r="M69" s="2"/>
      <c r="N69" s="7">
        <f t="shared" si="28"/>
        <v>2.858675430290202</v>
      </c>
      <c r="O69" s="11"/>
      <c r="P69" s="6">
        <v>23123.030000000002</v>
      </c>
      <c r="Q69" s="2"/>
      <c r="R69" s="7">
        <f t="shared" si="29"/>
        <v>1.2856798777910126E-2</v>
      </c>
      <c r="S69" s="2"/>
      <c r="T69" s="6">
        <v>15979.969999999998</v>
      </c>
      <c r="U69" s="2"/>
      <c r="V69" s="7">
        <f t="shared" si="30"/>
        <v>8.7624823797279837E-3</v>
      </c>
      <c r="W69" s="2"/>
      <c r="X69" s="6">
        <f t="shared" si="31"/>
        <v>7143.0600000000049</v>
      </c>
      <c r="Y69" s="2"/>
      <c r="Z69" s="7">
        <f t="shared" si="32"/>
        <v>0.44700083917554329</v>
      </c>
    </row>
    <row r="70" spans="1:26" s="24" customFormat="1" hidden="1" outlineLevel="2" x14ac:dyDescent="0.25">
      <c r="A70" s="25"/>
      <c r="B70" s="11" t="str">
        <f>CONCATENATE("          ", "6006", " - ", "TEMPORARY PART TIME")</f>
        <v xml:space="preserve">          6006 - TEMPORARY PART TIME</v>
      </c>
      <c r="C70" s="11"/>
      <c r="D70" s="6">
        <v>299.06</v>
      </c>
      <c r="E70" s="2"/>
      <c r="F70" s="7">
        <f t="shared" si="25"/>
        <v>1.3901732886844092E-3</v>
      </c>
      <c r="G70" s="2"/>
      <c r="H70" s="6"/>
      <c r="I70" s="2"/>
      <c r="J70" s="7">
        <f t="shared" si="26"/>
        <v>0</v>
      </c>
      <c r="K70" s="2"/>
      <c r="L70" s="6">
        <f t="shared" si="27"/>
        <v>299.06</v>
      </c>
      <c r="M70" s="2"/>
      <c r="N70" s="7">
        <f t="shared" si="28"/>
        <v>0</v>
      </c>
      <c r="O70" s="11"/>
      <c r="P70" s="6">
        <v>8541.2199999999993</v>
      </c>
      <c r="Q70" s="2"/>
      <c r="R70" s="7">
        <f t="shared" si="29"/>
        <v>4.7490638924856093E-3</v>
      </c>
      <c r="S70" s="2"/>
      <c r="T70" s="6"/>
      <c r="U70" s="2"/>
      <c r="V70" s="7">
        <f t="shared" si="30"/>
        <v>0</v>
      </c>
      <c r="W70" s="2"/>
      <c r="X70" s="6">
        <f t="shared" si="31"/>
        <v>8541.2199999999993</v>
      </c>
      <c r="Y70" s="2"/>
      <c r="Z70" s="7">
        <f t="shared" si="32"/>
        <v>0</v>
      </c>
    </row>
    <row r="71" spans="1:26" s="24" customFormat="1" hidden="1" outlineLevel="2" x14ac:dyDescent="0.25">
      <c r="A71" s="25"/>
      <c r="B71" s="11" t="str">
        <f>CONCATENATE("          ", "6007", " - ", "STUDENT HOURLY")</f>
        <v xml:space="preserve">          6007 - STUDENT HOURLY</v>
      </c>
      <c r="C71" s="11"/>
      <c r="D71" s="6">
        <v>3504.07</v>
      </c>
      <c r="E71" s="2"/>
      <c r="F71" s="7">
        <f t="shared" si="25"/>
        <v>1.6288585954926698E-2</v>
      </c>
      <c r="G71" s="2"/>
      <c r="H71" s="6">
        <v>5244.5</v>
      </c>
      <c r="I71" s="2"/>
      <c r="J71" s="7">
        <f t="shared" si="26"/>
        <v>1.8629521530871031E-2</v>
      </c>
      <c r="K71" s="2"/>
      <c r="L71" s="6">
        <f t="shared" si="27"/>
        <v>-1740.4299999999998</v>
      </c>
      <c r="M71" s="2"/>
      <c r="N71" s="7">
        <f t="shared" si="28"/>
        <v>-0.33185813709600531</v>
      </c>
      <c r="O71" s="11"/>
      <c r="P71" s="6">
        <v>14112.98</v>
      </c>
      <c r="Q71" s="2"/>
      <c r="R71" s="7">
        <f t="shared" si="29"/>
        <v>7.8470574149092937E-3</v>
      </c>
      <c r="S71" s="2"/>
      <c r="T71" s="6">
        <v>28530.870000000003</v>
      </c>
      <c r="U71" s="2"/>
      <c r="V71" s="7">
        <f t="shared" si="30"/>
        <v>1.5644663015844825E-2</v>
      </c>
      <c r="W71" s="2"/>
      <c r="X71" s="6">
        <f t="shared" si="31"/>
        <v>-14417.890000000003</v>
      </c>
      <c r="Y71" s="2"/>
      <c r="Z71" s="7">
        <f t="shared" si="32"/>
        <v>-0.50534351038016023</v>
      </c>
    </row>
    <row r="72" spans="1:26" s="26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140.44999999999999</v>
      </c>
      <c r="E72" s="1"/>
      <c r="F72" s="5">
        <f t="shared" ref="F72:F94" si="33">IF(D$12=0,0,D72/D$12)</f>
        <v>6.5287848055816647E-4</v>
      </c>
      <c r="G72" s="1"/>
      <c r="H72" s="1">
        <f>SUM(OSRRefH22_2x_0)</f>
        <v>1639.25</v>
      </c>
      <c r="I72" s="1"/>
      <c r="J72" s="5">
        <f t="shared" ref="J72:J94" si="34">IF(H$12=0,0,H72/H$12)</f>
        <v>5.8229465477129061E-3</v>
      </c>
      <c r="K72" s="1"/>
      <c r="L72" s="1">
        <f t="shared" ref="L72:L94" si="35">+D72-H72</f>
        <v>-1498.8</v>
      </c>
      <c r="M72" s="1"/>
      <c r="N72" s="5">
        <f t="shared" ref="N72:N94" si="36">IF(H72=0,0,L72/H72)</f>
        <v>-0.91432057343297235</v>
      </c>
      <c r="O72" s="13"/>
      <c r="P72" s="1">
        <f>SUM(OSRRefP22_2x_0)</f>
        <v>1648.83</v>
      </c>
      <c r="Q72" s="1"/>
      <c r="R72" s="5">
        <f t="shared" ref="R72:R94" si="37">IF(P$12=0,0,P72/P$12)</f>
        <v>9.1677758187320394E-4</v>
      </c>
      <c r="S72" s="1"/>
      <c r="T72" s="1">
        <f>SUM(OSRRefT22_2x_0)</f>
        <v>2986.14</v>
      </c>
      <c r="U72" s="1"/>
      <c r="V72" s="5">
        <f t="shared" ref="V72:V94" si="38">IF(T$12=0,0,T72/T$12)</f>
        <v>1.6374247970053089E-3</v>
      </c>
      <c r="W72" s="1"/>
      <c r="X72" s="1">
        <f t="shared" ref="X72:X94" si="39">+P72-T72</f>
        <v>-1337.31</v>
      </c>
      <c r="Y72" s="1"/>
      <c r="Z72" s="5">
        <f t="shared" ref="Z72:Z94" si="40">IF(T72=0,0,X72/T72)</f>
        <v>-0.44783901625509853</v>
      </c>
    </row>
    <row r="73" spans="1:26" s="24" customFormat="1" hidden="1" outlineLevel="2" x14ac:dyDescent="0.25">
      <c r="A73" s="25"/>
      <c r="B73" s="11" t="str">
        <f>CONCATENATE("          ", "6362", " - ", "ADVERTISING EXPENSE")</f>
        <v xml:space="preserve">          6362 - ADVERTISING EXPENSE</v>
      </c>
      <c r="C73" s="11"/>
      <c r="D73" s="6">
        <v>140.44999999999999</v>
      </c>
      <c r="E73" s="2"/>
      <c r="F73" s="7">
        <f t="shared" si="33"/>
        <v>6.5287848055816647E-4</v>
      </c>
      <c r="G73" s="2"/>
      <c r="H73" s="6">
        <v>1639.25</v>
      </c>
      <c r="I73" s="2"/>
      <c r="J73" s="7">
        <f t="shared" si="34"/>
        <v>5.8229465477129061E-3</v>
      </c>
      <c r="K73" s="2"/>
      <c r="L73" s="6">
        <f t="shared" si="35"/>
        <v>-1498.8</v>
      </c>
      <c r="M73" s="2"/>
      <c r="N73" s="7">
        <f t="shared" si="36"/>
        <v>-0.91432057343297235</v>
      </c>
      <c r="O73" s="11"/>
      <c r="P73" s="6">
        <v>1648.83</v>
      </c>
      <c r="Q73" s="2"/>
      <c r="R73" s="7">
        <f t="shared" si="37"/>
        <v>9.1677758187320394E-4</v>
      </c>
      <c r="S73" s="2"/>
      <c r="T73" s="6">
        <v>2986.14</v>
      </c>
      <c r="U73" s="2"/>
      <c r="V73" s="7">
        <f t="shared" si="38"/>
        <v>1.6374247970053089E-3</v>
      </c>
      <c r="W73" s="2"/>
      <c r="X73" s="6">
        <f t="shared" si="39"/>
        <v>-1337.31</v>
      </c>
      <c r="Y73" s="2"/>
      <c r="Z73" s="7">
        <f t="shared" si="40"/>
        <v>-0.44783901625509853</v>
      </c>
    </row>
    <row r="74" spans="1:26" s="26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3"/>
        <v>1.303618662070005E-3</v>
      </c>
      <c r="G74" s="1"/>
      <c r="H74" s="1">
        <f>SUM(OSRRefH22_3x_0)</f>
        <v>280.44</v>
      </c>
      <c r="I74" s="1"/>
      <c r="J74" s="5">
        <f t="shared" si="34"/>
        <v>9.9617942951996802E-4</v>
      </c>
      <c r="K74" s="1"/>
      <c r="L74" s="1">
        <f t="shared" si="35"/>
        <v>0</v>
      </c>
      <c r="M74" s="1"/>
      <c r="N74" s="5">
        <f t="shared" si="36"/>
        <v>0</v>
      </c>
      <c r="O74" s="13"/>
      <c r="P74" s="1">
        <f>SUM(OSRRefP22_3x_0)</f>
        <v>1963.08</v>
      </c>
      <c r="Q74" s="1"/>
      <c r="R74" s="5">
        <f t="shared" si="37"/>
        <v>1.0915059378005308E-3</v>
      </c>
      <c r="S74" s="1"/>
      <c r="T74" s="1">
        <f>SUM(OSRRefT22_3x_0)</f>
        <v>1963.08</v>
      </c>
      <c r="U74" s="1"/>
      <c r="V74" s="5">
        <f t="shared" si="38"/>
        <v>1.0764384357415198E-3</v>
      </c>
      <c r="W74" s="1"/>
      <c r="X74" s="1">
        <f t="shared" si="39"/>
        <v>0</v>
      </c>
      <c r="Y74" s="1"/>
      <c r="Z74" s="5">
        <f t="shared" si="40"/>
        <v>0</v>
      </c>
    </row>
    <row r="75" spans="1:26" s="24" customFormat="1" hidden="1" outlineLevel="2" x14ac:dyDescent="0.25">
      <c r="A75" s="25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3"/>
        <v>1.303618662070005E-3</v>
      </c>
      <c r="G75" s="2"/>
      <c r="H75" s="6">
        <v>280.44</v>
      </c>
      <c r="I75" s="2"/>
      <c r="J75" s="7">
        <f t="shared" si="34"/>
        <v>9.9617942951996802E-4</v>
      </c>
      <c r="K75" s="2"/>
      <c r="L75" s="6">
        <f t="shared" si="35"/>
        <v>0</v>
      </c>
      <c r="M75" s="2"/>
      <c r="N75" s="7">
        <f t="shared" si="36"/>
        <v>0</v>
      </c>
      <c r="O75" s="11"/>
      <c r="P75" s="6">
        <v>1963.08</v>
      </c>
      <c r="Q75" s="2"/>
      <c r="R75" s="7">
        <f t="shared" si="37"/>
        <v>1.0915059378005308E-3</v>
      </c>
      <c r="S75" s="2"/>
      <c r="T75" s="6">
        <v>1963.08</v>
      </c>
      <c r="U75" s="2"/>
      <c r="V75" s="7">
        <f t="shared" si="38"/>
        <v>1.0764384357415198E-3</v>
      </c>
      <c r="W75" s="2"/>
      <c r="X75" s="6">
        <f t="shared" si="39"/>
        <v>0</v>
      </c>
      <c r="Y75" s="2"/>
      <c r="Z75" s="7">
        <f t="shared" si="40"/>
        <v>0</v>
      </c>
    </row>
    <row r="76" spans="1:26" s="26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1440.51</v>
      </c>
      <c r="E76" s="1"/>
      <c r="F76" s="5">
        <f t="shared" si="33"/>
        <v>6.6961764330996402E-3</v>
      </c>
      <c r="G76" s="1"/>
      <c r="H76" s="1">
        <f>SUM(OSRRefH22_4x_0)</f>
        <v>35.68</v>
      </c>
      <c r="I76" s="1"/>
      <c r="J76" s="5">
        <f t="shared" si="34"/>
        <v>1.2674255471855817E-4</v>
      </c>
      <c r="K76" s="1"/>
      <c r="L76" s="1">
        <f t="shared" si="35"/>
        <v>1404.83</v>
      </c>
      <c r="M76" s="1"/>
      <c r="N76" s="5">
        <f t="shared" si="36"/>
        <v>39.373038116591928</v>
      </c>
      <c r="O76" s="13"/>
      <c r="P76" s="1">
        <f>SUM(OSRRefP22_4x_0)</f>
        <v>50711.17</v>
      </c>
      <c r="Q76" s="1"/>
      <c r="R76" s="5">
        <f t="shared" si="37"/>
        <v>2.8196274817028417E-2</v>
      </c>
      <c r="S76" s="1"/>
      <c r="T76" s="1">
        <f>SUM(OSRRefT22_4x_0)</f>
        <v>87184.81</v>
      </c>
      <c r="U76" s="1"/>
      <c r="V76" s="5">
        <f t="shared" si="38"/>
        <v>4.7807058549229585E-2</v>
      </c>
      <c r="W76" s="1"/>
      <c r="X76" s="1">
        <f t="shared" si="39"/>
        <v>-36473.64</v>
      </c>
      <c r="Y76" s="1"/>
      <c r="Z76" s="5">
        <f t="shared" si="40"/>
        <v>-0.41834856324169312</v>
      </c>
    </row>
    <row r="77" spans="1:26" s="24" customFormat="1" hidden="1" outlineLevel="2" x14ac:dyDescent="0.25">
      <c r="A77" s="25"/>
      <c r="B77" s="11" t="str">
        <f>CONCATENATE("          ", "6382", " - ", "DISCOUNTS/MARK DOWNS")</f>
        <v xml:space="preserve">          6382 - DISCOUNTS/MARK DOWNS</v>
      </c>
      <c r="C77" s="11"/>
      <c r="D77" s="6">
        <v>1440.51</v>
      </c>
      <c r="E77" s="2"/>
      <c r="F77" s="7">
        <f t="shared" si="33"/>
        <v>6.6961764330996402E-3</v>
      </c>
      <c r="G77" s="2"/>
      <c r="H77" s="6">
        <v>35.68</v>
      </c>
      <c r="I77" s="2"/>
      <c r="J77" s="7">
        <f t="shared" si="34"/>
        <v>1.2674255471855817E-4</v>
      </c>
      <c r="K77" s="2"/>
      <c r="L77" s="6">
        <f t="shared" si="35"/>
        <v>1404.83</v>
      </c>
      <c r="M77" s="2"/>
      <c r="N77" s="7">
        <f t="shared" si="36"/>
        <v>39.373038116591928</v>
      </c>
      <c r="O77" s="11"/>
      <c r="P77" s="6">
        <v>50711.17</v>
      </c>
      <c r="Q77" s="2"/>
      <c r="R77" s="7">
        <f t="shared" si="37"/>
        <v>2.8196274817028417E-2</v>
      </c>
      <c r="S77" s="2"/>
      <c r="T77" s="6">
        <v>87184.81</v>
      </c>
      <c r="U77" s="2"/>
      <c r="V77" s="7">
        <f t="shared" si="38"/>
        <v>4.7807058549229585E-2</v>
      </c>
      <c r="W77" s="2"/>
      <c r="X77" s="6">
        <f t="shared" si="39"/>
        <v>-36473.64</v>
      </c>
      <c r="Y77" s="2"/>
      <c r="Z77" s="7">
        <f t="shared" si="40"/>
        <v>-0.41834856324169312</v>
      </c>
    </row>
    <row r="78" spans="1:26" s="26" customFormat="1" outlineLevel="1" collapsed="1" x14ac:dyDescent="0.25">
      <c r="A78" s="27"/>
      <c r="B78" s="13" t="str">
        <f>CONCATENATE("     ","Donations                                         ")</f>
        <v xml:space="preserve">     Donations                                         </v>
      </c>
      <c r="C78" s="13"/>
      <c r="D78" s="1">
        <f>SUM(OSRRefD22_5x_0)</f>
        <v>0</v>
      </c>
      <c r="E78" s="1"/>
      <c r="F78" s="5">
        <f t="shared" si="33"/>
        <v>0</v>
      </c>
      <c r="G78" s="1"/>
      <c r="H78" s="1">
        <f>SUM(OSRRefH22_5x_0)</f>
        <v>19137.419999999998</v>
      </c>
      <c r="I78" s="1"/>
      <c r="J78" s="5">
        <f t="shared" si="34"/>
        <v>6.7979974818442535E-2</v>
      </c>
      <c r="K78" s="1"/>
      <c r="L78" s="1">
        <f t="shared" si="35"/>
        <v>-19137.419999999998</v>
      </c>
      <c r="M78" s="1"/>
      <c r="N78" s="5">
        <f t="shared" si="36"/>
        <v>-1</v>
      </c>
      <c r="O78" s="13"/>
      <c r="P78" s="1">
        <f>SUM(OSRRefP22_5x_0)</f>
        <v>0</v>
      </c>
      <c r="Q78" s="1"/>
      <c r="R78" s="5">
        <f t="shared" si="37"/>
        <v>0</v>
      </c>
      <c r="S78" s="1"/>
      <c r="T78" s="1">
        <f>SUM(OSRRefT22_5x_0)</f>
        <v>19137.419999999998</v>
      </c>
      <c r="U78" s="1"/>
      <c r="V78" s="5">
        <f t="shared" si="38"/>
        <v>1.0493843576893694E-2</v>
      </c>
      <c r="W78" s="1"/>
      <c r="X78" s="1">
        <f t="shared" si="39"/>
        <v>-19137.419999999998</v>
      </c>
      <c r="Y78" s="1"/>
      <c r="Z78" s="5">
        <f t="shared" si="40"/>
        <v>-1</v>
      </c>
    </row>
    <row r="79" spans="1:26" s="24" customFormat="1" hidden="1" outlineLevel="2" x14ac:dyDescent="0.25">
      <c r="A79" s="25"/>
      <c r="B79" s="11" t="str">
        <f>CONCATENATE("          ", "6399", " - ", "DONATION-ON CAMPUS")</f>
        <v xml:space="preserve">          6399 - DONATION-ON CAMPUS</v>
      </c>
      <c r="C79" s="11"/>
      <c r="D79" s="6"/>
      <c r="E79" s="2"/>
      <c r="F79" s="7">
        <f t="shared" si="33"/>
        <v>0</v>
      </c>
      <c r="G79" s="2"/>
      <c r="H79" s="6">
        <v>19137.419999999998</v>
      </c>
      <c r="I79" s="2"/>
      <c r="J79" s="7">
        <f t="shared" si="34"/>
        <v>6.7979974818442535E-2</v>
      </c>
      <c r="K79" s="2"/>
      <c r="L79" s="6">
        <f t="shared" si="35"/>
        <v>-19137.419999999998</v>
      </c>
      <c r="M79" s="2"/>
      <c r="N79" s="7">
        <f t="shared" si="36"/>
        <v>-1</v>
      </c>
      <c r="O79" s="11"/>
      <c r="P79" s="6"/>
      <c r="Q79" s="2"/>
      <c r="R79" s="7">
        <f t="shared" si="37"/>
        <v>0</v>
      </c>
      <c r="S79" s="2"/>
      <c r="T79" s="6">
        <v>19137.419999999998</v>
      </c>
      <c r="U79" s="2"/>
      <c r="V79" s="7">
        <f t="shared" si="38"/>
        <v>1.0493843576893694E-2</v>
      </c>
      <c r="W79" s="2"/>
      <c r="X79" s="6">
        <f t="shared" si="39"/>
        <v>-19137.419999999998</v>
      </c>
      <c r="Y79" s="2"/>
      <c r="Z79" s="7">
        <f t="shared" si="40"/>
        <v>-1</v>
      </c>
    </row>
    <row r="80" spans="1:26" s="26" customFormat="1" outlineLevel="1" collapsed="1" x14ac:dyDescent="0.25">
      <c r="A80" s="27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SUM(OSRRefD22_6x_0)</f>
        <v>0</v>
      </c>
      <c r="E80" s="1"/>
      <c r="F80" s="5">
        <f t="shared" si="33"/>
        <v>0</v>
      </c>
      <c r="G80" s="1"/>
      <c r="H80" s="1">
        <f>SUM(OSRRefH22_6x_0)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3"/>
      <c r="P80" s="1">
        <f>SUM(OSRRefP22_6x_0)</f>
        <v>0</v>
      </c>
      <c r="Q80" s="1"/>
      <c r="R80" s="5">
        <f t="shared" si="37"/>
        <v>0</v>
      </c>
      <c r="S80" s="1"/>
      <c r="T80" s="1">
        <f>SUM(OSRRefT22_6x_0)</f>
        <v>181.84</v>
      </c>
      <c r="U80" s="1"/>
      <c r="V80" s="5">
        <f t="shared" si="38"/>
        <v>9.9710437249239954E-5</v>
      </c>
      <c r="W80" s="1"/>
      <c r="X80" s="1">
        <f t="shared" si="39"/>
        <v>-181.84</v>
      </c>
      <c r="Y80" s="1"/>
      <c r="Z80" s="5">
        <f t="shared" si="40"/>
        <v>-1</v>
      </c>
    </row>
    <row r="81" spans="1:26" s="24" customFormat="1" hidden="1" outlineLevel="2" x14ac:dyDescent="0.25">
      <c r="A81" s="25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/>
      <c r="Q81" s="2"/>
      <c r="R81" s="7">
        <f t="shared" si="37"/>
        <v>0</v>
      </c>
      <c r="S81" s="2"/>
      <c r="T81" s="6">
        <v>181.84</v>
      </c>
      <c r="U81" s="2"/>
      <c r="V81" s="7">
        <f t="shared" si="38"/>
        <v>9.9710437249239954E-5</v>
      </c>
      <c r="W81" s="2"/>
      <c r="X81" s="6">
        <f t="shared" si="39"/>
        <v>-181.84</v>
      </c>
      <c r="Y81" s="2"/>
      <c r="Z81" s="7">
        <f t="shared" si="40"/>
        <v>-1</v>
      </c>
    </row>
    <row r="82" spans="1:26" s="26" customFormat="1" outlineLevel="1" collapsed="1" x14ac:dyDescent="0.25">
      <c r="A82" s="27"/>
      <c r="B82" s="13" t="str">
        <f>CONCATENATE("     ","Freight out/Postage                               ")</f>
        <v xml:space="preserve">     Freight out/Postage                               </v>
      </c>
      <c r="C82" s="13"/>
      <c r="D82" s="1">
        <f>SUM(OSRRefD22_7x_0)</f>
        <v>0</v>
      </c>
      <c r="E82" s="1"/>
      <c r="F82" s="5">
        <f t="shared" si="33"/>
        <v>0</v>
      </c>
      <c r="G82" s="1"/>
      <c r="H82" s="1">
        <f>SUM(OSRRefH22_7x_0)</f>
        <v>19.38</v>
      </c>
      <c r="I82" s="1"/>
      <c r="J82" s="5">
        <f t="shared" si="34"/>
        <v>6.8841667893656316E-5</v>
      </c>
      <c r="K82" s="1"/>
      <c r="L82" s="1">
        <f t="shared" si="35"/>
        <v>-19.38</v>
      </c>
      <c r="M82" s="1"/>
      <c r="N82" s="5">
        <f t="shared" si="36"/>
        <v>-1</v>
      </c>
      <c r="O82" s="13"/>
      <c r="P82" s="1">
        <f>SUM(OSRRefP22_7x_0)</f>
        <v>41.61</v>
      </c>
      <c r="Q82" s="1"/>
      <c r="R82" s="5">
        <f t="shared" si="37"/>
        <v>2.3135869181021703E-5</v>
      </c>
      <c r="S82" s="1"/>
      <c r="T82" s="1">
        <f>SUM(OSRRefT22_7x_0)</f>
        <v>91.34</v>
      </c>
      <c r="U82" s="1"/>
      <c r="V82" s="5">
        <f t="shared" si="38"/>
        <v>5.0085522098248883E-5</v>
      </c>
      <c r="W82" s="1"/>
      <c r="X82" s="1">
        <f t="shared" si="39"/>
        <v>-49.730000000000004</v>
      </c>
      <c r="Y82" s="1"/>
      <c r="Z82" s="5">
        <f t="shared" si="40"/>
        <v>-0.54444931026932342</v>
      </c>
    </row>
    <row r="83" spans="1:26" s="24" customFormat="1" hidden="1" outlineLevel="2" x14ac:dyDescent="0.25">
      <c r="A83" s="25"/>
      <c r="B83" s="11" t="str">
        <f>CONCATENATE("          ", "6305", " - ", "FREIGHT OUT")</f>
        <v xml:space="preserve">          6305 - FREIGHT OUT</v>
      </c>
      <c r="C83" s="11"/>
      <c r="D83" s="6"/>
      <c r="E83" s="2"/>
      <c r="F83" s="7">
        <f t="shared" si="33"/>
        <v>0</v>
      </c>
      <c r="G83" s="2"/>
      <c r="H83" s="6">
        <v>19.38</v>
      </c>
      <c r="I83" s="2"/>
      <c r="J83" s="7">
        <f t="shared" si="34"/>
        <v>6.8841667893656316E-5</v>
      </c>
      <c r="K83" s="2"/>
      <c r="L83" s="6">
        <f t="shared" si="35"/>
        <v>-19.38</v>
      </c>
      <c r="M83" s="2"/>
      <c r="N83" s="7">
        <f t="shared" si="36"/>
        <v>-1</v>
      </c>
      <c r="O83" s="11"/>
      <c r="P83" s="6">
        <v>41.61</v>
      </c>
      <c r="Q83" s="2"/>
      <c r="R83" s="7">
        <f t="shared" si="37"/>
        <v>2.3135869181021703E-5</v>
      </c>
      <c r="S83" s="2"/>
      <c r="T83" s="6">
        <v>91.34</v>
      </c>
      <c r="U83" s="2"/>
      <c r="V83" s="7">
        <f t="shared" si="38"/>
        <v>5.0085522098248883E-5</v>
      </c>
      <c r="W83" s="2"/>
      <c r="X83" s="6">
        <f t="shared" si="39"/>
        <v>-49.730000000000004</v>
      </c>
      <c r="Y83" s="2"/>
      <c r="Z83" s="7">
        <f t="shared" si="40"/>
        <v>-0.54444931026932342</v>
      </c>
    </row>
    <row r="84" spans="1:26" s="26" customFormat="1" outlineLevel="1" collapsed="1" x14ac:dyDescent="0.25">
      <c r="A84" s="27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33"/>
        <v>0</v>
      </c>
      <c r="G84" s="1"/>
      <c r="H84" s="1">
        <f>SUM(OSRRefH22_8x_0)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3"/>
      <c r="P84" s="1">
        <f>SUM(OSRRefP22_8x_0)</f>
        <v>0</v>
      </c>
      <c r="Q84" s="1"/>
      <c r="R84" s="5">
        <f t="shared" si="37"/>
        <v>0</v>
      </c>
      <c r="S84" s="1"/>
      <c r="T84" s="1">
        <f>SUM(OSRRefT22_8x_0)</f>
        <v>312.39</v>
      </c>
      <c r="U84" s="1"/>
      <c r="V84" s="5">
        <f t="shared" si="38"/>
        <v>1.7129643363555908E-4</v>
      </c>
      <c r="W84" s="1"/>
      <c r="X84" s="1">
        <f t="shared" si="39"/>
        <v>-312.39</v>
      </c>
      <c r="Y84" s="1"/>
      <c r="Z84" s="5">
        <f t="shared" si="40"/>
        <v>-1</v>
      </c>
    </row>
    <row r="85" spans="1:26" s="24" customFormat="1" hidden="1" outlineLevel="2" x14ac:dyDescent="0.25">
      <c r="A85" s="25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1"/>
      <c r="P85" s="6"/>
      <c r="Q85" s="2"/>
      <c r="R85" s="7">
        <f t="shared" si="37"/>
        <v>0</v>
      </c>
      <c r="S85" s="2"/>
      <c r="T85" s="6">
        <v>312.39</v>
      </c>
      <c r="U85" s="2"/>
      <c r="V85" s="7">
        <f t="shared" si="38"/>
        <v>1.7129643363555908E-4</v>
      </c>
      <c r="W85" s="2"/>
      <c r="X85" s="6">
        <f t="shared" si="39"/>
        <v>-312.39</v>
      </c>
      <c r="Y85" s="2"/>
      <c r="Z85" s="7">
        <f t="shared" si="40"/>
        <v>-1</v>
      </c>
    </row>
    <row r="86" spans="1:26" s="26" customFormat="1" outlineLevel="1" collapsed="1" x14ac:dyDescent="0.25">
      <c r="A86" s="27"/>
      <c r="B86" s="13" t="str">
        <f>CONCATENATE("     ","Inventory Adjustment                              ")</f>
        <v xml:space="preserve">     Inventory Adjustment                              </v>
      </c>
      <c r="C86" s="13"/>
      <c r="D86" s="1">
        <f>SUM(OSRRefD22_9x_0)</f>
        <v>0</v>
      </c>
      <c r="E86" s="1"/>
      <c r="F86" s="5">
        <f t="shared" si="33"/>
        <v>0</v>
      </c>
      <c r="G86" s="1"/>
      <c r="H86" s="1">
        <f>SUM(OSRRefH22_9x_0)</f>
        <v>1250</v>
      </c>
      <c r="I86" s="1"/>
      <c r="J86" s="5">
        <f t="shared" si="34"/>
        <v>4.440252057124376E-3</v>
      </c>
      <c r="K86" s="1"/>
      <c r="L86" s="1">
        <f t="shared" si="35"/>
        <v>-1250</v>
      </c>
      <c r="M86" s="1"/>
      <c r="N86" s="5">
        <f t="shared" si="36"/>
        <v>-1</v>
      </c>
      <c r="O86" s="13"/>
      <c r="P86" s="1">
        <f>SUM(OSRRefP22_9x_0)</f>
        <v>0</v>
      </c>
      <c r="Q86" s="1"/>
      <c r="R86" s="5">
        <f t="shared" si="37"/>
        <v>0</v>
      </c>
      <c r="S86" s="1"/>
      <c r="T86" s="1">
        <f>SUM(OSRRefT22_9x_0)</f>
        <v>8750</v>
      </c>
      <c r="U86" s="1"/>
      <c r="V86" s="5">
        <f t="shared" si="38"/>
        <v>4.7979890339355999E-3</v>
      </c>
      <c r="W86" s="1"/>
      <c r="X86" s="1">
        <f t="shared" si="39"/>
        <v>-8750</v>
      </c>
      <c r="Y86" s="1"/>
      <c r="Z86" s="5">
        <f t="shared" si="40"/>
        <v>-1</v>
      </c>
    </row>
    <row r="87" spans="1:26" s="24" customFormat="1" hidden="1" outlineLevel="2" x14ac:dyDescent="0.25">
      <c r="A87" s="25"/>
      <c r="B87" s="11" t="str">
        <f>CONCATENATE("          ", "6408", " - ", "INVENTORY ADJUSTMENT")</f>
        <v xml:space="preserve">          6408 - INVENTORY ADJUSTMENT</v>
      </c>
      <c r="C87" s="11"/>
      <c r="D87" s="6"/>
      <c r="E87" s="2"/>
      <c r="F87" s="7">
        <f t="shared" si="33"/>
        <v>0</v>
      </c>
      <c r="G87" s="2"/>
      <c r="H87" s="6">
        <v>1250</v>
      </c>
      <c r="I87" s="2"/>
      <c r="J87" s="7">
        <f t="shared" si="34"/>
        <v>4.440252057124376E-3</v>
      </c>
      <c r="K87" s="2"/>
      <c r="L87" s="6">
        <f t="shared" si="35"/>
        <v>-1250</v>
      </c>
      <c r="M87" s="2"/>
      <c r="N87" s="7">
        <f t="shared" si="36"/>
        <v>-1</v>
      </c>
      <c r="O87" s="11"/>
      <c r="P87" s="6"/>
      <c r="Q87" s="2"/>
      <c r="R87" s="7">
        <f t="shared" si="37"/>
        <v>0</v>
      </c>
      <c r="S87" s="2"/>
      <c r="T87" s="6">
        <v>8750</v>
      </c>
      <c r="U87" s="2"/>
      <c r="V87" s="7">
        <f t="shared" si="38"/>
        <v>4.7979890339355999E-3</v>
      </c>
      <c r="W87" s="2"/>
      <c r="X87" s="6">
        <f t="shared" si="39"/>
        <v>-8750</v>
      </c>
      <c r="Y87" s="2"/>
      <c r="Z87" s="7">
        <f t="shared" si="40"/>
        <v>-1</v>
      </c>
    </row>
    <row r="88" spans="1:26" s="26" customFormat="1" outlineLevel="1" collapsed="1" x14ac:dyDescent="0.25">
      <c r="A88" s="27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SUM(OSRRefD22_10x_0)</f>
        <v>0</v>
      </c>
      <c r="E88" s="1"/>
      <c r="F88" s="5">
        <f t="shared" si="33"/>
        <v>0</v>
      </c>
      <c r="G88" s="1"/>
      <c r="H88" s="1">
        <f>SUM(OSRRefH22_10x_0)</f>
        <v>0</v>
      </c>
      <c r="I88" s="1"/>
      <c r="J88" s="5">
        <f t="shared" si="34"/>
        <v>0</v>
      </c>
      <c r="K88" s="1"/>
      <c r="L88" s="1">
        <f t="shared" si="35"/>
        <v>0</v>
      </c>
      <c r="M88" s="1"/>
      <c r="N88" s="5">
        <f t="shared" si="36"/>
        <v>0</v>
      </c>
      <c r="O88" s="13"/>
      <c r="P88" s="1">
        <f>SUM(OSRRefP22_10x_0)</f>
        <v>197.18</v>
      </c>
      <c r="Q88" s="1"/>
      <c r="R88" s="5">
        <f t="shared" si="37"/>
        <v>1.0963544064200577E-4</v>
      </c>
      <c r="S88" s="1"/>
      <c r="T88" s="1">
        <f>SUM(OSRRefT22_10x_0)</f>
        <v>0</v>
      </c>
      <c r="U88" s="1"/>
      <c r="V88" s="5">
        <f t="shared" si="38"/>
        <v>0</v>
      </c>
      <c r="W88" s="1"/>
      <c r="X88" s="1">
        <f t="shared" si="39"/>
        <v>197.18</v>
      </c>
      <c r="Y88" s="1"/>
      <c r="Z88" s="5">
        <f t="shared" si="40"/>
        <v>0</v>
      </c>
    </row>
    <row r="89" spans="1:26" s="24" customFormat="1" hidden="1" outlineLevel="2" x14ac:dyDescent="0.25">
      <c r="A89" s="25"/>
      <c r="B89" s="11" t="str">
        <f>CONCATENATE("          ", "6375", " - ", "OUTSIDE REPAIRS &amp; MAINTENANCE")</f>
        <v xml:space="preserve">          6375 - OUTSIDE REPAIRS &amp; MAINTENANCE</v>
      </c>
      <c r="C89" s="11"/>
      <c r="D89" s="6"/>
      <c r="E89" s="2"/>
      <c r="F89" s="7">
        <f t="shared" si="33"/>
        <v>0</v>
      </c>
      <c r="G89" s="2"/>
      <c r="H89" s="6"/>
      <c r="I89" s="2"/>
      <c r="J89" s="7">
        <f t="shared" si="34"/>
        <v>0</v>
      </c>
      <c r="K89" s="2"/>
      <c r="L89" s="6">
        <f t="shared" si="35"/>
        <v>0</v>
      </c>
      <c r="M89" s="2"/>
      <c r="N89" s="7">
        <f t="shared" si="36"/>
        <v>0</v>
      </c>
      <c r="O89" s="11"/>
      <c r="P89" s="6">
        <v>197.18</v>
      </c>
      <c r="Q89" s="2"/>
      <c r="R89" s="7">
        <f t="shared" si="37"/>
        <v>1.0963544064200577E-4</v>
      </c>
      <c r="S89" s="2"/>
      <c r="T89" s="6"/>
      <c r="U89" s="2"/>
      <c r="V89" s="7">
        <f t="shared" si="38"/>
        <v>0</v>
      </c>
      <c r="W89" s="2"/>
      <c r="X89" s="6">
        <f t="shared" si="39"/>
        <v>197.18</v>
      </c>
      <c r="Y89" s="2"/>
      <c r="Z89" s="7">
        <f t="shared" si="40"/>
        <v>0</v>
      </c>
    </row>
    <row r="90" spans="1:26" s="26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SUM(OSRRefD22_11x_0)</f>
        <v>0</v>
      </c>
      <c r="E90" s="1"/>
      <c r="F90" s="5">
        <f t="shared" si="33"/>
        <v>0</v>
      </c>
      <c r="G90" s="1"/>
      <c r="H90" s="1">
        <f>SUM(OSRRefH22_11x_0)</f>
        <v>0</v>
      </c>
      <c r="I90" s="1"/>
      <c r="J90" s="5">
        <f t="shared" si="34"/>
        <v>0</v>
      </c>
      <c r="K90" s="1"/>
      <c r="L90" s="1">
        <f t="shared" si="35"/>
        <v>0</v>
      </c>
      <c r="M90" s="1"/>
      <c r="N90" s="5">
        <f t="shared" si="36"/>
        <v>0</v>
      </c>
      <c r="O90" s="13"/>
      <c r="P90" s="1">
        <f>SUM(OSRRefP22_11x_0)</f>
        <v>-5000</v>
      </c>
      <c r="Q90" s="1"/>
      <c r="R90" s="5">
        <f t="shared" si="37"/>
        <v>-2.7800852176185658E-3</v>
      </c>
      <c r="S90" s="1"/>
      <c r="T90" s="1">
        <f>SUM(OSRRefT22_11x_0)</f>
        <v>258.74</v>
      </c>
      <c r="U90" s="1"/>
      <c r="V90" s="5">
        <f t="shared" si="38"/>
        <v>1.4187790658748539E-4</v>
      </c>
      <c r="W90" s="1"/>
      <c r="X90" s="1">
        <f t="shared" si="39"/>
        <v>-5258.74</v>
      </c>
      <c r="Y90" s="1"/>
      <c r="Z90" s="5">
        <f t="shared" si="40"/>
        <v>-20.324418335008115</v>
      </c>
    </row>
    <row r="91" spans="1:26" s="24" customFormat="1" hidden="1" outlineLevel="2" x14ac:dyDescent="0.25">
      <c r="A91" s="25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33"/>
        <v>0</v>
      </c>
      <c r="G91" s="2"/>
      <c r="H91" s="6"/>
      <c r="I91" s="2"/>
      <c r="J91" s="7">
        <f t="shared" si="34"/>
        <v>0</v>
      </c>
      <c r="K91" s="2"/>
      <c r="L91" s="6">
        <f t="shared" si="35"/>
        <v>0</v>
      </c>
      <c r="M91" s="2"/>
      <c r="N91" s="7">
        <f t="shared" si="36"/>
        <v>0</v>
      </c>
      <c r="O91" s="11"/>
      <c r="P91" s="6">
        <v>-5000</v>
      </c>
      <c r="Q91" s="2"/>
      <c r="R91" s="7">
        <f t="shared" si="37"/>
        <v>-2.7800852176185658E-3</v>
      </c>
      <c r="S91" s="2"/>
      <c r="T91" s="6">
        <v>258.74</v>
      </c>
      <c r="U91" s="2"/>
      <c r="V91" s="7">
        <f t="shared" si="38"/>
        <v>1.4187790658748539E-4</v>
      </c>
      <c r="W91" s="2"/>
      <c r="X91" s="6">
        <f t="shared" si="39"/>
        <v>-5258.74</v>
      </c>
      <c r="Y91" s="2"/>
      <c r="Z91" s="7">
        <f t="shared" si="40"/>
        <v>-20.324418335008115</v>
      </c>
    </row>
    <row r="92" spans="1:26" s="26" customFormat="1" outlineLevel="1" collapsed="1" x14ac:dyDescent="0.25">
      <c r="A92" s="27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SUM(OSRRefD22_12x_0)</f>
        <v>311.60000000000002</v>
      </c>
      <c r="E92" s="1"/>
      <c r="F92" s="5">
        <f t="shared" si="33"/>
        <v>1.4484651800777835E-3</v>
      </c>
      <c r="G92" s="1"/>
      <c r="H92" s="1">
        <f>SUM(OSRRefH22_12x_0)</f>
        <v>394.84</v>
      </c>
      <c r="I92" s="1"/>
      <c r="J92" s="5">
        <f t="shared" si="34"/>
        <v>1.4025512977879908E-3</v>
      </c>
      <c r="K92" s="1"/>
      <c r="L92" s="1">
        <f t="shared" si="35"/>
        <v>-83.239999999999952</v>
      </c>
      <c r="M92" s="1"/>
      <c r="N92" s="5">
        <f t="shared" si="36"/>
        <v>-0.21081957248505714</v>
      </c>
      <c r="O92" s="13"/>
      <c r="P92" s="1">
        <f>SUM(OSRRefP22_12x_0)</f>
        <v>3013.63</v>
      </c>
      <c r="Q92" s="1"/>
      <c r="R92" s="5">
        <f t="shared" si="37"/>
        <v>1.6756296428743678E-3</v>
      </c>
      <c r="S92" s="1"/>
      <c r="T92" s="1">
        <f>SUM(OSRRefT22_12x_0)</f>
        <v>1678.27</v>
      </c>
      <c r="U92" s="1"/>
      <c r="V92" s="5">
        <f t="shared" si="38"/>
        <v>9.2026526354092571E-4</v>
      </c>
      <c r="W92" s="1"/>
      <c r="X92" s="1">
        <f t="shared" si="39"/>
        <v>1335.3600000000001</v>
      </c>
      <c r="Y92" s="1"/>
      <c r="Z92" s="5">
        <f t="shared" si="40"/>
        <v>0.7956765002055689</v>
      </c>
    </row>
    <row r="93" spans="1:26" s="24" customFormat="1" hidden="1" outlineLevel="2" x14ac:dyDescent="0.25">
      <c r="A93" s="25"/>
      <c r="B93" s="11" t="str">
        <f>CONCATENATE("          ", "6241", " - ", "OFFICE EXPENSE")</f>
        <v xml:space="preserve">          6241 - OFFICE EXPENSE</v>
      </c>
      <c r="C93" s="11"/>
      <c r="D93" s="6">
        <v>311.60000000000002</v>
      </c>
      <c r="E93" s="2"/>
      <c r="F93" s="7">
        <f t="shared" si="33"/>
        <v>1.4484651800777835E-3</v>
      </c>
      <c r="G93" s="2"/>
      <c r="H93" s="6">
        <v>356.26</v>
      </c>
      <c r="I93" s="2"/>
      <c r="J93" s="7">
        <f t="shared" si="34"/>
        <v>1.265507358296904E-3</v>
      </c>
      <c r="K93" s="2"/>
      <c r="L93" s="6">
        <f t="shared" si="35"/>
        <v>-44.659999999999968</v>
      </c>
      <c r="M93" s="2"/>
      <c r="N93" s="7">
        <f t="shared" si="36"/>
        <v>-0.12535788469095596</v>
      </c>
      <c r="O93" s="11"/>
      <c r="P93" s="6">
        <v>1004.25</v>
      </c>
      <c r="Q93" s="2"/>
      <c r="R93" s="7">
        <f t="shared" si="37"/>
        <v>5.5838011595868897E-4</v>
      </c>
      <c r="S93" s="2"/>
      <c r="T93" s="6">
        <v>1410.93</v>
      </c>
      <c r="U93" s="2"/>
      <c r="V93" s="7">
        <f t="shared" si="38"/>
        <v>7.7367161916008646E-4</v>
      </c>
      <c r="W93" s="2"/>
      <c r="X93" s="6">
        <f t="shared" si="39"/>
        <v>-406.68000000000006</v>
      </c>
      <c r="Y93" s="2"/>
      <c r="Z93" s="7">
        <f t="shared" si="40"/>
        <v>-0.28823541919159706</v>
      </c>
    </row>
    <row r="94" spans="1:26" s="24" customFormat="1" hidden="1" outlineLevel="2" x14ac:dyDescent="0.25">
      <c r="A94" s="25"/>
      <c r="B94" s="11" t="str">
        <f>CONCATENATE("          ", "6247", " - ", "STORE SUPPLIES")</f>
        <v xml:space="preserve">          6247 - STORE SUPPLIES</v>
      </c>
      <c r="C94" s="11"/>
      <c r="D94" s="6"/>
      <c r="E94" s="2"/>
      <c r="F94" s="7">
        <f t="shared" si="33"/>
        <v>0</v>
      </c>
      <c r="G94" s="2"/>
      <c r="H94" s="6">
        <v>38.58</v>
      </c>
      <c r="I94" s="2"/>
      <c r="J94" s="7">
        <f t="shared" si="34"/>
        <v>1.3704393949108673E-4</v>
      </c>
      <c r="K94" s="2"/>
      <c r="L94" s="6">
        <f t="shared" si="35"/>
        <v>-38.58</v>
      </c>
      <c r="M94" s="2"/>
      <c r="N94" s="7">
        <f t="shared" si="36"/>
        <v>-1</v>
      </c>
      <c r="O94" s="11"/>
      <c r="P94" s="6">
        <v>2009.38</v>
      </c>
      <c r="Q94" s="2"/>
      <c r="R94" s="7">
        <f t="shared" si="37"/>
        <v>1.1172495269156789E-3</v>
      </c>
      <c r="S94" s="2"/>
      <c r="T94" s="6">
        <v>267.33999999999997</v>
      </c>
      <c r="U94" s="2"/>
      <c r="V94" s="7">
        <f t="shared" si="38"/>
        <v>1.4659364438083923E-4</v>
      </c>
      <c r="W94" s="2"/>
      <c r="X94" s="6">
        <f t="shared" si="39"/>
        <v>1742.0400000000002</v>
      </c>
      <c r="Y94" s="2"/>
      <c r="Z94" s="7">
        <f t="shared" si="40"/>
        <v>6.5161966035759722</v>
      </c>
    </row>
    <row r="95" spans="1:26" s="26" customFormat="1" outlineLevel="1" collapsed="1" x14ac:dyDescent="0.25">
      <c r="A95" s="27"/>
      <c r="B95" s="13" t="str">
        <f>CONCATENATE("     ","Telephone/Data Lines                              ")</f>
        <v xml:space="preserve">     Telephone/Data Lines                              </v>
      </c>
      <c r="C95" s="13"/>
      <c r="D95" s="1">
        <f>SUM(OSRRefD22_13x_0)</f>
        <v>253.9</v>
      </c>
      <c r="E95" s="1"/>
      <c r="F95" s="5">
        <f t="shared" ref="F95:F100" si="41">IF(D$12=0,0,D95/D$12)</f>
        <v>1.1802481040492593E-3</v>
      </c>
      <c r="G95" s="1"/>
      <c r="H95" s="1">
        <f>SUM(OSRRefH22_13x_0)</f>
        <v>-46.8</v>
      </c>
      <c r="I95" s="1"/>
      <c r="J95" s="5">
        <f t="shared" ref="J95:J100" si="42">IF(H$12=0,0,H95/H$12)</f>
        <v>-1.6624303701873663E-4</v>
      </c>
      <c r="K95" s="1"/>
      <c r="L95" s="1">
        <f t="shared" ref="L95:L100" si="43">+D95-H95</f>
        <v>300.7</v>
      </c>
      <c r="M95" s="1"/>
      <c r="N95" s="5">
        <f t="shared" ref="N95:N100" si="44">IF(H95=0,0,L95/H95)</f>
        <v>-6.4252136752136755</v>
      </c>
      <c r="O95" s="13"/>
      <c r="P95" s="1">
        <f>SUM(OSRRefP22_13x_0)</f>
        <v>1790.05</v>
      </c>
      <c r="Q95" s="1"/>
      <c r="R95" s="5">
        <f t="shared" ref="R95:R100" si="45">IF(P$12=0,0,P95/P$12)</f>
        <v>9.9529830875962262E-4</v>
      </c>
      <c r="S95" s="1"/>
      <c r="T95" s="1">
        <f>SUM(OSRRefT22_13x_0)</f>
        <v>1971.05</v>
      </c>
      <c r="U95" s="1"/>
      <c r="V95" s="5">
        <f t="shared" ref="V95:V100" si="46">IF(T$12=0,0,T95/T$12)</f>
        <v>1.0808087183244303E-3</v>
      </c>
      <c r="W95" s="1"/>
      <c r="X95" s="1">
        <f t="shared" ref="X95:X100" si="47">+P95-T95</f>
        <v>-181</v>
      </c>
      <c r="Y95" s="1"/>
      <c r="Z95" s="5">
        <f t="shared" ref="Z95:Z100" si="48">IF(T95=0,0,X95/T95)</f>
        <v>-9.1829228076405978E-2</v>
      </c>
    </row>
    <row r="96" spans="1:26" s="24" customFormat="1" hidden="1" outlineLevel="2" x14ac:dyDescent="0.25">
      <c r="A96" s="25"/>
      <c r="B96" s="11" t="str">
        <f>CONCATENATE("          ", "6309", " - ", "TELEPHONE")</f>
        <v xml:space="preserve">          6309 - TELEPHONE</v>
      </c>
      <c r="C96" s="11"/>
      <c r="D96" s="6">
        <v>253.9</v>
      </c>
      <c r="E96" s="2"/>
      <c r="F96" s="7">
        <f t="shared" si="41"/>
        <v>1.1802481040492593E-3</v>
      </c>
      <c r="G96" s="2"/>
      <c r="H96" s="6">
        <v>-46.8</v>
      </c>
      <c r="I96" s="2"/>
      <c r="J96" s="7">
        <f t="shared" si="42"/>
        <v>-1.6624303701873663E-4</v>
      </c>
      <c r="K96" s="2"/>
      <c r="L96" s="6">
        <f t="shared" si="43"/>
        <v>300.7</v>
      </c>
      <c r="M96" s="2"/>
      <c r="N96" s="7">
        <f t="shared" si="44"/>
        <v>-6.4252136752136755</v>
      </c>
      <c r="O96" s="11"/>
      <c r="P96" s="6">
        <v>1790.05</v>
      </c>
      <c r="Q96" s="2"/>
      <c r="R96" s="7">
        <f t="shared" si="45"/>
        <v>9.9529830875962262E-4</v>
      </c>
      <c r="S96" s="2"/>
      <c r="T96" s="6">
        <v>1971.05</v>
      </c>
      <c r="U96" s="2"/>
      <c r="V96" s="7">
        <f t="shared" si="46"/>
        <v>1.0808087183244303E-3</v>
      </c>
      <c r="W96" s="2"/>
      <c r="X96" s="6">
        <f t="shared" si="47"/>
        <v>-181</v>
      </c>
      <c r="Y96" s="2"/>
      <c r="Z96" s="7">
        <f t="shared" si="48"/>
        <v>-9.1829228076405978E-2</v>
      </c>
    </row>
    <row r="97" spans="1:26" s="26" customFormat="1" outlineLevel="1" collapsed="1" x14ac:dyDescent="0.25">
      <c r="A97" s="27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0</v>
      </c>
      <c r="E97" s="1"/>
      <c r="F97" s="5">
        <f t="shared" si="41"/>
        <v>0</v>
      </c>
      <c r="G97" s="1"/>
      <c r="H97" s="1">
        <f>SUM(OSRRefH22_14x_0)</f>
        <v>0</v>
      </c>
      <c r="I97" s="1"/>
      <c r="J97" s="5">
        <f t="shared" si="42"/>
        <v>0</v>
      </c>
      <c r="K97" s="1"/>
      <c r="L97" s="1">
        <f t="shared" si="43"/>
        <v>0</v>
      </c>
      <c r="M97" s="1"/>
      <c r="N97" s="5">
        <f t="shared" si="44"/>
        <v>0</v>
      </c>
      <c r="O97" s="13"/>
      <c r="P97" s="1">
        <f>SUM(OSRRefP22_14x_0)</f>
        <v>1163.6400000000001</v>
      </c>
      <c r="Q97" s="1"/>
      <c r="R97" s="5">
        <f t="shared" si="45"/>
        <v>6.4700367252593365E-4</v>
      </c>
      <c r="S97" s="1"/>
      <c r="T97" s="1">
        <f>SUM(OSRRefT22_14x_0)</f>
        <v>0</v>
      </c>
      <c r="U97" s="1"/>
      <c r="V97" s="5">
        <f t="shared" si="46"/>
        <v>0</v>
      </c>
      <c r="W97" s="1"/>
      <c r="X97" s="1">
        <f t="shared" si="47"/>
        <v>1163.6400000000001</v>
      </c>
      <c r="Y97" s="1"/>
      <c r="Z97" s="5">
        <f t="shared" si="48"/>
        <v>0</v>
      </c>
    </row>
    <row r="98" spans="1:26" s="24" customFormat="1" hidden="1" outlineLevel="2" x14ac:dyDescent="0.25">
      <c r="A98" s="25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41"/>
        <v>0</v>
      </c>
      <c r="G98" s="2"/>
      <c r="H98" s="6"/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1"/>
      <c r="P98" s="6">
        <v>1163.6400000000001</v>
      </c>
      <c r="Q98" s="2"/>
      <c r="R98" s="7">
        <f t="shared" si="45"/>
        <v>6.4700367252593365E-4</v>
      </c>
      <c r="S98" s="2"/>
      <c r="T98" s="6"/>
      <c r="U98" s="2"/>
      <c r="V98" s="7">
        <f t="shared" si="46"/>
        <v>0</v>
      </c>
      <c r="W98" s="2"/>
      <c r="X98" s="6">
        <f t="shared" si="47"/>
        <v>1163.6400000000001</v>
      </c>
      <c r="Y98" s="2"/>
      <c r="Z98" s="7">
        <f t="shared" si="48"/>
        <v>0</v>
      </c>
    </row>
    <row r="99" spans="1:26" s="26" customFormat="1" outlineLevel="1" collapsed="1" x14ac:dyDescent="0.25">
      <c r="A99" s="27"/>
      <c r="B99" s="13" t="str">
        <f>CONCATENATE("     ","Travel                                            ")</f>
        <v xml:space="preserve">     Travel                                            </v>
      </c>
      <c r="C99" s="13"/>
      <c r="D99" s="1">
        <f>SUM(OSRRefD22_15x_0)</f>
        <v>0</v>
      </c>
      <c r="E99" s="1"/>
      <c r="F99" s="5">
        <f t="shared" si="41"/>
        <v>0</v>
      </c>
      <c r="G99" s="1"/>
      <c r="H99" s="1">
        <f>SUM(OSRRefH22_15x_0)</f>
        <v>0</v>
      </c>
      <c r="I99" s="1"/>
      <c r="J99" s="5">
        <f t="shared" si="42"/>
        <v>0</v>
      </c>
      <c r="K99" s="1"/>
      <c r="L99" s="1">
        <f t="shared" si="43"/>
        <v>0</v>
      </c>
      <c r="M99" s="1"/>
      <c r="N99" s="5">
        <f t="shared" si="44"/>
        <v>0</v>
      </c>
      <c r="O99" s="13"/>
      <c r="P99" s="1">
        <f>SUM(OSRRefP22_15x_0)</f>
        <v>-178.06</v>
      </c>
      <c r="Q99" s="1"/>
      <c r="R99" s="5">
        <f t="shared" si="45"/>
        <v>-9.9004394769832359E-5</v>
      </c>
      <c r="S99" s="1"/>
      <c r="T99" s="1">
        <f>SUM(OSRRefT22_15x_0)</f>
        <v>113.4</v>
      </c>
      <c r="U99" s="1"/>
      <c r="V99" s="5">
        <f t="shared" si="46"/>
        <v>6.2181937879805387E-5</v>
      </c>
      <c r="W99" s="1"/>
      <c r="X99" s="1">
        <f t="shared" si="47"/>
        <v>-291.46000000000004</v>
      </c>
      <c r="Y99" s="1"/>
      <c r="Z99" s="5">
        <f t="shared" si="48"/>
        <v>-2.570194003527337</v>
      </c>
    </row>
    <row r="100" spans="1:26" s="24" customFormat="1" hidden="1" outlineLevel="2" x14ac:dyDescent="0.25">
      <c r="A100" s="25"/>
      <c r="B100" s="11" t="str">
        <f>CONCATENATE("          ", "6292", " - ", "TRAVEL/CONFERENCE")</f>
        <v xml:space="preserve">          6292 - TRAVEL/CONFERENCE</v>
      </c>
      <c r="C100" s="11"/>
      <c r="D100" s="6"/>
      <c r="E100" s="2"/>
      <c r="F100" s="7">
        <f t="shared" si="41"/>
        <v>0</v>
      </c>
      <c r="G100" s="2"/>
      <c r="H100" s="6"/>
      <c r="I100" s="2"/>
      <c r="J100" s="7">
        <f t="shared" si="42"/>
        <v>0</v>
      </c>
      <c r="K100" s="2"/>
      <c r="L100" s="6">
        <f t="shared" si="43"/>
        <v>0</v>
      </c>
      <c r="M100" s="2"/>
      <c r="N100" s="7">
        <f t="shared" si="44"/>
        <v>0</v>
      </c>
      <c r="O100" s="11"/>
      <c r="P100" s="6">
        <v>-178.06</v>
      </c>
      <c r="Q100" s="2"/>
      <c r="R100" s="7">
        <f t="shared" si="45"/>
        <v>-9.9004394769832359E-5</v>
      </c>
      <c r="S100" s="2"/>
      <c r="T100" s="6">
        <v>113.4</v>
      </c>
      <c r="U100" s="2"/>
      <c r="V100" s="7">
        <f t="shared" si="46"/>
        <v>6.2181937879805387E-5</v>
      </c>
      <c r="W100" s="2"/>
      <c r="X100" s="6">
        <f t="shared" si="47"/>
        <v>-291.46000000000004</v>
      </c>
      <c r="Y100" s="2"/>
      <c r="Z100" s="7">
        <f t="shared" si="48"/>
        <v>-2.570194003527337</v>
      </c>
    </row>
    <row r="101" spans="1:26" s="59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5983.15</v>
      </c>
      <c r="E102" s="4"/>
      <c r="F102" s="12">
        <f t="shared" ref="F102:F106" si="49">IF(D$12=0,0,D102/D$12)</f>
        <v>2.7812530302254137E-2</v>
      </c>
      <c r="G102" s="4"/>
      <c r="H102" s="4">
        <f>SUM(OSRRefH25x_0)</f>
        <v>-778.4</v>
      </c>
      <c r="I102" s="4"/>
      <c r="J102" s="12">
        <f t="shared" ref="J102:J106" si="50">IF(H$12=0,0,H102/H$12)</f>
        <v>-2.7650337610124914E-3</v>
      </c>
      <c r="K102" s="4"/>
      <c r="L102" s="4">
        <f t="shared" ref="L102:L106" si="51">+D102-H102</f>
        <v>6761.5499999999993</v>
      </c>
      <c r="M102" s="4"/>
      <c r="N102" s="12">
        <f t="shared" ref="N102:N106" si="52">IF(H102=0,0,L102/H102)</f>
        <v>-8.6864722507708105</v>
      </c>
      <c r="O102" s="10"/>
      <c r="P102" s="4">
        <f>SUM(OSRRefP25x_0)</f>
        <v>13219.810000000001</v>
      </c>
      <c r="Q102" s="4"/>
      <c r="R102" s="12">
        <f t="shared" ref="R102:R106" si="53">IF(P$12=0,0,P102/P$12)</f>
        <v>7.3504396721452191E-3</v>
      </c>
      <c r="S102" s="4"/>
      <c r="T102" s="4">
        <f>SUM(OSRRefT25x_0)</f>
        <v>5809.09</v>
      </c>
      <c r="U102" s="4"/>
      <c r="V102" s="12">
        <f t="shared" ref="V102:V106" si="54">IF(T$12=0,0,T102/T$12)</f>
        <v>3.1853657276737094E-3</v>
      </c>
      <c r="W102" s="4"/>
      <c r="X102" s="4">
        <f t="shared" ref="X102:X106" si="55">+P102-T102</f>
        <v>7410.7200000000012</v>
      </c>
      <c r="Y102" s="4"/>
      <c r="Z102" s="12">
        <f t="shared" ref="Z102:Z106" si="56">IF(T102=0,0,X102/T102)</f>
        <v>1.2757109977638497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--1922.01</f>
        <v>1922.01</v>
      </c>
      <c r="E103" s="2"/>
      <c r="F103" s="19">
        <f t="shared" si="49"/>
        <v>8.9344177174624541E-3</v>
      </c>
      <c r="G103" s="2"/>
      <c r="H103" s="2">
        <f>-1799.01</f>
        <v>-1799.01</v>
      </c>
      <c r="I103" s="2"/>
      <c r="J103" s="19">
        <f t="shared" si="50"/>
        <v>-6.3904462826298589E-3</v>
      </c>
      <c r="K103" s="2"/>
      <c r="L103" s="2">
        <f t="shared" si="51"/>
        <v>3721.02</v>
      </c>
      <c r="M103" s="2"/>
      <c r="N103" s="19">
        <f t="shared" si="52"/>
        <v>-2.0683709373488752</v>
      </c>
      <c r="O103" s="11"/>
      <c r="P103" s="2">
        <f>--15110.93</f>
        <v>15110.93</v>
      </c>
      <c r="Q103" s="2"/>
      <c r="R103" s="19">
        <f t="shared" si="53"/>
        <v>8.4019346234937824E-3</v>
      </c>
      <c r="S103" s="2"/>
      <c r="T103" s="2">
        <f>--3510.74</f>
        <v>3510.74</v>
      </c>
      <c r="U103" s="2"/>
      <c r="V103" s="19">
        <f t="shared" si="54"/>
        <v>1.9250848023998936E-3</v>
      </c>
      <c r="W103" s="2"/>
      <c r="X103" s="2">
        <f t="shared" si="55"/>
        <v>11600.19</v>
      </c>
      <c r="Y103" s="2"/>
      <c r="Z103" s="19">
        <f t="shared" si="56"/>
        <v>3.3042008237579545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 t="shared" ref="D104:D105" si="57">0</f>
        <v>0</v>
      </c>
      <c r="E104" s="2"/>
      <c r="F104" s="19">
        <f t="shared" si="49"/>
        <v>0</v>
      </c>
      <c r="G104" s="2"/>
      <c r="H104" s="2">
        <f t="shared" ref="H104:H105" si="58">0</f>
        <v>0</v>
      </c>
      <c r="I104" s="2"/>
      <c r="J104" s="19">
        <f t="shared" si="50"/>
        <v>0</v>
      </c>
      <c r="K104" s="2"/>
      <c r="L104" s="2">
        <f t="shared" si="51"/>
        <v>0</v>
      </c>
      <c r="M104" s="2"/>
      <c r="N104" s="19">
        <f t="shared" si="52"/>
        <v>0</v>
      </c>
      <c r="O104" s="11"/>
      <c r="P104" s="2">
        <f>-7889</f>
        <v>-7889</v>
      </c>
      <c r="Q104" s="2"/>
      <c r="R104" s="19">
        <f t="shared" si="53"/>
        <v>-4.3864184563585729E-3</v>
      </c>
      <c r="S104" s="2"/>
      <c r="T104" s="2">
        <f t="shared" ref="T104:T105" si="59">0</f>
        <v>0</v>
      </c>
      <c r="U104" s="2"/>
      <c r="V104" s="19">
        <f t="shared" si="54"/>
        <v>0</v>
      </c>
      <c r="W104" s="2"/>
      <c r="X104" s="2">
        <f t="shared" si="55"/>
        <v>-7889</v>
      </c>
      <c r="Y104" s="2"/>
      <c r="Z104" s="19">
        <f t="shared" si="56"/>
        <v>0</v>
      </c>
    </row>
    <row r="105" spans="1:26" s="24" customFormat="1" hidden="1" outlineLevel="1" x14ac:dyDescent="0.25">
      <c r="A105" s="44"/>
      <c r="B105" s="11" t="str">
        <f>CONCATENATE("          ", "5087", " - ", "PURCHASES @ COST-COMPUTER REPA")</f>
        <v xml:space="preserve">          5087 - PURCHASES @ COST-COMPUTER REPA</v>
      </c>
      <c r="C105" s="11"/>
      <c r="D105" s="2">
        <f t="shared" si="57"/>
        <v>0</v>
      </c>
      <c r="E105" s="2"/>
      <c r="F105" s="19">
        <f t="shared" si="49"/>
        <v>0</v>
      </c>
      <c r="G105" s="2"/>
      <c r="H105" s="2">
        <f t="shared" si="58"/>
        <v>0</v>
      </c>
      <c r="I105" s="2"/>
      <c r="J105" s="19">
        <f t="shared" si="50"/>
        <v>0</v>
      </c>
      <c r="K105" s="2"/>
      <c r="L105" s="2">
        <f t="shared" si="51"/>
        <v>0</v>
      </c>
      <c r="M105" s="2"/>
      <c r="N105" s="19">
        <f t="shared" si="52"/>
        <v>0</v>
      </c>
      <c r="O105" s="11"/>
      <c r="P105" s="2">
        <f>-56.72</f>
        <v>-56.72</v>
      </c>
      <c r="Q105" s="2"/>
      <c r="R105" s="19">
        <f t="shared" si="53"/>
        <v>-3.1537286708665008E-5</v>
      </c>
      <c r="S105" s="2"/>
      <c r="T105" s="2">
        <f t="shared" si="59"/>
        <v>0</v>
      </c>
      <c r="U105" s="2"/>
      <c r="V105" s="19">
        <f t="shared" si="54"/>
        <v>0</v>
      </c>
      <c r="W105" s="2"/>
      <c r="X105" s="2">
        <f t="shared" si="55"/>
        <v>-56.72</v>
      </c>
      <c r="Y105" s="2"/>
      <c r="Z105" s="19">
        <f t="shared" si="56"/>
        <v>0</v>
      </c>
    </row>
    <row r="106" spans="1:26" s="24" customFormat="1" hidden="1" outlineLevel="1" x14ac:dyDescent="0.25">
      <c r="A106" s="44"/>
      <c r="B106" s="11" t="str">
        <f>CONCATENATE("          ", "9150", " - ", "MISC. INCOME")</f>
        <v xml:space="preserve">          9150 - MISC. INCOME</v>
      </c>
      <c r="C106" s="11"/>
      <c r="D106" s="2">
        <f>--4061.14</f>
        <v>4061.14</v>
      </c>
      <c r="E106" s="2"/>
      <c r="F106" s="19">
        <f t="shared" si="49"/>
        <v>1.8878112584791686E-2</v>
      </c>
      <c r="G106" s="2"/>
      <c r="H106" s="2">
        <f>--1020.61</f>
        <v>1020.61</v>
      </c>
      <c r="I106" s="2"/>
      <c r="J106" s="19">
        <f t="shared" si="50"/>
        <v>3.6254125216173675E-3</v>
      </c>
      <c r="K106" s="2"/>
      <c r="L106" s="2">
        <f t="shared" si="51"/>
        <v>3040.5299999999997</v>
      </c>
      <c r="M106" s="2"/>
      <c r="N106" s="19">
        <f t="shared" si="52"/>
        <v>2.9791301280606692</v>
      </c>
      <c r="O106" s="11"/>
      <c r="P106" s="2">
        <f>--6054.6</f>
        <v>6054.6</v>
      </c>
      <c r="Q106" s="2"/>
      <c r="R106" s="19">
        <f t="shared" si="53"/>
        <v>3.3664607917186741E-3</v>
      </c>
      <c r="S106" s="2"/>
      <c r="T106" s="2">
        <f>--2298.35</f>
        <v>2298.35</v>
      </c>
      <c r="U106" s="2"/>
      <c r="V106" s="19">
        <f t="shared" si="54"/>
        <v>1.2602809252738156E-3</v>
      </c>
      <c r="W106" s="2"/>
      <c r="X106" s="2">
        <f t="shared" si="55"/>
        <v>3756.2500000000005</v>
      </c>
      <c r="Y106" s="2"/>
      <c r="Z106" s="19">
        <f t="shared" si="56"/>
        <v>1.6343246241869169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8" t="s">
        <v>3</v>
      </c>
      <c r="C108" s="28"/>
      <c r="D108" s="21">
        <f>+D54-D56+D102</f>
        <v>22212.960000000072</v>
      </c>
      <c r="E108" s="14"/>
      <c r="F108" s="22">
        <f>IF(D$12=0,0,D108/D$12)</f>
        <v>0.1032564156176531</v>
      </c>
      <c r="G108" s="14"/>
      <c r="H108" s="21">
        <f>+H54-H56+H102</f>
        <v>7884.8100000000068</v>
      </c>
      <c r="I108" s="14"/>
      <c r="J108" s="22">
        <f>IF(H$12=0,0,H108/H$12)</f>
        <v>2.8008435058027904E-2</v>
      </c>
      <c r="K108" s="16"/>
      <c r="L108" s="21">
        <f>+D108-H108</f>
        <v>14328.150000000065</v>
      </c>
      <c r="M108" s="16"/>
      <c r="N108" s="22">
        <f>IF(H108=0,0,L108/H108)</f>
        <v>1.8171839270699044</v>
      </c>
      <c r="O108" s="29"/>
      <c r="P108" s="21">
        <f>+P54-P56+P102</f>
        <v>77350.589999999298</v>
      </c>
      <c r="Q108" s="14"/>
      <c r="R108" s="22">
        <f>IF(P$12=0,0,P108/P$12)</f>
        <v>4.3008246366614503E-2</v>
      </c>
      <c r="S108" s="14"/>
      <c r="T108" s="21">
        <f>+T54-T56+T102</f>
        <v>79831.010000000155</v>
      </c>
      <c r="U108" s="14"/>
      <c r="V108" s="22">
        <f>IF(T$12=0,0,T108/T$12)</f>
        <v>4.3774664062629025E-2</v>
      </c>
      <c r="W108" s="16"/>
      <c r="X108" s="21">
        <f>+P108-T108</f>
        <v>-2480.4200000008568</v>
      </c>
      <c r="Y108" s="16"/>
      <c r="Z108" s="22">
        <f>IF(T108=0,0,X108/T108)</f>
        <v>-3.1070883357242406E-2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16541.28</v>
      </c>
      <c r="E110" s="4"/>
      <c r="F110" s="12">
        <f>IF(D$12=0,0,D110/D$12)</f>
        <v>7.6891746193572003E-2</v>
      </c>
      <c r="G110" s="4"/>
      <c r="H110" s="4"/>
      <c r="I110" s="4"/>
      <c r="J110" s="12">
        <f>IF(H$12=0,0,H110/H$12)</f>
        <v>0</v>
      </c>
      <c r="K110" s="4"/>
      <c r="L110" s="4">
        <f>+D110-H110</f>
        <v>16541.28</v>
      </c>
      <c r="M110" s="4"/>
      <c r="N110" s="12">
        <f>IF(H110=0,0,L110/H110)</f>
        <v>0</v>
      </c>
      <c r="O110" s="10"/>
      <c r="P110" s="4">
        <v>187558.7</v>
      </c>
      <c r="Q110" s="4"/>
      <c r="R110" s="12">
        <f>IF(P$12=0,0,P110/P$12)</f>
        <v>0.10428583386115106</v>
      </c>
      <c r="S110" s="4"/>
      <c r="T110" s="4">
        <v>166422.97</v>
      </c>
      <c r="U110" s="4"/>
      <c r="V110" s="12">
        <f>IF(T$12=0,0,T110/T$12)</f>
        <v>9.1256638291999245E-2</v>
      </c>
      <c r="W110" s="4"/>
      <c r="X110" s="4">
        <f>+P110-T110</f>
        <v>21135.73000000001</v>
      </c>
      <c r="Y110" s="4"/>
      <c r="Z110" s="12">
        <f>IF(T110=0,0,X110/T110)</f>
        <v>0.12700007697254778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4</v>
      </c>
      <c r="C112" s="28"/>
      <c r="D112" s="34">
        <f>+D108-D110</f>
        <v>5671.6800000000731</v>
      </c>
      <c r="E112" s="14"/>
      <c r="F112" s="31">
        <f>IF(D$12=0,0,D112/D$12)</f>
        <v>2.6364669424081093E-2</v>
      </c>
      <c r="G112" s="14"/>
      <c r="H112" s="34">
        <f>+H108-H110</f>
        <v>7884.8100000000068</v>
      </c>
      <c r="I112" s="14"/>
      <c r="J112" s="31">
        <f>IF(H$12=0,0,H112/H$12)</f>
        <v>2.8008435058027904E-2</v>
      </c>
      <c r="K112" s="16"/>
      <c r="L112" s="34">
        <f>D112-H112</f>
        <v>-2213.1299999999337</v>
      </c>
      <c r="M112" s="16"/>
      <c r="N112" s="31">
        <f>IF(H112=0,0,L112/H112)</f>
        <v>-0.28068273046527842</v>
      </c>
      <c r="O112" s="29"/>
      <c r="P112" s="34">
        <f>+P108-P110</f>
        <v>-110208.11000000071</v>
      </c>
      <c r="Q112" s="14"/>
      <c r="R112" s="31">
        <f>IF(P$12=0,0,P112/P$12)</f>
        <v>-6.1277587494536566E-2</v>
      </c>
      <c r="S112" s="14"/>
      <c r="T112" s="34">
        <f>+T108-T110</f>
        <v>-86591.959999999846</v>
      </c>
      <c r="U112" s="14"/>
      <c r="V112" s="31">
        <f>IF(T$12=0,0,T112/T$12)</f>
        <v>-4.7481974229370214E-2</v>
      </c>
      <c r="W112" s="16"/>
      <c r="X112" s="34">
        <f>P112-T112</f>
        <v>-23616.150000000867</v>
      </c>
      <c r="Y112" s="16"/>
      <c r="Z112" s="31">
        <f>IF(T112=0,0,X112/T112)</f>
        <v>0.27272913097244722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8" t="s">
        <v>5</v>
      </c>
      <c r="C115" s="28"/>
      <c r="D115" s="30">
        <f>SUM(D112:D114)</f>
        <v>5671.6800000000731</v>
      </c>
      <c r="E115" s="14"/>
      <c r="F115" s="33">
        <f>IF(D$12=0,0,D115/D$12)</f>
        <v>2.6364669424081093E-2</v>
      </c>
      <c r="G115" s="14"/>
      <c r="H115" s="30">
        <f>SUM(H112:H114)</f>
        <v>7884.8100000000068</v>
      </c>
      <c r="I115" s="14"/>
      <c r="J115" s="33">
        <f>IF(H$12=0,0,H115/H$12)</f>
        <v>2.8008435058027904E-2</v>
      </c>
      <c r="K115" s="16"/>
      <c r="L115" s="30">
        <f>+D115-H115</f>
        <v>-2213.1299999999337</v>
      </c>
      <c r="M115" s="16"/>
      <c r="N115" s="33">
        <f>IF(H115=0,0,L115/H115)</f>
        <v>-0.28068273046527842</v>
      </c>
      <c r="O115" s="29"/>
      <c r="P115" s="30">
        <f>SUM(P112:P114)</f>
        <v>-110208.11000000071</v>
      </c>
      <c r="Q115" s="14"/>
      <c r="R115" s="33">
        <f>IF(P$12=0,0,P115/P$12)</f>
        <v>-6.1277587494536566E-2</v>
      </c>
      <c r="S115" s="14"/>
      <c r="T115" s="30">
        <f>SUM(T112:T114)</f>
        <v>-86591.959999999846</v>
      </c>
      <c r="U115" s="14"/>
      <c r="V115" s="33">
        <f>IF(T$12=0,0,T115/T$12)</f>
        <v>-4.7481974229370214E-2</v>
      </c>
      <c r="W115" s="16"/>
      <c r="X115" s="30">
        <f>+P115-T115</f>
        <v>-23616.150000000867</v>
      </c>
      <c r="Y115" s="16"/>
      <c r="Z115" s="33">
        <f>IF(T115=0,0,X115/T115)</f>
        <v>0.27272913097244722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61">
        <v>43879.553921180559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5" t="s">
        <v>313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58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181190.88999999998</v>
      </c>
      <c r="E12" s="4"/>
      <c r="F12" s="12"/>
      <c r="G12" s="4"/>
      <c r="H12" s="4">
        <f>SUM(OSRRefH13x_0)</f>
        <v>168381.3</v>
      </c>
      <c r="I12" s="4"/>
      <c r="J12" s="12"/>
      <c r="K12" s="4"/>
      <c r="L12" s="4">
        <f t="shared" ref="L12:L23" si="0">+D12-H12</f>
        <v>12809.589999999997</v>
      </c>
      <c r="M12" s="4"/>
      <c r="N12" s="12">
        <f t="shared" ref="N12:N23" si="1">IF(H12=0,0,L12/H12)</f>
        <v>7.6074896677956499E-2</v>
      </c>
      <c r="O12" s="10"/>
      <c r="P12" s="4">
        <f>SUM(OSRRefP13x_0)</f>
        <v>1807983.71</v>
      </c>
      <c r="Q12" s="4"/>
      <c r="R12" s="12"/>
      <c r="S12" s="4"/>
      <c r="T12" s="4">
        <f>SUM(OSRRefT13x_0)</f>
        <v>1722902.45</v>
      </c>
      <c r="U12" s="4"/>
      <c r="V12" s="12"/>
      <c r="W12" s="4"/>
      <c r="X12" s="4">
        <f t="shared" ref="X12:X23" si="2">+P12-T12</f>
        <v>85081.260000000009</v>
      </c>
      <c r="Y12" s="4"/>
      <c r="Z12" s="12">
        <f t="shared" ref="Z12:Z23" si="3">IF(T12=0,0,X12/T12)</f>
        <v>4.9382517274846299E-2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--21457.4</f>
        <v>21457.4</v>
      </c>
      <c r="E13" s="2"/>
      <c r="F13" s="19"/>
      <c r="G13" s="2"/>
      <c r="H13" s="2">
        <f>--22566.65</f>
        <v>22566.65</v>
      </c>
      <c r="I13" s="2"/>
      <c r="J13" s="19"/>
      <c r="K13" s="2"/>
      <c r="L13" s="2">
        <f t="shared" si="0"/>
        <v>-1109.25</v>
      </c>
      <c r="M13" s="2"/>
      <c r="N13" s="19">
        <f t="shared" si="1"/>
        <v>-4.9154393762476926E-2</v>
      </c>
      <c r="O13" s="11"/>
      <c r="P13" s="2">
        <f>--211406.28</f>
        <v>211406.28</v>
      </c>
      <c r="Q13" s="2"/>
      <c r="R13" s="19"/>
      <c r="S13" s="2"/>
      <c r="T13" s="2">
        <f>--220038.42</f>
        <v>220038.42</v>
      </c>
      <c r="U13" s="2"/>
      <c r="V13" s="19"/>
      <c r="W13" s="2"/>
      <c r="X13" s="2">
        <f t="shared" si="2"/>
        <v>-8632.140000000014</v>
      </c>
      <c r="Y13" s="2"/>
      <c r="Z13" s="19">
        <f t="shared" si="3"/>
        <v>-3.923014898943563E-2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--302.09</f>
        <v>302.08999999999997</v>
      </c>
      <c r="E15" s="2"/>
      <c r="F15" s="19"/>
      <c r="G15" s="2"/>
      <c r="H15" s="2">
        <f>--203.72</f>
        <v>203.72</v>
      </c>
      <c r="I15" s="2"/>
      <c r="J15" s="19"/>
      <c r="K15" s="2"/>
      <c r="L15" s="2">
        <f t="shared" si="0"/>
        <v>98.369999999999976</v>
      </c>
      <c r="M15" s="2"/>
      <c r="N15" s="19">
        <f t="shared" si="1"/>
        <v>0.48286864323581374</v>
      </c>
      <c r="O15" s="11"/>
      <c r="P15" s="2">
        <f>--2504.01</f>
        <v>2504.0100000000002</v>
      </c>
      <c r="Q15" s="2"/>
      <c r="R15" s="19"/>
      <c r="S15" s="2"/>
      <c r="T15" s="2">
        <f>--1522.89</f>
        <v>1522.89</v>
      </c>
      <c r="U15" s="2"/>
      <c r="V15" s="19"/>
      <c r="W15" s="2"/>
      <c r="X15" s="2">
        <f t="shared" si="2"/>
        <v>981.12000000000012</v>
      </c>
      <c r="Y15" s="2"/>
      <c r="Z15" s="19">
        <f t="shared" si="3"/>
        <v>0.64424876386344387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--8565.55</f>
        <v>8565.5499999999993</v>
      </c>
      <c r="E16" s="2"/>
      <c r="F16" s="19"/>
      <c r="G16" s="2"/>
      <c r="H16" s="2">
        <f>--10751.3</f>
        <v>10751.3</v>
      </c>
      <c r="I16" s="2"/>
      <c r="J16" s="19"/>
      <c r="K16" s="2"/>
      <c r="L16" s="2">
        <f t="shared" si="0"/>
        <v>-2185.75</v>
      </c>
      <c r="M16" s="2"/>
      <c r="N16" s="19">
        <f t="shared" si="1"/>
        <v>-0.20330099615860409</v>
      </c>
      <c r="O16" s="11"/>
      <c r="P16" s="2">
        <f>--116936.71</f>
        <v>116936.71</v>
      </c>
      <c r="Q16" s="2"/>
      <c r="R16" s="19"/>
      <c r="S16" s="2"/>
      <c r="T16" s="2">
        <f>--139585.48</f>
        <v>139585.48000000001</v>
      </c>
      <c r="U16" s="2"/>
      <c r="V16" s="19"/>
      <c r="W16" s="2"/>
      <c r="X16" s="2">
        <f t="shared" si="2"/>
        <v>-22648.770000000004</v>
      </c>
      <c r="Y16" s="2"/>
      <c r="Z16" s="19">
        <f t="shared" si="3"/>
        <v>-0.16225734940339068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--91062.58</f>
        <v>91062.58</v>
      </c>
      <c r="E17" s="2"/>
      <c r="F17" s="19"/>
      <c r="G17" s="2"/>
      <c r="H17" s="2">
        <f>--79240.42</f>
        <v>79240.42</v>
      </c>
      <c r="I17" s="2"/>
      <c r="J17" s="19"/>
      <c r="K17" s="2"/>
      <c r="L17" s="2">
        <f t="shared" si="0"/>
        <v>11822.160000000003</v>
      </c>
      <c r="M17" s="2"/>
      <c r="N17" s="19">
        <f t="shared" si="1"/>
        <v>0.14919355551118993</v>
      </c>
      <c r="O17" s="11"/>
      <c r="P17" s="2">
        <f>--830184.3</f>
        <v>830184.3</v>
      </c>
      <c r="Q17" s="2"/>
      <c r="R17" s="19"/>
      <c r="S17" s="2"/>
      <c r="T17" s="2">
        <f>--749148.72</f>
        <v>749148.72</v>
      </c>
      <c r="U17" s="2"/>
      <c r="V17" s="19"/>
      <c r="W17" s="2"/>
      <c r="X17" s="2">
        <f t="shared" si="2"/>
        <v>81035.580000000075</v>
      </c>
      <c r="Y17" s="2"/>
      <c r="Z17" s="19">
        <f t="shared" si="3"/>
        <v>0.10817021752369819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>--1.59</f>
        <v>1.59</v>
      </c>
      <c r="E18" s="2"/>
      <c r="F18" s="19"/>
      <c r="G18" s="2"/>
      <c r="H18" s="2">
        <f t="shared" ref="H18:H19" si="4">0</f>
        <v>0</v>
      </c>
      <c r="I18" s="2"/>
      <c r="J18" s="19"/>
      <c r="K18" s="2"/>
      <c r="L18" s="2">
        <f t="shared" si="0"/>
        <v>1.59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--8.02</f>
        <v>8.02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8.02</v>
      </c>
      <c r="M19" s="2"/>
      <c r="N19" s="19">
        <f t="shared" si="1"/>
        <v>0</v>
      </c>
      <c r="O19" s="11"/>
      <c r="P19" s="2">
        <f>--8.41</f>
        <v>8.41</v>
      </c>
      <c r="Q19" s="2"/>
      <c r="R19" s="19"/>
      <c r="S19" s="2"/>
      <c r="T19" s="2">
        <f>--53.94</f>
        <v>53.94</v>
      </c>
      <c r="U19" s="2"/>
      <c r="V19" s="19"/>
      <c r="W19" s="2"/>
      <c r="X19" s="2">
        <f t="shared" si="2"/>
        <v>-45.53</v>
      </c>
      <c r="Y19" s="2"/>
      <c r="Z19" s="19">
        <f t="shared" si="3"/>
        <v>-0.84408602150537637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--132.68</f>
        <v>132.68</v>
      </c>
      <c r="E20" s="2"/>
      <c r="F20" s="19"/>
      <c r="G20" s="2"/>
      <c r="H20" s="2">
        <f>--238.46</f>
        <v>238.46</v>
      </c>
      <c r="I20" s="2"/>
      <c r="J20" s="19"/>
      <c r="K20" s="2"/>
      <c r="L20" s="2">
        <f t="shared" si="0"/>
        <v>-105.78</v>
      </c>
      <c r="M20" s="2"/>
      <c r="N20" s="19">
        <f t="shared" si="1"/>
        <v>-0.44359641029942126</v>
      </c>
      <c r="O20" s="11"/>
      <c r="P20" s="2">
        <f>--1282.78</f>
        <v>1282.78</v>
      </c>
      <c r="Q20" s="2"/>
      <c r="R20" s="19"/>
      <c r="S20" s="2"/>
      <c r="T20" s="2">
        <f>--1639.95</f>
        <v>1639.95</v>
      </c>
      <c r="U20" s="2"/>
      <c r="V20" s="19"/>
      <c r="W20" s="2"/>
      <c r="X20" s="2">
        <f t="shared" si="2"/>
        <v>-357.17000000000007</v>
      </c>
      <c r="Y20" s="2"/>
      <c r="Z20" s="19">
        <f t="shared" si="3"/>
        <v>-0.21779322540321355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--58945.98</f>
        <v>58945.98</v>
      </c>
      <c r="E21" s="2"/>
      <c r="F21" s="19"/>
      <c r="G21" s="2"/>
      <c r="H21" s="2">
        <f>--54989</f>
        <v>54989</v>
      </c>
      <c r="I21" s="2"/>
      <c r="J21" s="19"/>
      <c r="K21" s="2"/>
      <c r="L21" s="2">
        <f t="shared" si="0"/>
        <v>3956.9800000000032</v>
      </c>
      <c r="M21" s="2"/>
      <c r="N21" s="19">
        <f t="shared" si="1"/>
        <v>7.1959482805652092E-2</v>
      </c>
      <c r="O21" s="11"/>
      <c r="P21" s="2">
        <f>--635384.63</f>
        <v>635384.63</v>
      </c>
      <c r="Q21" s="2"/>
      <c r="R21" s="19"/>
      <c r="S21" s="2"/>
      <c r="T21" s="2">
        <f>--603315</f>
        <v>603315</v>
      </c>
      <c r="U21" s="2"/>
      <c r="V21" s="19"/>
      <c r="W21" s="2"/>
      <c r="X21" s="2">
        <f t="shared" si="2"/>
        <v>32069.630000000005</v>
      </c>
      <c r="Y21" s="2"/>
      <c r="Z21" s="19">
        <f t="shared" si="3"/>
        <v>5.3155698101323527E-2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--715</f>
        <v>715</v>
      </c>
      <c r="E22" s="2"/>
      <c r="F22" s="19"/>
      <c r="G22" s="2"/>
      <c r="H22" s="2">
        <f>--391.75</f>
        <v>391.75</v>
      </c>
      <c r="I22" s="2"/>
      <c r="J22" s="19"/>
      <c r="K22" s="2"/>
      <c r="L22" s="2">
        <f t="shared" si="0"/>
        <v>323.25</v>
      </c>
      <c r="M22" s="2"/>
      <c r="N22" s="19">
        <f t="shared" si="1"/>
        <v>0.82514358647096364</v>
      </c>
      <c r="O22" s="11"/>
      <c r="P22" s="2">
        <f>--10275</f>
        <v>10275</v>
      </c>
      <c r="Q22" s="2"/>
      <c r="R22" s="19"/>
      <c r="S22" s="2"/>
      <c r="T22" s="2">
        <f>--7579.75</f>
        <v>7579.75</v>
      </c>
      <c r="U22" s="2"/>
      <c r="V22" s="19"/>
      <c r="W22" s="2"/>
      <c r="X22" s="2">
        <f t="shared" si="2"/>
        <v>2695.25</v>
      </c>
      <c r="Y22" s="2"/>
      <c r="Z22" s="19">
        <f t="shared" si="3"/>
        <v>0.35558560638543485</v>
      </c>
    </row>
    <row r="23" spans="1:26" s="24" customFormat="1" hidden="1" outlineLevel="1" x14ac:dyDescent="0.25">
      <c r="A23" s="44"/>
      <c r="B23" s="11" t="str">
        <f>CONCATENATE("          ", "4233", " - ", "SALES RETURN TAXABLE-CANDY")</f>
        <v xml:space="preserve">          4233 - SALES RETURN TAXABLE-CANDY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-1.69</f>
        <v>-1.69</v>
      </c>
      <c r="U23" s="2"/>
      <c r="V23" s="19"/>
      <c r="W23" s="2"/>
      <c r="X23" s="2">
        <f t="shared" si="2"/>
        <v>1.69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87962.520000000019</v>
      </c>
      <c r="E25" s="4"/>
      <c r="F25" s="12">
        <f t="shared" ref="F25:F27" si="5">IF(D$12=0,0,D25/D$12)</f>
        <v>0.48546877825921614</v>
      </c>
      <c r="G25" s="4"/>
      <c r="H25" s="4">
        <f>SUM(OSRRefH16x_0)</f>
        <v>88573.07</v>
      </c>
      <c r="I25" s="4"/>
      <c r="J25" s="12">
        <f t="shared" ref="J25:J27" si="6">IF(H$12=0,0,H25/H$12)</f>
        <v>0.52602676187913988</v>
      </c>
      <c r="K25" s="4"/>
      <c r="L25" s="4">
        <f t="shared" ref="L25:L27" si="7">+D25-H25</f>
        <v>-610.54999999998836</v>
      </c>
      <c r="M25" s="4"/>
      <c r="N25" s="12">
        <f t="shared" ref="N25:N27" si="8">IF(H25=0,0,L25/H25)</f>
        <v>-6.8931787054461171E-3</v>
      </c>
      <c r="O25" s="10"/>
      <c r="P25" s="4">
        <f>SUM(OSRRefP16x_0)</f>
        <v>862221.05999999994</v>
      </c>
      <c r="Q25" s="4"/>
      <c r="R25" s="12">
        <f t="shared" ref="R25:R27" si="9">IF(P$12=0,0,P25/P$12)</f>
        <v>0.4768964760196871</v>
      </c>
      <c r="S25" s="4"/>
      <c r="T25" s="4">
        <f>SUM(OSRRefT16x_0)</f>
        <v>815826.86</v>
      </c>
      <c r="U25" s="4"/>
      <c r="V25" s="12">
        <f t="shared" ref="V25:V27" si="10">IF(T$12=0,0,T25/T$12)</f>
        <v>0.47351889249446477</v>
      </c>
      <c r="W25" s="4"/>
      <c r="X25" s="4">
        <f t="shared" ref="X25:X27" si="11">+P25-T25</f>
        <v>46394.199999999953</v>
      </c>
      <c r="Y25" s="4"/>
      <c r="Z25" s="12">
        <f t="shared" ref="Z25:Z27" si="12">IF(T25=0,0,X25/T25)</f>
        <v>5.6867703522288975E-2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115854.20000000001</v>
      </c>
      <c r="E26" s="2"/>
      <c r="F26" s="19">
        <f t="shared" si="5"/>
        <v>0.639404111321491</v>
      </c>
      <c r="G26" s="2"/>
      <c r="H26" s="2">
        <v>124542.18000000001</v>
      </c>
      <c r="I26" s="2"/>
      <c r="J26" s="19">
        <f t="shared" si="6"/>
        <v>0.73964377279424742</v>
      </c>
      <c r="K26" s="2"/>
      <c r="L26" s="2">
        <f t="shared" si="7"/>
        <v>-8687.9799999999959</v>
      </c>
      <c r="M26" s="2"/>
      <c r="N26" s="19">
        <f t="shared" si="8"/>
        <v>-6.9759337760106621E-2</v>
      </c>
      <c r="O26" s="11"/>
      <c r="P26" s="2">
        <v>899726.58</v>
      </c>
      <c r="Q26" s="2"/>
      <c r="R26" s="19">
        <f t="shared" si="9"/>
        <v>0.49764086646555017</v>
      </c>
      <c r="S26" s="2"/>
      <c r="T26" s="2">
        <v>829489.69</v>
      </c>
      <c r="U26" s="2"/>
      <c r="V26" s="19">
        <f t="shared" si="10"/>
        <v>0.48144901645476212</v>
      </c>
      <c r="W26" s="2"/>
      <c r="X26" s="2">
        <f t="shared" si="11"/>
        <v>70236.890000000014</v>
      </c>
      <c r="Y26" s="2"/>
      <c r="Z26" s="19">
        <f t="shared" si="12"/>
        <v>8.4674819767802084E-2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-27891.68</v>
      </c>
      <c r="E27" s="2"/>
      <c r="F27" s="19">
        <f t="shared" si="5"/>
        <v>-0.15393533306227483</v>
      </c>
      <c r="G27" s="2"/>
      <c r="H27" s="2">
        <v>-35969.11</v>
      </c>
      <c r="I27" s="2"/>
      <c r="J27" s="19">
        <f t="shared" si="6"/>
        <v>-0.21361701091510757</v>
      </c>
      <c r="K27" s="2"/>
      <c r="L27" s="2">
        <f t="shared" si="7"/>
        <v>8077.43</v>
      </c>
      <c r="M27" s="2"/>
      <c r="N27" s="19">
        <f t="shared" si="8"/>
        <v>-0.2245657454410187</v>
      </c>
      <c r="O27" s="11"/>
      <c r="P27" s="2">
        <v>-37505.519999999997</v>
      </c>
      <c r="Q27" s="2"/>
      <c r="R27" s="19">
        <f t="shared" si="9"/>
        <v>-2.0744390445863032E-2</v>
      </c>
      <c r="S27" s="2"/>
      <c r="T27" s="2">
        <v>-13662.83</v>
      </c>
      <c r="U27" s="2"/>
      <c r="V27" s="19">
        <f t="shared" si="10"/>
        <v>-7.9301239602973458E-3</v>
      </c>
      <c r="W27" s="2"/>
      <c r="X27" s="2">
        <f t="shared" si="11"/>
        <v>-23842.689999999995</v>
      </c>
      <c r="Y27" s="2"/>
      <c r="Z27" s="19">
        <f t="shared" si="12"/>
        <v>1.7450769716083707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1">
        <f>D12-D25</f>
        <v>93228.369999999966</v>
      </c>
      <c r="E29" s="14"/>
      <c r="F29" s="22">
        <f>IF(D$12=0,0,D29/D$12)</f>
        <v>0.51453122174078381</v>
      </c>
      <c r="G29" s="14"/>
      <c r="H29" s="21">
        <f>H12-H25</f>
        <v>79808.229999999981</v>
      </c>
      <c r="I29" s="14"/>
      <c r="J29" s="22">
        <f>IF(H$12=0,0,H29/H$12)</f>
        <v>0.47397323812086012</v>
      </c>
      <c r="K29" s="16"/>
      <c r="L29" s="21">
        <f>+D29-H29</f>
        <v>13420.139999999985</v>
      </c>
      <c r="M29" s="16"/>
      <c r="N29" s="22">
        <f>IF(H29=0,0,L29/H29)</f>
        <v>0.16815483816643959</v>
      </c>
      <c r="O29" s="29"/>
      <c r="P29" s="21">
        <f>P12-P25</f>
        <v>945762.65</v>
      </c>
      <c r="Q29" s="14"/>
      <c r="R29" s="22">
        <f>IF(P$12=0,0,P29/P$12)</f>
        <v>0.5231035239803129</v>
      </c>
      <c r="S29" s="14"/>
      <c r="T29" s="21">
        <f>T12-T25</f>
        <v>907075.59</v>
      </c>
      <c r="U29" s="14"/>
      <c r="V29" s="22">
        <f>IF(T$12=0,0,T29/T$12)</f>
        <v>0.52648110750553523</v>
      </c>
      <c r="W29" s="16"/>
      <c r="X29" s="21">
        <f>+P29-T29</f>
        <v>38687.060000000056</v>
      </c>
      <c r="Y29" s="16"/>
      <c r="Z29" s="22">
        <f>IF(T29=0,0,X29/T29)</f>
        <v>4.2650315394332304E-2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0">
        <f>SUM(OSRRefD22x_0)</f>
        <v>94346.829999999958</v>
      </c>
      <c r="E31" s="20"/>
      <c r="F31" s="32">
        <f t="shared" ref="F31:F40" si="13">IF(D$12=0,0,D31/D$12)</f>
        <v>0.52070404864173891</v>
      </c>
      <c r="G31" s="20"/>
      <c r="H31" s="20">
        <f>SUM(OSRRefH22x_0)</f>
        <v>96143.26</v>
      </c>
      <c r="I31" s="20"/>
      <c r="J31" s="32">
        <f t="shared" ref="J31:J40" si="14">IF(H$12=0,0,H31/H$12)</f>
        <v>0.57098537664218063</v>
      </c>
      <c r="K31" s="4"/>
      <c r="L31" s="20">
        <f t="shared" ref="L31:L40" si="15">+D31-H31</f>
        <v>-1796.4300000000367</v>
      </c>
      <c r="M31" s="4"/>
      <c r="N31" s="32">
        <f t="shared" ref="N31:N40" si="16">IF(H31=0,0,L31/H31)</f>
        <v>-1.8684929135958536E-2</v>
      </c>
      <c r="O31" s="10"/>
      <c r="P31" s="20">
        <f>SUM(OSRRefP22x_0)</f>
        <v>733021.34</v>
      </c>
      <c r="Q31" s="20"/>
      <c r="R31" s="32">
        <f t="shared" ref="R31:R40" si="17">IF(P$12=0,0,P31/P$12)</f>
        <v>0.40543581003835483</v>
      </c>
      <c r="S31" s="20"/>
      <c r="T31" s="20">
        <f>SUM(OSRRefT22x_0)</f>
        <v>699222.2899999998</v>
      </c>
      <c r="U31" s="20"/>
      <c r="V31" s="32">
        <f t="shared" ref="V31:V40" si="18">IF(T$12=0,0,T31/T$12)</f>
        <v>0.40583974443822968</v>
      </c>
      <c r="W31" s="4"/>
      <c r="X31" s="20">
        <f t="shared" ref="X31:X40" si="19">+P31-T31</f>
        <v>33799.050000000163</v>
      </c>
      <c r="Y31" s="4"/>
      <c r="Z31" s="32">
        <f t="shared" ref="Z31:Z40" si="20">IF(T31=0,0,X31/T31)</f>
        <v>4.833806141963834E-2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11053.82</v>
      </c>
      <c r="E32" s="1"/>
      <c r="F32" s="5">
        <f t="shared" si="13"/>
        <v>6.1006488792013772E-2</v>
      </c>
      <c r="G32" s="1"/>
      <c r="H32" s="1">
        <f>SUM(OSRRefH22_0x_0)</f>
        <v>13935.56</v>
      </c>
      <c r="I32" s="1"/>
      <c r="J32" s="5">
        <f t="shared" si="14"/>
        <v>8.2761921899878438E-2</v>
      </c>
      <c r="K32" s="1"/>
      <c r="L32" s="1">
        <f t="shared" si="15"/>
        <v>-2881.74</v>
      </c>
      <c r="M32" s="1"/>
      <c r="N32" s="5">
        <f t="shared" si="16"/>
        <v>-0.2067903980894919</v>
      </c>
      <c r="O32" s="13"/>
      <c r="P32" s="1">
        <f>SUM(OSRRefP22_0x_0)</f>
        <v>95098.310000000012</v>
      </c>
      <c r="Q32" s="1"/>
      <c r="R32" s="5">
        <f t="shared" si="17"/>
        <v>5.2599096703144527E-2</v>
      </c>
      <c r="S32" s="1"/>
      <c r="T32" s="1">
        <f>SUM(OSRRefT22_0x_0)</f>
        <v>94660.55</v>
      </c>
      <c r="U32" s="1"/>
      <c r="V32" s="5">
        <f t="shared" si="18"/>
        <v>5.4942489634279647E-2</v>
      </c>
      <c r="W32" s="1"/>
      <c r="X32" s="1">
        <f t="shared" si="19"/>
        <v>437.76000000000931</v>
      </c>
      <c r="Y32" s="1"/>
      <c r="Z32" s="5">
        <f t="shared" si="20"/>
        <v>4.6245241549939158E-3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6">
        <v>1664.79</v>
      </c>
      <c r="E33" s="2"/>
      <c r="F33" s="7">
        <f t="shared" si="13"/>
        <v>9.1880447190253334E-3</v>
      </c>
      <c r="G33" s="2"/>
      <c r="H33" s="6">
        <v>1686.27</v>
      </c>
      <c r="I33" s="2"/>
      <c r="J33" s="7">
        <f t="shared" si="14"/>
        <v>1.0014591881640065E-2</v>
      </c>
      <c r="K33" s="2"/>
      <c r="L33" s="6">
        <f t="shared" si="15"/>
        <v>-21.480000000000018</v>
      </c>
      <c r="M33" s="2"/>
      <c r="N33" s="7">
        <f t="shared" si="16"/>
        <v>-1.2738173602092203E-2</v>
      </c>
      <c r="O33" s="11"/>
      <c r="P33" s="6">
        <v>16032.670000000002</v>
      </c>
      <c r="Q33" s="2"/>
      <c r="R33" s="7">
        <f t="shared" si="17"/>
        <v>8.8677071100380662E-3</v>
      </c>
      <c r="S33" s="2"/>
      <c r="T33" s="6">
        <v>15941.289999999999</v>
      </c>
      <c r="U33" s="2"/>
      <c r="V33" s="7">
        <f t="shared" si="18"/>
        <v>9.2525784033797159E-3</v>
      </c>
      <c r="W33" s="2"/>
      <c r="X33" s="6">
        <f t="shared" si="19"/>
        <v>91.380000000002838</v>
      </c>
      <c r="Y33" s="2"/>
      <c r="Z33" s="7">
        <f t="shared" si="20"/>
        <v>5.7322838992329254E-3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6">
        <v>664.76</v>
      </c>
      <c r="E34" s="2"/>
      <c r="F34" s="7">
        <f t="shared" si="13"/>
        <v>3.6688378758998317E-3</v>
      </c>
      <c r="G34" s="2"/>
      <c r="H34" s="6">
        <v>539.28</v>
      </c>
      <c r="I34" s="2"/>
      <c r="J34" s="7">
        <f t="shared" si="14"/>
        <v>3.2027309445882648E-3</v>
      </c>
      <c r="K34" s="2"/>
      <c r="L34" s="6">
        <f t="shared" si="15"/>
        <v>125.48000000000002</v>
      </c>
      <c r="M34" s="2"/>
      <c r="N34" s="7">
        <f t="shared" si="16"/>
        <v>0.23268061118528413</v>
      </c>
      <c r="O34" s="11"/>
      <c r="P34" s="6">
        <v>6050.54</v>
      </c>
      <c r="Q34" s="2"/>
      <c r="R34" s="7">
        <f t="shared" si="17"/>
        <v>3.3465677630469359E-3</v>
      </c>
      <c r="S34" s="2"/>
      <c r="T34" s="6">
        <v>5138.16</v>
      </c>
      <c r="U34" s="2"/>
      <c r="V34" s="7">
        <f t="shared" si="18"/>
        <v>2.9822698319338973E-3</v>
      </c>
      <c r="W34" s="2"/>
      <c r="X34" s="6">
        <f t="shared" si="19"/>
        <v>912.38000000000011</v>
      </c>
      <c r="Y34" s="2"/>
      <c r="Z34" s="7">
        <f t="shared" si="20"/>
        <v>0.17756940227630127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6">
        <v>4620.57</v>
      </c>
      <c r="E35" s="2"/>
      <c r="F35" s="7">
        <f t="shared" si="13"/>
        <v>2.550111652964451E-2</v>
      </c>
      <c r="G35" s="2"/>
      <c r="H35" s="6">
        <v>6378.17</v>
      </c>
      <c r="I35" s="2"/>
      <c r="J35" s="7">
        <f t="shared" si="14"/>
        <v>3.7879325079447662E-2</v>
      </c>
      <c r="K35" s="2"/>
      <c r="L35" s="6">
        <f t="shared" si="15"/>
        <v>-1757.6000000000004</v>
      </c>
      <c r="M35" s="2"/>
      <c r="N35" s="7">
        <f t="shared" si="16"/>
        <v>-0.27556493476969107</v>
      </c>
      <c r="O35" s="11"/>
      <c r="P35" s="6">
        <v>41456</v>
      </c>
      <c r="Q35" s="2"/>
      <c r="R35" s="7">
        <f t="shared" si="17"/>
        <v>2.2929410132793732E-2</v>
      </c>
      <c r="S35" s="2"/>
      <c r="T35" s="6">
        <v>42487.19</v>
      </c>
      <c r="U35" s="2"/>
      <c r="V35" s="7">
        <f t="shared" si="18"/>
        <v>2.4660241210986731E-2</v>
      </c>
      <c r="W35" s="2"/>
      <c r="X35" s="6">
        <f t="shared" si="19"/>
        <v>-1031.1900000000023</v>
      </c>
      <c r="Y35" s="2"/>
      <c r="Z35" s="7">
        <f t="shared" si="20"/>
        <v>-2.4270609564906558E-2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6">
        <v>90.97</v>
      </c>
      <c r="E36" s="2"/>
      <c r="F36" s="7">
        <f t="shared" si="13"/>
        <v>5.020671845035918E-4</v>
      </c>
      <c r="G36" s="2"/>
      <c r="H36" s="6">
        <v>105.06</v>
      </c>
      <c r="I36" s="2"/>
      <c r="J36" s="7">
        <f t="shared" si="14"/>
        <v>6.2394101957877755E-4</v>
      </c>
      <c r="K36" s="2"/>
      <c r="L36" s="6">
        <f t="shared" si="15"/>
        <v>-14.090000000000003</v>
      </c>
      <c r="M36" s="2"/>
      <c r="N36" s="7">
        <f t="shared" si="16"/>
        <v>-0.13411383971064156</v>
      </c>
      <c r="O36" s="11"/>
      <c r="P36" s="6">
        <v>961.22</v>
      </c>
      <c r="Q36" s="2"/>
      <c r="R36" s="7">
        <f t="shared" si="17"/>
        <v>5.3165302025868371E-4</v>
      </c>
      <c r="S36" s="2"/>
      <c r="T36" s="6">
        <v>1002.61</v>
      </c>
      <c r="U36" s="2"/>
      <c r="V36" s="7">
        <f t="shared" si="18"/>
        <v>5.8193079939029629E-4</v>
      </c>
      <c r="W36" s="2"/>
      <c r="X36" s="6">
        <f t="shared" si="19"/>
        <v>-41.389999999999986</v>
      </c>
      <c r="Y36" s="2"/>
      <c r="Z36" s="7">
        <f t="shared" si="20"/>
        <v>-4.1282253318837822E-2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6">
        <v>1899.58</v>
      </c>
      <c r="E37" s="2"/>
      <c r="F37" s="7">
        <f t="shared" si="13"/>
        <v>1.0483860419251763E-2</v>
      </c>
      <c r="G37" s="2"/>
      <c r="H37" s="6">
        <v>1926.65</v>
      </c>
      <c r="I37" s="2"/>
      <c r="J37" s="7">
        <f t="shared" si="14"/>
        <v>1.1442185088249112E-2</v>
      </c>
      <c r="K37" s="2"/>
      <c r="L37" s="6">
        <f t="shared" si="15"/>
        <v>-27.070000000000164</v>
      </c>
      <c r="M37" s="2"/>
      <c r="N37" s="7">
        <f t="shared" si="16"/>
        <v>-1.4050294552721129E-2</v>
      </c>
      <c r="O37" s="11"/>
      <c r="P37" s="6">
        <v>11551.25</v>
      </c>
      <c r="Q37" s="2"/>
      <c r="R37" s="7">
        <f t="shared" si="17"/>
        <v>6.3890232727815896E-3</v>
      </c>
      <c r="S37" s="2"/>
      <c r="T37" s="6">
        <v>11574.45</v>
      </c>
      <c r="U37" s="2"/>
      <c r="V37" s="7">
        <f t="shared" si="18"/>
        <v>6.7179949741205608E-3</v>
      </c>
      <c r="W37" s="2"/>
      <c r="X37" s="6">
        <f t="shared" si="19"/>
        <v>-23.200000000000728</v>
      </c>
      <c r="Y37" s="2"/>
      <c r="Z37" s="7">
        <f t="shared" si="20"/>
        <v>-2.0044148966042209E-3</v>
      </c>
    </row>
    <row r="38" spans="1:26" s="24" customFormat="1" hidden="1" outlineLevel="2" x14ac:dyDescent="0.25">
      <c r="A38" s="25"/>
      <c r="B38" s="11" t="str">
        <f>CONCATENATE("          ", "6118", " - ", "VACATION")</f>
        <v xml:space="preserve">          6118 - VACATION</v>
      </c>
      <c r="C38" s="11"/>
      <c r="D38" s="6">
        <v>950.98</v>
      </c>
      <c r="E38" s="2"/>
      <c r="F38" s="7">
        <f t="shared" si="13"/>
        <v>5.248497868739428E-3</v>
      </c>
      <c r="G38" s="2"/>
      <c r="H38" s="6">
        <v>1169.0999999999999</v>
      </c>
      <c r="I38" s="2"/>
      <c r="J38" s="7">
        <f t="shared" si="14"/>
        <v>6.9431700551070693E-3</v>
      </c>
      <c r="K38" s="2"/>
      <c r="L38" s="6">
        <f t="shared" si="15"/>
        <v>-218.11999999999989</v>
      </c>
      <c r="M38" s="2"/>
      <c r="N38" s="7">
        <f t="shared" si="16"/>
        <v>-0.18657086647848764</v>
      </c>
      <c r="O38" s="11"/>
      <c r="P38" s="6">
        <v>8748.56</v>
      </c>
      <c r="Q38" s="2"/>
      <c r="R38" s="7">
        <f t="shared" si="17"/>
        <v>4.8388489075490617E-3</v>
      </c>
      <c r="S38" s="2"/>
      <c r="T38" s="6">
        <v>8058.47</v>
      </c>
      <c r="U38" s="2"/>
      <c r="V38" s="7">
        <f t="shared" si="18"/>
        <v>4.6772642293241851E-3</v>
      </c>
      <c r="W38" s="2"/>
      <c r="X38" s="6">
        <f t="shared" si="19"/>
        <v>690.08999999999924</v>
      </c>
      <c r="Y38" s="2"/>
      <c r="Z38" s="7">
        <f t="shared" si="20"/>
        <v>8.5635362544006388E-2</v>
      </c>
    </row>
    <row r="39" spans="1:26" s="24" customFormat="1" hidden="1" outlineLevel="2" x14ac:dyDescent="0.25">
      <c r="A39" s="25"/>
      <c r="B39" s="11" t="str">
        <f>CONCATENATE("          ", "6119", " - ", "SICK LEAVE")</f>
        <v xml:space="preserve">          6119 - SICK LEAVE</v>
      </c>
      <c r="C39" s="11"/>
      <c r="D39" s="6">
        <v>640.52</v>
      </c>
      <c r="E39" s="2"/>
      <c r="F39" s="7">
        <f t="shared" si="13"/>
        <v>3.5350563154692822E-3</v>
      </c>
      <c r="G39" s="2"/>
      <c r="H39" s="6">
        <v>1531.63</v>
      </c>
      <c r="I39" s="2"/>
      <c r="J39" s="7">
        <f t="shared" si="14"/>
        <v>9.0962001124828013E-3</v>
      </c>
      <c r="K39" s="2"/>
      <c r="L39" s="6">
        <f t="shared" si="15"/>
        <v>-891.11000000000013</v>
      </c>
      <c r="M39" s="2"/>
      <c r="N39" s="7">
        <f t="shared" si="16"/>
        <v>-0.58180500512525879</v>
      </c>
      <c r="O39" s="11"/>
      <c r="P39" s="6">
        <v>5990.6</v>
      </c>
      <c r="Q39" s="2"/>
      <c r="R39" s="7">
        <f t="shared" si="17"/>
        <v>3.3134148094730348E-3</v>
      </c>
      <c r="S39" s="2"/>
      <c r="T39" s="6">
        <v>6883.66</v>
      </c>
      <c r="U39" s="2"/>
      <c r="V39" s="7">
        <f t="shared" si="18"/>
        <v>3.9953858095680347E-3</v>
      </c>
      <c r="W39" s="2"/>
      <c r="X39" s="6">
        <f t="shared" si="19"/>
        <v>-893.05999999999949</v>
      </c>
      <c r="Y39" s="2"/>
      <c r="Z39" s="7">
        <f t="shared" si="20"/>
        <v>-0.12973621590839748</v>
      </c>
    </row>
    <row r="40" spans="1:26" s="24" customFormat="1" hidden="1" outlineLevel="2" x14ac:dyDescent="0.25">
      <c r="A40" s="25"/>
      <c r="B40" s="11" t="str">
        <f>CONCATENATE("          ", "6156", " - ", "EMPLOYEE MEALS")</f>
        <v xml:space="preserve">          6156 - EMPLOYEE MEALS</v>
      </c>
      <c r="C40" s="11"/>
      <c r="D40" s="6">
        <v>521.65</v>
      </c>
      <c r="E40" s="2"/>
      <c r="F40" s="7">
        <f t="shared" si="13"/>
        <v>2.8790078794800338E-3</v>
      </c>
      <c r="G40" s="2"/>
      <c r="H40" s="6">
        <v>599.4</v>
      </c>
      <c r="I40" s="2"/>
      <c r="J40" s="7">
        <f t="shared" si="14"/>
        <v>3.5597777187846868E-3</v>
      </c>
      <c r="K40" s="2"/>
      <c r="L40" s="6">
        <f t="shared" si="15"/>
        <v>-77.75</v>
      </c>
      <c r="M40" s="2"/>
      <c r="N40" s="7">
        <f t="shared" si="16"/>
        <v>-0.12971304637971307</v>
      </c>
      <c r="O40" s="11"/>
      <c r="P40" s="6">
        <v>4307.47</v>
      </c>
      <c r="Q40" s="2"/>
      <c r="R40" s="7">
        <f t="shared" si="17"/>
        <v>2.3824716872034211E-3</v>
      </c>
      <c r="S40" s="2"/>
      <c r="T40" s="6">
        <v>3574.72</v>
      </c>
      <c r="U40" s="2"/>
      <c r="V40" s="7">
        <f t="shared" si="18"/>
        <v>2.0748243755762258E-3</v>
      </c>
      <c r="W40" s="2"/>
      <c r="X40" s="6">
        <f t="shared" si="19"/>
        <v>732.75000000000045</v>
      </c>
      <c r="Y40" s="2"/>
      <c r="Z40" s="7">
        <f t="shared" si="20"/>
        <v>0.20498108942798332</v>
      </c>
    </row>
    <row r="41" spans="1:26" s="26" customFormat="1" outlineLevel="1" collapsed="1" x14ac:dyDescent="0.25">
      <c r="A41" s="27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49952.36</v>
      </c>
      <c r="E41" s="1"/>
      <c r="F41" s="5">
        <f t="shared" ref="F41:F47" si="21">IF(D$12=0,0,D41/D$12)</f>
        <v>0.27568913646817456</v>
      </c>
      <c r="G41" s="1"/>
      <c r="H41" s="1">
        <f>SUM(OSRRefH22_1x_0)</f>
        <v>56917.9</v>
      </c>
      <c r="I41" s="1"/>
      <c r="J41" s="5">
        <f t="shared" ref="J41:J47" si="22">IF(H$12=0,0,H41/H$12)</f>
        <v>0.33802981685020844</v>
      </c>
      <c r="K41" s="1"/>
      <c r="L41" s="1">
        <f t="shared" ref="L41:L47" si="23">+D41-H41</f>
        <v>-6965.5400000000009</v>
      </c>
      <c r="M41" s="1"/>
      <c r="N41" s="5">
        <f t="shared" ref="N41:N47" si="24">IF(H41=0,0,L41/H41)</f>
        <v>-0.12237872444345277</v>
      </c>
      <c r="O41" s="13"/>
      <c r="P41" s="1">
        <f>SUM(OSRRefP22_1x_0)</f>
        <v>366990.49999999994</v>
      </c>
      <c r="Q41" s="1"/>
      <c r="R41" s="5">
        <f t="shared" ref="R41:R47" si="25">IF(P$12=0,0,P41/P$12)</f>
        <v>0.20298330010949045</v>
      </c>
      <c r="S41" s="1"/>
      <c r="T41" s="1">
        <f>SUM(OSRRefT22_1x_0)</f>
        <v>365982.48000000004</v>
      </c>
      <c r="U41" s="1"/>
      <c r="V41" s="5">
        <f t="shared" ref="V41:V47" si="26">IF(T$12=0,0,T41/T$12)</f>
        <v>0.21242205558416849</v>
      </c>
      <c r="W41" s="1"/>
      <c r="X41" s="1">
        <f t="shared" ref="X41:X47" si="27">+P41-T41</f>
        <v>1008.0199999999022</v>
      </c>
      <c r="Y41" s="1"/>
      <c r="Z41" s="5">
        <f t="shared" ref="Z41:Z47" si="28">IF(T41=0,0,X41/T41)</f>
        <v>2.7542848499193242E-3</v>
      </c>
    </row>
    <row r="42" spans="1:26" s="24" customFormat="1" hidden="1" outlineLevel="2" x14ac:dyDescent="0.25">
      <c r="A42" s="25"/>
      <c r="B42" s="11" t="str">
        <f>CONCATENATE("          ", "6002", " - ", "STAFF SALARIES")</f>
        <v xml:space="preserve">          6002 - STAFF SALARIES</v>
      </c>
      <c r="C42" s="11"/>
      <c r="D42" s="6">
        <v>16075.66</v>
      </c>
      <c r="E42" s="2"/>
      <c r="F42" s="7">
        <f t="shared" si="21"/>
        <v>8.8722231012828515E-2</v>
      </c>
      <c r="G42" s="2"/>
      <c r="H42" s="6">
        <v>20309.289999999997</v>
      </c>
      <c r="I42" s="2"/>
      <c r="J42" s="7">
        <f t="shared" si="22"/>
        <v>0.12061487825548323</v>
      </c>
      <c r="K42" s="2"/>
      <c r="L42" s="6">
        <f t="shared" si="23"/>
        <v>-4233.6299999999974</v>
      </c>
      <c r="M42" s="2"/>
      <c r="N42" s="7">
        <f t="shared" si="24"/>
        <v>-0.20845780428562485</v>
      </c>
      <c r="O42" s="11"/>
      <c r="P42" s="6">
        <v>114721.79</v>
      </c>
      <c r="Q42" s="2"/>
      <c r="R42" s="7">
        <f t="shared" si="25"/>
        <v>6.345288918560002E-2</v>
      </c>
      <c r="S42" s="2"/>
      <c r="T42" s="6">
        <v>118136.51999999999</v>
      </c>
      <c r="U42" s="2"/>
      <c r="V42" s="7">
        <f t="shared" si="26"/>
        <v>6.8568316215465358E-2</v>
      </c>
      <c r="W42" s="2"/>
      <c r="X42" s="6">
        <f t="shared" si="27"/>
        <v>-3414.7299999999959</v>
      </c>
      <c r="Y42" s="2"/>
      <c r="Z42" s="7">
        <f t="shared" si="28"/>
        <v>-2.8904948275097288E-2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/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254.64</v>
      </c>
      <c r="Q43" s="2"/>
      <c r="R43" s="7">
        <f t="shared" si="25"/>
        <v>1.4084197694458209E-4</v>
      </c>
      <c r="S43" s="2"/>
      <c r="T43" s="6"/>
      <c r="U43" s="2"/>
      <c r="V43" s="7">
        <f t="shared" si="26"/>
        <v>0</v>
      </c>
      <c r="W43" s="2"/>
      <c r="X43" s="6">
        <f t="shared" si="27"/>
        <v>254.64</v>
      </c>
      <c r="Y43" s="2"/>
      <c r="Z43" s="7">
        <f t="shared" si="28"/>
        <v>0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7125.11</v>
      </c>
      <c r="E44" s="2"/>
      <c r="F44" s="7">
        <f t="shared" si="21"/>
        <v>3.9323776156737239E-2</v>
      </c>
      <c r="G44" s="2"/>
      <c r="H44" s="6">
        <v>5126.01</v>
      </c>
      <c r="I44" s="2"/>
      <c r="J44" s="7">
        <f t="shared" si="22"/>
        <v>3.044286984362278E-2</v>
      </c>
      <c r="K44" s="2"/>
      <c r="L44" s="6">
        <f t="shared" si="23"/>
        <v>1999.0999999999995</v>
      </c>
      <c r="M44" s="2"/>
      <c r="N44" s="7">
        <f t="shared" si="24"/>
        <v>0.38999143583410867</v>
      </c>
      <c r="O44" s="11"/>
      <c r="P44" s="6">
        <v>46578.39</v>
      </c>
      <c r="Q44" s="2"/>
      <c r="R44" s="7">
        <f t="shared" si="25"/>
        <v>2.5762615969587468E-2</v>
      </c>
      <c r="S44" s="2"/>
      <c r="T44" s="6">
        <v>39700.369999999995</v>
      </c>
      <c r="U44" s="2"/>
      <c r="V44" s="7">
        <f t="shared" si="26"/>
        <v>2.304272653393696E-2</v>
      </c>
      <c r="W44" s="2"/>
      <c r="X44" s="6">
        <f t="shared" si="27"/>
        <v>6878.0200000000041</v>
      </c>
      <c r="Y44" s="2"/>
      <c r="Z44" s="7">
        <f t="shared" si="28"/>
        <v>0.17324825939909388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602.55999999999995</v>
      </c>
      <c r="E45" s="2"/>
      <c r="F45" s="7">
        <f t="shared" si="21"/>
        <v>3.3255535087884387E-3</v>
      </c>
      <c r="G45" s="2"/>
      <c r="H45" s="6">
        <v>570.55999999999995</v>
      </c>
      <c r="I45" s="2"/>
      <c r="J45" s="7">
        <f t="shared" si="22"/>
        <v>3.3884997918414931E-3</v>
      </c>
      <c r="K45" s="2"/>
      <c r="L45" s="6">
        <f t="shared" si="23"/>
        <v>32</v>
      </c>
      <c r="M45" s="2"/>
      <c r="N45" s="7">
        <f t="shared" si="24"/>
        <v>5.6085249579360633E-2</v>
      </c>
      <c r="O45" s="11"/>
      <c r="P45" s="6">
        <v>10635.99</v>
      </c>
      <c r="Q45" s="2"/>
      <c r="R45" s="7">
        <f t="shared" si="25"/>
        <v>5.8827908355435351E-3</v>
      </c>
      <c r="S45" s="2"/>
      <c r="T45" s="6">
        <v>21630.84</v>
      </c>
      <c r="U45" s="2"/>
      <c r="V45" s="7">
        <f t="shared" si="26"/>
        <v>1.2554883766054195E-2</v>
      </c>
      <c r="W45" s="2"/>
      <c r="X45" s="6">
        <f t="shared" si="27"/>
        <v>-10994.85</v>
      </c>
      <c r="Y45" s="2"/>
      <c r="Z45" s="7">
        <f t="shared" si="28"/>
        <v>-0.50829510088373819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25996.28</v>
      </c>
      <c r="E46" s="2"/>
      <c r="F46" s="7">
        <f t="shared" si="21"/>
        <v>0.14347454223553954</v>
      </c>
      <c r="G46" s="2"/>
      <c r="H46" s="6">
        <v>29160.030000000002</v>
      </c>
      <c r="I46" s="2"/>
      <c r="J46" s="7">
        <f t="shared" si="22"/>
        <v>0.17317855367549725</v>
      </c>
      <c r="K46" s="2"/>
      <c r="L46" s="6">
        <f t="shared" si="23"/>
        <v>-3163.7500000000036</v>
      </c>
      <c r="M46" s="2"/>
      <c r="N46" s="7">
        <f t="shared" si="24"/>
        <v>-0.10849611608767218</v>
      </c>
      <c r="O46" s="11"/>
      <c r="P46" s="6">
        <v>185816.15</v>
      </c>
      <c r="Q46" s="2"/>
      <c r="R46" s="7">
        <f t="shared" si="25"/>
        <v>0.10277534524910072</v>
      </c>
      <c r="S46" s="2"/>
      <c r="T46" s="6">
        <v>173010.66</v>
      </c>
      <c r="U46" s="2"/>
      <c r="V46" s="7">
        <f t="shared" si="26"/>
        <v>0.10041814033057996</v>
      </c>
      <c r="W46" s="2"/>
      <c r="X46" s="6">
        <f t="shared" si="27"/>
        <v>12805.489999999991</v>
      </c>
      <c r="Y46" s="2"/>
      <c r="Z46" s="7">
        <f t="shared" si="28"/>
        <v>7.4015612679588588E-2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152.75</v>
      </c>
      <c r="E47" s="2"/>
      <c r="F47" s="7">
        <f t="shared" si="21"/>
        <v>8.4303355428079203E-4</v>
      </c>
      <c r="G47" s="2"/>
      <c r="H47" s="6">
        <v>1752.01</v>
      </c>
      <c r="I47" s="2"/>
      <c r="J47" s="7">
        <f t="shared" si="22"/>
        <v>1.0405015283763697E-2</v>
      </c>
      <c r="K47" s="2"/>
      <c r="L47" s="6">
        <f t="shared" si="23"/>
        <v>-1599.26</v>
      </c>
      <c r="M47" s="2"/>
      <c r="N47" s="7">
        <f t="shared" si="24"/>
        <v>-0.91281442457520223</v>
      </c>
      <c r="O47" s="11"/>
      <c r="P47" s="6">
        <v>8983.5400000000009</v>
      </c>
      <c r="Q47" s="2"/>
      <c r="R47" s="7">
        <f t="shared" si="25"/>
        <v>4.96881689271415E-3</v>
      </c>
      <c r="S47" s="2"/>
      <c r="T47" s="6">
        <v>13504.09</v>
      </c>
      <c r="U47" s="2"/>
      <c r="V47" s="7">
        <f t="shared" si="26"/>
        <v>7.8379887381319815E-3</v>
      </c>
      <c r="W47" s="2"/>
      <c r="X47" s="6">
        <f t="shared" si="27"/>
        <v>-4520.5499999999993</v>
      </c>
      <c r="Y47" s="2"/>
      <c r="Z47" s="7">
        <f t="shared" si="28"/>
        <v>-0.33475413745020949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580.57000000000005</v>
      </c>
      <c r="E48" s="1"/>
      <c r="F48" s="5">
        <f t="shared" ref="F48:F56" si="29">IF(D$12=0,0,D48/D$12)</f>
        <v>3.2041897912196363E-3</v>
      </c>
      <c r="G48" s="1"/>
      <c r="H48" s="1">
        <f>SUM(OSRRefH22_2x_0)</f>
        <v>682.35</v>
      </c>
      <c r="I48" s="1"/>
      <c r="J48" s="5">
        <f t="shared" ref="J48:J56" si="30">IF(H$12=0,0,H48/H$12)</f>
        <v>4.0524096203081936E-3</v>
      </c>
      <c r="K48" s="1"/>
      <c r="L48" s="1">
        <f t="shared" ref="L48:L56" si="31">+D48-H48</f>
        <v>-101.77999999999997</v>
      </c>
      <c r="M48" s="1"/>
      <c r="N48" s="5">
        <f t="shared" ref="N48:N56" si="32">IF(H48=0,0,L48/H48)</f>
        <v>-0.14916098776287826</v>
      </c>
      <c r="O48" s="13"/>
      <c r="P48" s="1">
        <f>SUM(OSRRefP22_2x_0)</f>
        <v>3013.98</v>
      </c>
      <c r="Q48" s="1"/>
      <c r="R48" s="5">
        <f t="shared" ref="R48:R56" si="33">IF(P$12=0,0,P48/P$12)</f>
        <v>1.6670393562340227E-3</v>
      </c>
      <c r="S48" s="1"/>
      <c r="T48" s="1">
        <f>SUM(OSRRefT22_2x_0)</f>
        <v>2525.89</v>
      </c>
      <c r="U48" s="1"/>
      <c r="V48" s="5">
        <f t="shared" ref="V48:V56" si="34">IF(T$12=0,0,T48/T$12)</f>
        <v>1.4660667526475454E-3</v>
      </c>
      <c r="W48" s="1"/>
      <c r="X48" s="1">
        <f t="shared" ref="X48:X56" si="35">+P48-T48</f>
        <v>488.09000000000015</v>
      </c>
      <c r="Y48" s="1"/>
      <c r="Z48" s="5">
        <f t="shared" ref="Z48:Z56" si="36">IF(T48=0,0,X48/T48)</f>
        <v>0.19323485979199417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580.57000000000005</v>
      </c>
      <c r="E49" s="2"/>
      <c r="F49" s="7">
        <f t="shared" si="29"/>
        <v>3.2041897912196363E-3</v>
      </c>
      <c r="G49" s="2"/>
      <c r="H49" s="6">
        <v>682.35</v>
      </c>
      <c r="I49" s="2"/>
      <c r="J49" s="7">
        <f t="shared" si="30"/>
        <v>4.0524096203081936E-3</v>
      </c>
      <c r="K49" s="2"/>
      <c r="L49" s="6">
        <f t="shared" si="31"/>
        <v>-101.77999999999997</v>
      </c>
      <c r="M49" s="2"/>
      <c r="N49" s="7">
        <f t="shared" si="32"/>
        <v>-0.14916098776287826</v>
      </c>
      <c r="O49" s="11"/>
      <c r="P49" s="6">
        <v>3013.98</v>
      </c>
      <c r="Q49" s="2"/>
      <c r="R49" s="7">
        <f t="shared" si="33"/>
        <v>1.6670393562340227E-3</v>
      </c>
      <c r="S49" s="2"/>
      <c r="T49" s="6">
        <v>2525.89</v>
      </c>
      <c r="U49" s="2"/>
      <c r="V49" s="7">
        <f t="shared" si="34"/>
        <v>1.4660667526475454E-3</v>
      </c>
      <c r="W49" s="2"/>
      <c r="X49" s="6">
        <f t="shared" si="35"/>
        <v>488.09000000000015</v>
      </c>
      <c r="Y49" s="2"/>
      <c r="Z49" s="7">
        <f t="shared" si="36"/>
        <v>0.19323485979199417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-35.44</v>
      </c>
      <c r="E50" s="1"/>
      <c r="F50" s="5">
        <f t="shared" si="29"/>
        <v>-1.955948226756875E-4</v>
      </c>
      <c r="G50" s="1"/>
      <c r="H50" s="1">
        <f>SUM(OSRRefH22_3x_0)</f>
        <v>-33.85</v>
      </c>
      <c r="I50" s="1"/>
      <c r="J50" s="5">
        <f t="shared" si="30"/>
        <v>-2.0103182479289566E-4</v>
      </c>
      <c r="K50" s="1"/>
      <c r="L50" s="1">
        <f t="shared" si="31"/>
        <v>-1.5899999999999963</v>
      </c>
      <c r="M50" s="1"/>
      <c r="N50" s="5">
        <f t="shared" si="32"/>
        <v>4.6971935007385411E-2</v>
      </c>
      <c r="O50" s="13"/>
      <c r="P50" s="1">
        <f>SUM(OSRRefP22_3x_0)</f>
        <v>-318.32</v>
      </c>
      <c r="Q50" s="1"/>
      <c r="R50" s="5">
        <f t="shared" si="33"/>
        <v>-1.7606353322729883E-4</v>
      </c>
      <c r="S50" s="1"/>
      <c r="T50" s="1">
        <f>SUM(OSRRefT22_3x_0)</f>
        <v>-644.35</v>
      </c>
      <c r="U50" s="1"/>
      <c r="V50" s="5">
        <f t="shared" si="34"/>
        <v>-3.7399099409255587E-4</v>
      </c>
      <c r="W50" s="1"/>
      <c r="X50" s="1">
        <f t="shared" si="35"/>
        <v>326.03000000000003</v>
      </c>
      <c r="Y50" s="1"/>
      <c r="Z50" s="5">
        <f t="shared" si="36"/>
        <v>-0.50598277333747188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-35.44</v>
      </c>
      <c r="E51" s="2"/>
      <c r="F51" s="7">
        <f t="shared" si="29"/>
        <v>-1.955948226756875E-4</v>
      </c>
      <c r="G51" s="2"/>
      <c r="H51" s="6">
        <v>-33.85</v>
      </c>
      <c r="I51" s="2"/>
      <c r="J51" s="7">
        <f t="shared" si="30"/>
        <v>-2.0103182479289566E-4</v>
      </c>
      <c r="K51" s="2"/>
      <c r="L51" s="6">
        <f t="shared" si="31"/>
        <v>-1.5899999999999963</v>
      </c>
      <c r="M51" s="2"/>
      <c r="N51" s="7">
        <f t="shared" si="32"/>
        <v>4.6971935007385411E-2</v>
      </c>
      <c r="O51" s="11"/>
      <c r="P51" s="6">
        <v>-318.32</v>
      </c>
      <c r="Q51" s="2"/>
      <c r="R51" s="7">
        <f t="shared" si="33"/>
        <v>-1.7606353322729883E-4</v>
      </c>
      <c r="S51" s="2"/>
      <c r="T51" s="6">
        <v>-644.35</v>
      </c>
      <c r="U51" s="2"/>
      <c r="V51" s="7">
        <f t="shared" si="34"/>
        <v>-3.7399099409255587E-4</v>
      </c>
      <c r="W51" s="2"/>
      <c r="X51" s="6">
        <f t="shared" si="35"/>
        <v>326.03000000000003</v>
      </c>
      <c r="Y51" s="2"/>
      <c r="Z51" s="7">
        <f t="shared" si="36"/>
        <v>-0.50598277333747188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7439.16</v>
      </c>
      <c r="E52" s="1"/>
      <c r="F52" s="5">
        <f t="shared" si="29"/>
        <v>4.1057031068173461E-2</v>
      </c>
      <c r="G52" s="1"/>
      <c r="H52" s="1">
        <f>SUM(OSRRefH22_4x_0)</f>
        <v>4632.1000000000004</v>
      </c>
      <c r="I52" s="1"/>
      <c r="J52" s="5">
        <f t="shared" si="30"/>
        <v>2.7509586872176427E-2</v>
      </c>
      <c r="K52" s="1"/>
      <c r="L52" s="1">
        <f t="shared" si="31"/>
        <v>2807.0599999999995</v>
      </c>
      <c r="M52" s="1"/>
      <c r="N52" s="5">
        <f t="shared" si="32"/>
        <v>0.60600159754754845</v>
      </c>
      <c r="O52" s="13"/>
      <c r="P52" s="1">
        <f>SUM(OSRRefP22_4x_0)</f>
        <v>64154.16</v>
      </c>
      <c r="Q52" s="1"/>
      <c r="R52" s="5">
        <f t="shared" si="33"/>
        <v>3.5483815282826861E-2</v>
      </c>
      <c r="S52" s="1"/>
      <c r="T52" s="1">
        <f>SUM(OSRRefT22_4x_0)</f>
        <v>56863.65</v>
      </c>
      <c r="U52" s="1"/>
      <c r="V52" s="5">
        <f t="shared" si="34"/>
        <v>3.3004567379888515E-2</v>
      </c>
      <c r="W52" s="1"/>
      <c r="X52" s="1">
        <f t="shared" si="35"/>
        <v>7290.510000000002</v>
      </c>
      <c r="Y52" s="1"/>
      <c r="Z52" s="5">
        <f t="shared" si="36"/>
        <v>0.12821037692796719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7439.16</v>
      </c>
      <c r="E53" s="2"/>
      <c r="F53" s="7">
        <f t="shared" si="29"/>
        <v>4.1057031068173461E-2</v>
      </c>
      <c r="G53" s="2"/>
      <c r="H53" s="6">
        <v>4632.1000000000004</v>
      </c>
      <c r="I53" s="2"/>
      <c r="J53" s="7">
        <f t="shared" si="30"/>
        <v>2.7509586872176427E-2</v>
      </c>
      <c r="K53" s="2"/>
      <c r="L53" s="6">
        <f t="shared" si="31"/>
        <v>2807.0599999999995</v>
      </c>
      <c r="M53" s="2"/>
      <c r="N53" s="7">
        <f t="shared" si="32"/>
        <v>0.60600159754754845</v>
      </c>
      <c r="O53" s="11"/>
      <c r="P53" s="6">
        <v>64154.16</v>
      </c>
      <c r="Q53" s="2"/>
      <c r="R53" s="7">
        <f t="shared" si="33"/>
        <v>3.5483815282826861E-2</v>
      </c>
      <c r="S53" s="2"/>
      <c r="T53" s="6">
        <v>56863.65</v>
      </c>
      <c r="U53" s="2"/>
      <c r="V53" s="7">
        <f t="shared" si="34"/>
        <v>3.3004567379888515E-2</v>
      </c>
      <c r="W53" s="2"/>
      <c r="X53" s="6">
        <f t="shared" si="35"/>
        <v>7290.510000000002</v>
      </c>
      <c r="Y53" s="2"/>
      <c r="Z53" s="7">
        <f t="shared" si="36"/>
        <v>0.12821037692796719</v>
      </c>
    </row>
    <row r="54" spans="1:26" s="26" customFormat="1" outlineLevel="1" collapsed="1" x14ac:dyDescent="0.25">
      <c r="A54" s="27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8546.9</v>
      </c>
      <c r="E54" s="1"/>
      <c r="F54" s="5">
        <f t="shared" si="29"/>
        <v>4.7170693846693951E-2</v>
      </c>
      <c r="G54" s="1"/>
      <c r="H54" s="1">
        <f>SUM(OSRRefH22_5x_0)</f>
        <v>8364.08</v>
      </c>
      <c r="I54" s="1"/>
      <c r="J54" s="5">
        <f t="shared" si="30"/>
        <v>4.9673449486374081E-2</v>
      </c>
      <c r="K54" s="1"/>
      <c r="L54" s="1">
        <f t="shared" si="31"/>
        <v>182.81999999999971</v>
      </c>
      <c r="M54" s="1"/>
      <c r="N54" s="5">
        <f t="shared" si="32"/>
        <v>2.1857753632198607E-2</v>
      </c>
      <c r="O54" s="13"/>
      <c r="P54" s="1">
        <f>SUM(OSRRefP22_5x_0)</f>
        <v>59111.199999999997</v>
      </c>
      <c r="Q54" s="1"/>
      <c r="R54" s="5">
        <f t="shared" si="33"/>
        <v>3.2694542363990657E-2</v>
      </c>
      <c r="S54" s="1"/>
      <c r="T54" s="1">
        <f>SUM(OSRRefT22_5x_0)</f>
        <v>58548.56</v>
      </c>
      <c r="U54" s="1"/>
      <c r="V54" s="5">
        <f t="shared" si="34"/>
        <v>3.3982515957302166E-2</v>
      </c>
      <c r="W54" s="1"/>
      <c r="X54" s="1">
        <f t="shared" si="35"/>
        <v>562.63999999999942</v>
      </c>
      <c r="Y54" s="1"/>
      <c r="Z54" s="5">
        <f t="shared" si="36"/>
        <v>9.6098008217452222E-3</v>
      </c>
    </row>
    <row r="55" spans="1:26" s="24" customFormat="1" hidden="1" outlineLevel="2" x14ac:dyDescent="0.25">
      <c r="A55" s="25"/>
      <c r="B55" s="11" t="str">
        <f>CONCATENATE("          ", "6321", " - ", "BUILDING DEPRECIATION")</f>
        <v xml:space="preserve">          6321 - BUILDING DEPRECIATION</v>
      </c>
      <c r="C55" s="11"/>
      <c r="D55" s="6">
        <v>5080.51</v>
      </c>
      <c r="E55" s="2"/>
      <c r="F55" s="7">
        <f t="shared" si="29"/>
        <v>2.8039544372236377E-2</v>
      </c>
      <c r="G55" s="2"/>
      <c r="H55" s="6">
        <v>5080.51</v>
      </c>
      <c r="I55" s="2"/>
      <c r="J55" s="7">
        <f t="shared" si="30"/>
        <v>3.0172649813251236E-2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35563.57</v>
      </c>
      <c r="Q55" s="2"/>
      <c r="R55" s="7">
        <f t="shared" si="33"/>
        <v>1.9670293378915456E-2</v>
      </c>
      <c r="S55" s="2"/>
      <c r="T55" s="6">
        <v>35563.57</v>
      </c>
      <c r="U55" s="2"/>
      <c r="V55" s="7">
        <f t="shared" si="34"/>
        <v>2.0641661981501042E-2</v>
      </c>
      <c r="W55" s="2"/>
      <c r="X55" s="6">
        <f t="shared" si="35"/>
        <v>0</v>
      </c>
      <c r="Y55" s="2"/>
      <c r="Z55" s="7">
        <f t="shared" si="36"/>
        <v>0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3466.39</v>
      </c>
      <c r="E56" s="2"/>
      <c r="F56" s="7">
        <f t="shared" si="29"/>
        <v>1.9131149474457574E-2</v>
      </c>
      <c r="G56" s="2"/>
      <c r="H56" s="6">
        <v>3283.57</v>
      </c>
      <c r="I56" s="2"/>
      <c r="J56" s="7">
        <f t="shared" si="30"/>
        <v>1.9500799673122848E-2</v>
      </c>
      <c r="K56" s="2"/>
      <c r="L56" s="6">
        <f t="shared" si="31"/>
        <v>182.81999999999971</v>
      </c>
      <c r="M56" s="2"/>
      <c r="N56" s="7">
        <f t="shared" si="32"/>
        <v>5.5677204993345566E-2</v>
      </c>
      <c r="O56" s="11"/>
      <c r="P56" s="6">
        <v>23547.63</v>
      </c>
      <c r="Q56" s="2"/>
      <c r="R56" s="7">
        <f t="shared" si="33"/>
        <v>1.3024248985075204E-2</v>
      </c>
      <c r="S56" s="2"/>
      <c r="T56" s="6">
        <v>22984.99</v>
      </c>
      <c r="U56" s="2"/>
      <c r="V56" s="7">
        <f t="shared" si="34"/>
        <v>1.3340853975801127E-2</v>
      </c>
      <c r="W56" s="2"/>
      <c r="X56" s="6">
        <f t="shared" si="35"/>
        <v>562.63999999999942</v>
      </c>
      <c r="Y56" s="2"/>
      <c r="Z56" s="7">
        <f t="shared" si="36"/>
        <v>2.4478583632187762E-2</v>
      </c>
    </row>
    <row r="57" spans="1:26" s="26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31.78</v>
      </c>
      <c r="E57" s="1"/>
      <c r="F57" s="5">
        <f t="shared" ref="F57:F65" si="37">IF(D$12=0,0,D57/D$12)</f>
        <v>1.7539513162057984E-4</v>
      </c>
      <c r="G57" s="1"/>
      <c r="H57" s="1">
        <f>SUM(OSRRefH22_6x_0)</f>
        <v>17.170000000000002</v>
      </c>
      <c r="I57" s="1"/>
      <c r="J57" s="5">
        <f t="shared" ref="J57:J65" si="38">IF(H$12=0,0,H57/H$12)</f>
        <v>1.0197094332921769E-4</v>
      </c>
      <c r="K57" s="1"/>
      <c r="L57" s="1">
        <f t="shared" ref="L57:L65" si="39">+D57-H57</f>
        <v>14.61</v>
      </c>
      <c r="M57" s="1"/>
      <c r="N57" s="5">
        <f t="shared" ref="N57:N65" si="40">IF(H57=0,0,L57/H57)</f>
        <v>0.85090273733255661</v>
      </c>
      <c r="O57" s="13"/>
      <c r="P57" s="1">
        <f>SUM(OSRRefP22_6x_0)</f>
        <v>108.15</v>
      </c>
      <c r="Q57" s="1"/>
      <c r="R57" s="5">
        <f t="shared" ref="R57:R65" si="41">IF(P$12=0,0,P57/P$12)</f>
        <v>5.9818016833791057E-5</v>
      </c>
      <c r="S57" s="1"/>
      <c r="T57" s="1">
        <f>SUM(OSRRefT22_6x_0)</f>
        <v>90.07</v>
      </c>
      <c r="U57" s="1"/>
      <c r="V57" s="5">
        <f t="shared" ref="V57:V65" si="42">IF(T$12=0,0,T57/T$12)</f>
        <v>5.227806136093195E-5</v>
      </c>
      <c r="W57" s="1"/>
      <c r="X57" s="1">
        <f t="shared" ref="X57:X65" si="43">+P57-T57</f>
        <v>18.080000000000013</v>
      </c>
      <c r="Y57" s="1"/>
      <c r="Z57" s="5">
        <f t="shared" ref="Z57:Z65" si="44">IF(T57=0,0,X57/T57)</f>
        <v>0.20073276340623974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>
        <v>31.78</v>
      </c>
      <c r="E58" s="2"/>
      <c r="F58" s="7">
        <f t="shared" si="37"/>
        <v>1.7539513162057984E-4</v>
      </c>
      <c r="G58" s="2"/>
      <c r="H58" s="6">
        <v>17.170000000000002</v>
      </c>
      <c r="I58" s="2"/>
      <c r="J58" s="7">
        <f t="shared" si="38"/>
        <v>1.0197094332921769E-4</v>
      </c>
      <c r="K58" s="2"/>
      <c r="L58" s="6">
        <f t="shared" si="39"/>
        <v>14.61</v>
      </c>
      <c r="M58" s="2"/>
      <c r="N58" s="7">
        <f t="shared" si="40"/>
        <v>0.85090273733255661</v>
      </c>
      <c r="O58" s="11"/>
      <c r="P58" s="6">
        <v>108.15</v>
      </c>
      <c r="Q58" s="2"/>
      <c r="R58" s="7">
        <f t="shared" si="41"/>
        <v>5.9818016833791057E-5</v>
      </c>
      <c r="S58" s="2"/>
      <c r="T58" s="6">
        <v>90.07</v>
      </c>
      <c r="U58" s="2"/>
      <c r="V58" s="7">
        <f t="shared" si="42"/>
        <v>5.227806136093195E-5</v>
      </c>
      <c r="W58" s="2"/>
      <c r="X58" s="6">
        <f t="shared" si="43"/>
        <v>18.080000000000013</v>
      </c>
      <c r="Y58" s="2"/>
      <c r="Z58" s="7">
        <f t="shared" si="44"/>
        <v>0.20073276340623974</v>
      </c>
    </row>
    <row r="59" spans="1:26" s="26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39.909999999999997</v>
      </c>
      <c r="E59" s="1"/>
      <c r="F59" s="5">
        <f t="shared" si="37"/>
        <v>2.2026493716102393E-4</v>
      </c>
      <c r="G59" s="1"/>
      <c r="H59" s="1">
        <f>SUM(OSRRefH22_7x_0)</f>
        <v>78.42</v>
      </c>
      <c r="I59" s="1"/>
      <c r="J59" s="5">
        <f t="shared" si="38"/>
        <v>4.6572867652168031E-4</v>
      </c>
      <c r="K59" s="1"/>
      <c r="L59" s="1">
        <f t="shared" si="39"/>
        <v>-38.510000000000005</v>
      </c>
      <c r="M59" s="1"/>
      <c r="N59" s="5">
        <f t="shared" si="40"/>
        <v>-0.49107370568732472</v>
      </c>
      <c r="O59" s="13"/>
      <c r="P59" s="1">
        <f>SUM(OSRRefP22_7x_0)</f>
        <v>136.83000000000001</v>
      </c>
      <c r="Q59" s="1"/>
      <c r="R59" s="5">
        <f t="shared" si="41"/>
        <v>7.5680991616899033E-5</v>
      </c>
      <c r="S59" s="1"/>
      <c r="T59" s="1">
        <f>SUM(OSRRefT22_7x_0)</f>
        <v>276.69</v>
      </c>
      <c r="U59" s="1"/>
      <c r="V59" s="5">
        <f t="shared" si="42"/>
        <v>1.6059527920457713E-4</v>
      </c>
      <c r="W59" s="1"/>
      <c r="X59" s="1">
        <f t="shared" si="43"/>
        <v>-139.85999999999999</v>
      </c>
      <c r="Y59" s="1"/>
      <c r="Z59" s="5">
        <f t="shared" si="44"/>
        <v>-0.5054754418302071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>
        <v>39.909999999999997</v>
      </c>
      <c r="E60" s="2"/>
      <c r="F60" s="7">
        <f t="shared" si="37"/>
        <v>2.2026493716102393E-4</v>
      </c>
      <c r="G60" s="2"/>
      <c r="H60" s="6">
        <v>78.42</v>
      </c>
      <c r="I60" s="2"/>
      <c r="J60" s="7">
        <f t="shared" si="38"/>
        <v>4.6572867652168031E-4</v>
      </c>
      <c r="K60" s="2"/>
      <c r="L60" s="6">
        <f t="shared" si="39"/>
        <v>-38.510000000000005</v>
      </c>
      <c r="M60" s="2"/>
      <c r="N60" s="7">
        <f t="shared" si="40"/>
        <v>-0.49107370568732472</v>
      </c>
      <c r="O60" s="11"/>
      <c r="P60" s="6">
        <v>136.83000000000001</v>
      </c>
      <c r="Q60" s="2"/>
      <c r="R60" s="7">
        <f t="shared" si="41"/>
        <v>7.5680991616899033E-5</v>
      </c>
      <c r="S60" s="2"/>
      <c r="T60" s="6">
        <v>276.69</v>
      </c>
      <c r="U60" s="2"/>
      <c r="V60" s="7">
        <f t="shared" si="42"/>
        <v>1.6059527920457713E-4</v>
      </c>
      <c r="W60" s="2"/>
      <c r="X60" s="6">
        <f t="shared" si="43"/>
        <v>-139.85999999999999</v>
      </c>
      <c r="Y60" s="2"/>
      <c r="Z60" s="7">
        <f t="shared" si="44"/>
        <v>-0.5054754418302071</v>
      </c>
    </row>
    <row r="61" spans="1:26" s="26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93</v>
      </c>
      <c r="E61" s="1"/>
      <c r="F61" s="5">
        <f t="shared" si="37"/>
        <v>5.1327083828552316E-4</v>
      </c>
      <c r="G61" s="1"/>
      <c r="H61" s="1">
        <f>SUM(OSRRefH22_8x_0)</f>
        <v>149.56</v>
      </c>
      <c r="I61" s="1"/>
      <c r="J61" s="5">
        <f t="shared" si="38"/>
        <v>8.8822214818391363E-4</v>
      </c>
      <c r="K61" s="1"/>
      <c r="L61" s="1">
        <f t="shared" si="39"/>
        <v>-56.56</v>
      </c>
      <c r="M61" s="1"/>
      <c r="N61" s="5">
        <f t="shared" si="40"/>
        <v>-0.37817598288312382</v>
      </c>
      <c r="O61" s="13"/>
      <c r="P61" s="1">
        <f>SUM(OSRRefP22_8x_0)</f>
        <v>773.97</v>
      </c>
      <c r="Q61" s="1"/>
      <c r="R61" s="5">
        <f t="shared" si="41"/>
        <v>4.2808460923577681E-4</v>
      </c>
      <c r="S61" s="1"/>
      <c r="T61" s="1">
        <f>SUM(OSRRefT22_8x_0)</f>
        <v>972.92</v>
      </c>
      <c r="U61" s="1"/>
      <c r="V61" s="5">
        <f t="shared" si="42"/>
        <v>5.6469825090793731E-4</v>
      </c>
      <c r="W61" s="1"/>
      <c r="X61" s="1">
        <f t="shared" si="43"/>
        <v>-198.94999999999993</v>
      </c>
      <c r="Y61" s="1"/>
      <c r="Z61" s="5">
        <f t="shared" si="44"/>
        <v>-0.2044875220984253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>
        <v>93</v>
      </c>
      <c r="E62" s="2"/>
      <c r="F62" s="7">
        <f t="shared" si="37"/>
        <v>5.1327083828552316E-4</v>
      </c>
      <c r="G62" s="2"/>
      <c r="H62" s="6">
        <v>149.56</v>
      </c>
      <c r="I62" s="2"/>
      <c r="J62" s="7">
        <f t="shared" si="38"/>
        <v>8.8822214818391363E-4</v>
      </c>
      <c r="K62" s="2"/>
      <c r="L62" s="6">
        <f t="shared" si="39"/>
        <v>-56.56</v>
      </c>
      <c r="M62" s="2"/>
      <c r="N62" s="7">
        <f t="shared" si="40"/>
        <v>-0.37817598288312382</v>
      </c>
      <c r="O62" s="11"/>
      <c r="P62" s="6">
        <v>773.97</v>
      </c>
      <c r="Q62" s="2"/>
      <c r="R62" s="7">
        <f t="shared" si="41"/>
        <v>4.2808460923577681E-4</v>
      </c>
      <c r="S62" s="2"/>
      <c r="T62" s="6">
        <v>972.92</v>
      </c>
      <c r="U62" s="2"/>
      <c r="V62" s="7">
        <f t="shared" si="42"/>
        <v>5.6469825090793731E-4</v>
      </c>
      <c r="W62" s="2"/>
      <c r="X62" s="6">
        <f t="shared" si="43"/>
        <v>-198.94999999999993</v>
      </c>
      <c r="Y62" s="2"/>
      <c r="Z62" s="7">
        <f t="shared" si="44"/>
        <v>-0.2044875220984253</v>
      </c>
    </row>
    <row r="63" spans="1:26" s="26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SUM(OSRRefD22_9x_0)</f>
        <v>7.64</v>
      </c>
      <c r="E63" s="1"/>
      <c r="F63" s="5">
        <f t="shared" si="37"/>
        <v>4.2165475317219314E-5</v>
      </c>
      <c r="G63" s="1"/>
      <c r="H63" s="1">
        <f>SUM(OSRRefH22_9x_0)</f>
        <v>-22.639999999999997</v>
      </c>
      <c r="I63" s="1"/>
      <c r="J63" s="5">
        <f t="shared" si="38"/>
        <v>-1.3445673599146696E-4</v>
      </c>
      <c r="K63" s="1"/>
      <c r="L63" s="1">
        <f t="shared" si="39"/>
        <v>30.279999999999998</v>
      </c>
      <c r="M63" s="1"/>
      <c r="N63" s="5">
        <f t="shared" si="40"/>
        <v>-1.3374558303886928</v>
      </c>
      <c r="O63" s="13"/>
      <c r="P63" s="1">
        <f>SUM(OSRRefP22_9x_0)</f>
        <v>233.63</v>
      </c>
      <c r="Q63" s="1"/>
      <c r="R63" s="5">
        <f t="shared" si="41"/>
        <v>1.2922129702153123E-4</v>
      </c>
      <c r="S63" s="1"/>
      <c r="T63" s="1">
        <f>SUM(OSRRefT22_9x_0)</f>
        <v>150.69999999999999</v>
      </c>
      <c r="U63" s="1"/>
      <c r="V63" s="5">
        <f t="shared" si="42"/>
        <v>8.7468678217968748E-5</v>
      </c>
      <c r="W63" s="1"/>
      <c r="X63" s="1">
        <f t="shared" si="43"/>
        <v>82.93</v>
      </c>
      <c r="Y63" s="1"/>
      <c r="Z63" s="5">
        <f t="shared" si="44"/>
        <v>0.55029860650298612</v>
      </c>
    </row>
    <row r="64" spans="1:26" s="24" customFormat="1" hidden="1" outlineLevel="2" x14ac:dyDescent="0.25">
      <c r="A64" s="25"/>
      <c r="B64" s="11" t="str">
        <f>CONCATENATE("          ", "6305", " - ", "FREIGHT OUT")</f>
        <v xml:space="preserve">          6305 - FREIGHT OUT</v>
      </c>
      <c r="C64" s="11"/>
      <c r="D64" s="6">
        <v>7.64</v>
      </c>
      <c r="E64" s="2"/>
      <c r="F64" s="7">
        <f t="shared" si="37"/>
        <v>4.2165475317219314E-5</v>
      </c>
      <c r="G64" s="2"/>
      <c r="H64" s="6">
        <v>16.91</v>
      </c>
      <c r="I64" s="2"/>
      <c r="J64" s="7">
        <f t="shared" si="38"/>
        <v>1.0042682886995172E-4</v>
      </c>
      <c r="K64" s="2"/>
      <c r="L64" s="6">
        <f t="shared" si="39"/>
        <v>-9.27</v>
      </c>
      <c r="M64" s="2"/>
      <c r="N64" s="7">
        <f t="shared" si="40"/>
        <v>-0.54819633353045527</v>
      </c>
      <c r="O64" s="11"/>
      <c r="P64" s="6">
        <v>233.63</v>
      </c>
      <c r="Q64" s="2"/>
      <c r="R64" s="7">
        <f t="shared" si="41"/>
        <v>1.2922129702153123E-4</v>
      </c>
      <c r="S64" s="2"/>
      <c r="T64" s="6">
        <v>190.25</v>
      </c>
      <c r="U64" s="2"/>
      <c r="V64" s="7">
        <f t="shared" si="42"/>
        <v>1.1042412761093932E-4</v>
      </c>
      <c r="W64" s="2"/>
      <c r="X64" s="6">
        <f t="shared" si="43"/>
        <v>43.379999999999995</v>
      </c>
      <c r="Y64" s="2"/>
      <c r="Z64" s="7">
        <f t="shared" si="44"/>
        <v>0.22801576872536133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37"/>
        <v>0</v>
      </c>
      <c r="G65" s="2"/>
      <c r="H65" s="6">
        <v>-39.549999999999997</v>
      </c>
      <c r="I65" s="2"/>
      <c r="J65" s="7">
        <f t="shared" si="38"/>
        <v>-2.348835648614187E-4</v>
      </c>
      <c r="K65" s="2"/>
      <c r="L65" s="6">
        <f t="shared" si="39"/>
        <v>39.549999999999997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-39.549999999999997</v>
      </c>
      <c r="U65" s="2"/>
      <c r="V65" s="7">
        <f t="shared" si="42"/>
        <v>-2.2955449392970566E-5</v>
      </c>
      <c r="W65" s="2"/>
      <c r="X65" s="6">
        <f t="shared" si="43"/>
        <v>39.549999999999997</v>
      </c>
      <c r="Y65" s="2"/>
      <c r="Z65" s="7">
        <f t="shared" si="44"/>
        <v>-1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3643.7</v>
      </c>
      <c r="E66" s="1"/>
      <c r="F66" s="5">
        <f t="shared" ref="F66:F77" si="45">IF(D$12=0,0,D66/D$12)</f>
        <v>2.0109730682375919E-2</v>
      </c>
      <c r="G66" s="1"/>
      <c r="H66" s="1">
        <f>SUM(OSRRefH22_10x_0)</f>
        <v>166.6</v>
      </c>
      <c r="I66" s="1"/>
      <c r="J66" s="5">
        <f t="shared" ref="J66:J77" si="46">IF(H$12=0,0,H66/H$12)</f>
        <v>9.8942103428349823E-4</v>
      </c>
      <c r="K66" s="1"/>
      <c r="L66" s="1">
        <f t="shared" ref="L66:L77" si="47">+D66-H66</f>
        <v>3477.1</v>
      </c>
      <c r="M66" s="1"/>
      <c r="N66" s="5">
        <f t="shared" ref="N66:N77" si="48">IF(H66=0,0,L66/H66)</f>
        <v>20.870948379351741</v>
      </c>
      <c r="O66" s="13"/>
      <c r="P66" s="1">
        <f>SUM(OSRRefP22_10x_0)</f>
        <v>10472.84</v>
      </c>
      <c r="Q66" s="1"/>
      <c r="R66" s="5">
        <f t="shared" ref="R66:R77" si="49">IF(P$12=0,0,P66/P$12)</f>
        <v>5.7925521906389303E-3</v>
      </c>
      <c r="S66" s="1"/>
      <c r="T66" s="1">
        <f>SUM(OSRRefT22_10x_0)</f>
        <v>7462.67</v>
      </c>
      <c r="U66" s="1"/>
      <c r="V66" s="5">
        <f t="shared" ref="V66:V77" si="50">IF(T$12=0,0,T66/T$12)</f>
        <v>4.3314524278492963E-3</v>
      </c>
      <c r="W66" s="1"/>
      <c r="X66" s="1">
        <f t="shared" ref="X66:X77" si="51">+P66-T66</f>
        <v>3010.17</v>
      </c>
      <c r="Y66" s="1"/>
      <c r="Z66" s="5">
        <f t="shared" ref="Z66:Z77" si="52">IF(T66=0,0,X66/T66)</f>
        <v>0.40336367546735952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>
        <v>3643.7</v>
      </c>
      <c r="E67" s="2"/>
      <c r="F67" s="7">
        <f t="shared" si="45"/>
        <v>2.0109730682375919E-2</v>
      </c>
      <c r="G67" s="2"/>
      <c r="H67" s="6">
        <v>166.6</v>
      </c>
      <c r="I67" s="2"/>
      <c r="J67" s="7">
        <f t="shared" si="46"/>
        <v>9.8942103428349823E-4</v>
      </c>
      <c r="K67" s="2"/>
      <c r="L67" s="6">
        <f t="shared" si="47"/>
        <v>3477.1</v>
      </c>
      <c r="M67" s="2"/>
      <c r="N67" s="7">
        <f t="shared" si="48"/>
        <v>20.870948379351741</v>
      </c>
      <c r="O67" s="11"/>
      <c r="P67" s="6">
        <v>10472.84</v>
      </c>
      <c r="Q67" s="2"/>
      <c r="R67" s="7">
        <f t="shared" si="49"/>
        <v>5.7925521906389303E-3</v>
      </c>
      <c r="S67" s="2"/>
      <c r="T67" s="6">
        <v>7462.67</v>
      </c>
      <c r="U67" s="2"/>
      <c r="V67" s="7">
        <f t="shared" si="50"/>
        <v>4.3314524278492963E-3</v>
      </c>
      <c r="W67" s="2"/>
      <c r="X67" s="6">
        <f t="shared" si="51"/>
        <v>3010.17</v>
      </c>
      <c r="Y67" s="2"/>
      <c r="Z67" s="7">
        <f t="shared" si="52"/>
        <v>0.40336367546735952</v>
      </c>
    </row>
    <row r="68" spans="1:26" s="26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SUM(OSRRefD22_11x_0)</f>
        <v>243.54</v>
      </c>
      <c r="E68" s="1"/>
      <c r="F68" s="5">
        <f t="shared" si="45"/>
        <v>1.344107311355444E-3</v>
      </c>
      <c r="G68" s="1"/>
      <c r="H68" s="1">
        <f>SUM(OSRRefH22_11x_0)</f>
        <v>229.44</v>
      </c>
      <c r="I68" s="1"/>
      <c r="J68" s="5">
        <f t="shared" si="46"/>
        <v>1.3626216212845488E-3</v>
      </c>
      <c r="K68" s="1"/>
      <c r="L68" s="1">
        <f t="shared" si="47"/>
        <v>14.099999999999994</v>
      </c>
      <c r="M68" s="1"/>
      <c r="N68" s="5">
        <f t="shared" si="48"/>
        <v>6.1453974895397466E-2</v>
      </c>
      <c r="O68" s="13"/>
      <c r="P68" s="1">
        <f>SUM(OSRRefP22_11x_0)</f>
        <v>1704.78</v>
      </c>
      <c r="Q68" s="1"/>
      <c r="R68" s="5">
        <f t="shared" si="49"/>
        <v>9.4291778768294322E-4</v>
      </c>
      <c r="S68" s="1"/>
      <c r="T68" s="1">
        <f>SUM(OSRRefT22_11x_0)</f>
        <v>1606.08</v>
      </c>
      <c r="U68" s="1"/>
      <c r="V68" s="5">
        <f t="shared" si="50"/>
        <v>9.3219439092445428E-4</v>
      </c>
      <c r="W68" s="1"/>
      <c r="X68" s="1">
        <f t="shared" si="51"/>
        <v>98.700000000000045</v>
      </c>
      <c r="Y68" s="1"/>
      <c r="Z68" s="5">
        <f t="shared" si="52"/>
        <v>6.1453974895397522E-2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6">
        <v>243.54</v>
      </c>
      <c r="E69" s="2"/>
      <c r="F69" s="7">
        <f t="shared" si="45"/>
        <v>1.344107311355444E-3</v>
      </c>
      <c r="G69" s="2"/>
      <c r="H69" s="6">
        <v>229.44</v>
      </c>
      <c r="I69" s="2"/>
      <c r="J69" s="7">
        <f t="shared" si="46"/>
        <v>1.3626216212845488E-3</v>
      </c>
      <c r="K69" s="2"/>
      <c r="L69" s="6">
        <f t="shared" si="47"/>
        <v>14.099999999999994</v>
      </c>
      <c r="M69" s="2"/>
      <c r="N69" s="7">
        <f t="shared" si="48"/>
        <v>6.1453974895397466E-2</v>
      </c>
      <c r="O69" s="11"/>
      <c r="P69" s="6">
        <v>1704.78</v>
      </c>
      <c r="Q69" s="2"/>
      <c r="R69" s="7">
        <f t="shared" si="49"/>
        <v>9.4291778768294322E-4</v>
      </c>
      <c r="S69" s="2"/>
      <c r="T69" s="6">
        <v>1606.08</v>
      </c>
      <c r="U69" s="2"/>
      <c r="V69" s="7">
        <f t="shared" si="50"/>
        <v>9.3219439092445428E-4</v>
      </c>
      <c r="W69" s="2"/>
      <c r="X69" s="6">
        <f t="shared" si="51"/>
        <v>98.700000000000045</v>
      </c>
      <c r="Y69" s="2"/>
      <c r="Z69" s="7">
        <f t="shared" si="52"/>
        <v>6.1453974895397522E-2</v>
      </c>
    </row>
    <row r="70" spans="1:26" s="26" customFormat="1" outlineLevel="1" collapsed="1" x14ac:dyDescent="0.25">
      <c r="A70" s="27"/>
      <c r="B70" s="13" t="str">
        <f>CONCATENATE("     ","Interest                                          ")</f>
        <v xml:space="preserve">     Interest                                          </v>
      </c>
      <c r="C70" s="13"/>
      <c r="D70" s="1">
        <f>SUM(OSRRefD22_12x_0)</f>
        <v>4175</v>
      </c>
      <c r="E70" s="1"/>
      <c r="F70" s="5">
        <f t="shared" si="45"/>
        <v>2.3041997310129667E-2</v>
      </c>
      <c r="G70" s="1"/>
      <c r="H70" s="1">
        <f>SUM(OSRRefH22_12x_0)</f>
        <v>4280</v>
      </c>
      <c r="I70" s="1"/>
      <c r="J70" s="5">
        <f t="shared" si="46"/>
        <v>2.5418499560224326E-2</v>
      </c>
      <c r="K70" s="1"/>
      <c r="L70" s="1">
        <f t="shared" si="47"/>
        <v>-105</v>
      </c>
      <c r="M70" s="1"/>
      <c r="N70" s="5">
        <f t="shared" si="48"/>
        <v>-2.4532710280373831E-2</v>
      </c>
      <c r="O70" s="13"/>
      <c r="P70" s="1">
        <f>SUM(OSRRefP22_12x_0)</f>
        <v>29018.95</v>
      </c>
      <c r="Q70" s="1"/>
      <c r="R70" s="5">
        <f t="shared" si="49"/>
        <v>1.6050448817373473E-2</v>
      </c>
      <c r="S70" s="1"/>
      <c r="T70" s="1">
        <f>SUM(OSRRefT22_12x_0)</f>
        <v>29744.899999999998</v>
      </c>
      <c r="U70" s="1"/>
      <c r="V70" s="5">
        <f t="shared" si="50"/>
        <v>1.7264413316029587E-2</v>
      </c>
      <c r="W70" s="1"/>
      <c r="X70" s="1">
        <f t="shared" si="51"/>
        <v>-725.94999999999709</v>
      </c>
      <c r="Y70" s="1"/>
      <c r="Z70" s="5">
        <f t="shared" si="52"/>
        <v>-2.4405864534760485E-2</v>
      </c>
    </row>
    <row r="71" spans="1:26" s="24" customFormat="1" hidden="1" outlineLevel="2" x14ac:dyDescent="0.25">
      <c r="A71" s="25"/>
      <c r="B71" s="11" t="str">
        <f>CONCATENATE("          ", "6401", " - ", "INTEREST EXPENSE")</f>
        <v xml:space="preserve">          6401 - INTEREST EXPENSE</v>
      </c>
      <c r="C71" s="11"/>
      <c r="D71" s="6">
        <v>4175</v>
      </c>
      <c r="E71" s="2"/>
      <c r="F71" s="7">
        <f t="shared" si="45"/>
        <v>2.3041997310129667E-2</v>
      </c>
      <c r="G71" s="2"/>
      <c r="H71" s="6">
        <v>4280</v>
      </c>
      <c r="I71" s="2"/>
      <c r="J71" s="7">
        <f t="shared" si="46"/>
        <v>2.5418499560224326E-2</v>
      </c>
      <c r="K71" s="2"/>
      <c r="L71" s="6">
        <f t="shared" si="47"/>
        <v>-105</v>
      </c>
      <c r="M71" s="2"/>
      <c r="N71" s="7">
        <f t="shared" si="48"/>
        <v>-2.4532710280373831E-2</v>
      </c>
      <c r="O71" s="11"/>
      <c r="P71" s="6">
        <v>29018.95</v>
      </c>
      <c r="Q71" s="2"/>
      <c r="R71" s="7">
        <f t="shared" si="49"/>
        <v>1.6050448817373473E-2</v>
      </c>
      <c r="S71" s="2"/>
      <c r="T71" s="6">
        <v>29744.899999999998</v>
      </c>
      <c r="U71" s="2"/>
      <c r="V71" s="7">
        <f t="shared" si="50"/>
        <v>1.7264413316029587E-2</v>
      </c>
      <c r="W71" s="2"/>
      <c r="X71" s="6">
        <f t="shared" si="51"/>
        <v>-725.94999999999709</v>
      </c>
      <c r="Y71" s="2"/>
      <c r="Z71" s="7">
        <f t="shared" si="52"/>
        <v>-2.4405864534760485E-2</v>
      </c>
    </row>
    <row r="72" spans="1:26" s="26" customFormat="1" outlineLevel="1" collapsed="1" x14ac:dyDescent="0.25">
      <c r="A72" s="27"/>
      <c r="B72" s="13" t="str">
        <f>CONCATENATE("     ","Rent                                              ")</f>
        <v xml:space="preserve">     Rent                                              </v>
      </c>
      <c r="C72" s="13"/>
      <c r="D72" s="1">
        <f>SUM(OSRRefD22_13x_0)</f>
        <v>1150</v>
      </c>
      <c r="E72" s="1"/>
      <c r="F72" s="5">
        <f t="shared" si="45"/>
        <v>6.3468974626704469E-3</v>
      </c>
      <c r="G72" s="1"/>
      <c r="H72" s="1">
        <f>SUM(OSRRefH22_13x_0)</f>
        <v>1150</v>
      </c>
      <c r="I72" s="1"/>
      <c r="J72" s="5">
        <f t="shared" si="46"/>
        <v>6.8297370313686861E-3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SUM(OSRRefP22_13x_0)</f>
        <v>8050</v>
      </c>
      <c r="Q72" s="1"/>
      <c r="R72" s="5">
        <f t="shared" si="49"/>
        <v>4.4524737449100141E-3</v>
      </c>
      <c r="S72" s="1"/>
      <c r="T72" s="1">
        <f>SUM(OSRRefT22_13x_0)</f>
        <v>8050</v>
      </c>
      <c r="U72" s="1"/>
      <c r="V72" s="5">
        <f t="shared" si="50"/>
        <v>4.6723481065338319E-3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5"/>
      <c r="B73" s="11" t="str">
        <f>CONCATENATE("          ", "6273", " - ", "RENT")</f>
        <v xml:space="preserve">          6273 - RENT</v>
      </c>
      <c r="C73" s="11"/>
      <c r="D73" s="6">
        <v>1150</v>
      </c>
      <c r="E73" s="2"/>
      <c r="F73" s="7">
        <f t="shared" si="45"/>
        <v>6.3468974626704469E-3</v>
      </c>
      <c r="G73" s="2"/>
      <c r="H73" s="6">
        <v>1150</v>
      </c>
      <c r="I73" s="2"/>
      <c r="J73" s="7">
        <f t="shared" si="46"/>
        <v>6.8297370313686861E-3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8050</v>
      </c>
      <c r="Q73" s="2"/>
      <c r="R73" s="7">
        <f t="shared" si="49"/>
        <v>4.4524737449100141E-3</v>
      </c>
      <c r="S73" s="2"/>
      <c r="T73" s="6">
        <v>8050</v>
      </c>
      <c r="U73" s="2"/>
      <c r="V73" s="7">
        <f t="shared" si="50"/>
        <v>4.6723481065338319E-3</v>
      </c>
      <c r="W73" s="2"/>
      <c r="X73" s="6">
        <f t="shared" si="51"/>
        <v>0</v>
      </c>
      <c r="Y73" s="2"/>
      <c r="Z73" s="7">
        <f t="shared" si="52"/>
        <v>0</v>
      </c>
    </row>
    <row r="74" spans="1:26" s="26" customFormat="1" outlineLevel="1" collapsed="1" x14ac:dyDescent="0.25">
      <c r="A74" s="27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528.76</v>
      </c>
      <c r="E74" s="1"/>
      <c r="F74" s="5">
        <f t="shared" si="45"/>
        <v>2.9182482629231529E-3</v>
      </c>
      <c r="G74" s="1"/>
      <c r="H74" s="1">
        <f>SUM(OSRRefH22_14x_0)</f>
        <v>1152.69</v>
      </c>
      <c r="I74" s="1"/>
      <c r="J74" s="5">
        <f t="shared" si="46"/>
        <v>6.8457126771203219E-3</v>
      </c>
      <c r="K74" s="1"/>
      <c r="L74" s="1">
        <f t="shared" si="47"/>
        <v>-623.93000000000006</v>
      </c>
      <c r="M74" s="1"/>
      <c r="N74" s="5">
        <f t="shared" si="48"/>
        <v>-0.54128169759432287</v>
      </c>
      <c r="O74" s="13"/>
      <c r="P74" s="1">
        <f>SUM(OSRRefP22_14x_0)</f>
        <v>14915.029999999999</v>
      </c>
      <c r="Q74" s="1"/>
      <c r="R74" s="5">
        <f t="shared" si="49"/>
        <v>8.2495378235459878E-3</v>
      </c>
      <c r="S74" s="1"/>
      <c r="T74" s="1">
        <f>SUM(OSRRefT22_14x_0)</f>
        <v>7313.2699999999995</v>
      </c>
      <c r="U74" s="1"/>
      <c r="V74" s="5">
        <f t="shared" si="50"/>
        <v>4.2447382903193385E-3</v>
      </c>
      <c r="W74" s="1"/>
      <c r="X74" s="1">
        <f t="shared" si="51"/>
        <v>7601.7599999999993</v>
      </c>
      <c r="Y74" s="1"/>
      <c r="Z74" s="5">
        <f t="shared" si="52"/>
        <v>1.0394474701467333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1311.93</v>
      </c>
      <c r="Q75" s="2"/>
      <c r="R75" s="7">
        <f t="shared" si="49"/>
        <v>7.2563153790804896E-4</v>
      </c>
      <c r="S75" s="2"/>
      <c r="T75" s="6"/>
      <c r="U75" s="2"/>
      <c r="V75" s="7">
        <f t="shared" si="50"/>
        <v>0</v>
      </c>
      <c r="W75" s="2"/>
      <c r="X75" s="6">
        <f t="shared" si="51"/>
        <v>1311.93</v>
      </c>
      <c r="Y75" s="2"/>
      <c r="Z75" s="7">
        <f t="shared" si="52"/>
        <v>0</v>
      </c>
    </row>
    <row r="76" spans="1:26" s="24" customFormat="1" hidden="1" outlineLevel="2" x14ac:dyDescent="0.25">
      <c r="A76" s="25"/>
      <c r="B76" s="11" t="str">
        <f>CONCATENATE("          ", "6373", " - ", "MAINTENANCE CONTRACTS")</f>
        <v xml:space="preserve">          6373 - MAINTENANCE CONTRACTS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582.62</v>
      </c>
      <c r="Q76" s="2"/>
      <c r="R76" s="7">
        <f t="shared" si="49"/>
        <v>3.2224847866577295E-4</v>
      </c>
      <c r="S76" s="2"/>
      <c r="T76" s="6">
        <v>805.36</v>
      </c>
      <c r="U76" s="2"/>
      <c r="V76" s="7">
        <f t="shared" si="50"/>
        <v>4.6744376038237106E-4</v>
      </c>
      <c r="W76" s="2"/>
      <c r="X76" s="6">
        <f t="shared" si="51"/>
        <v>-222.74</v>
      </c>
      <c r="Y76" s="2"/>
      <c r="Z76" s="7">
        <f t="shared" si="52"/>
        <v>-0.27657196781563526</v>
      </c>
    </row>
    <row r="77" spans="1:26" s="24" customFormat="1" hidden="1" outlineLevel="2" x14ac:dyDescent="0.25">
      <c r="A77" s="25"/>
      <c r="B77" s="11" t="str">
        <f>CONCATENATE("          ", "6375", " - ", "OUTSIDE REPAIRS &amp; MAINTENANCE")</f>
        <v xml:space="preserve">          6375 - OUTSIDE REPAIRS &amp; MAINTENANCE</v>
      </c>
      <c r="C77" s="11"/>
      <c r="D77" s="6">
        <v>528.76</v>
      </c>
      <c r="E77" s="2"/>
      <c r="F77" s="7">
        <f t="shared" si="45"/>
        <v>2.9182482629231529E-3</v>
      </c>
      <c r="G77" s="2"/>
      <c r="H77" s="6">
        <v>1152.69</v>
      </c>
      <c r="I77" s="2"/>
      <c r="J77" s="7">
        <f t="shared" si="46"/>
        <v>6.8457126771203219E-3</v>
      </c>
      <c r="K77" s="2"/>
      <c r="L77" s="6">
        <f t="shared" si="47"/>
        <v>-623.93000000000006</v>
      </c>
      <c r="M77" s="2"/>
      <c r="N77" s="7">
        <f t="shared" si="48"/>
        <v>-0.54128169759432287</v>
      </c>
      <c r="O77" s="11"/>
      <c r="P77" s="6">
        <v>13020.48</v>
      </c>
      <c r="Q77" s="2"/>
      <c r="R77" s="7">
        <f t="shared" si="49"/>
        <v>7.2016578069721655E-3</v>
      </c>
      <c r="S77" s="2"/>
      <c r="T77" s="6">
        <v>6507.91</v>
      </c>
      <c r="U77" s="2"/>
      <c r="V77" s="7">
        <f t="shared" si="50"/>
        <v>3.7772945299369676E-3</v>
      </c>
      <c r="W77" s="2"/>
      <c r="X77" s="6">
        <f t="shared" si="51"/>
        <v>6512.57</v>
      </c>
      <c r="Y77" s="2"/>
      <c r="Z77" s="7">
        <f t="shared" si="52"/>
        <v>1.0007160516970885</v>
      </c>
    </row>
    <row r="78" spans="1:26" s="26" customFormat="1" outlineLevel="1" collapsed="1" x14ac:dyDescent="0.25">
      <c r="A78" s="27"/>
      <c r="B78" s="13" t="str">
        <f>CONCATENATE("     ","Royalty &amp; Commissions                             ")</f>
        <v xml:space="preserve">     Royalty &amp; Commissions                             </v>
      </c>
      <c r="C78" s="13"/>
      <c r="D78" s="1">
        <f>SUM(OSRRefD22_15x_0)</f>
        <v>0</v>
      </c>
      <c r="E78" s="1"/>
      <c r="F78" s="5">
        <f t="shared" ref="F78:F84" si="53">IF(D$12=0,0,D78/D$12)</f>
        <v>0</v>
      </c>
      <c r="G78" s="1"/>
      <c r="H78" s="1">
        <f>SUM(OSRRefH22_15x_0)</f>
        <v>0</v>
      </c>
      <c r="I78" s="1"/>
      <c r="J78" s="5">
        <f t="shared" ref="J78:J84" si="54">IF(H$12=0,0,H78/H$12)</f>
        <v>0</v>
      </c>
      <c r="K78" s="1"/>
      <c r="L78" s="1">
        <f t="shared" ref="L78:L84" si="55">+D78-H78</f>
        <v>0</v>
      </c>
      <c r="M78" s="1"/>
      <c r="N78" s="5">
        <f t="shared" ref="N78:N84" si="56">IF(H78=0,0,L78/H78)</f>
        <v>0</v>
      </c>
      <c r="O78" s="13"/>
      <c r="P78" s="1">
        <f>SUM(OSRRefP22_15x_0)</f>
        <v>15334.79</v>
      </c>
      <c r="Q78" s="1"/>
      <c r="R78" s="5">
        <f t="shared" ref="R78:R84" si="57">IF(P$12=0,0,P78/P$12)</f>
        <v>8.4817080569824389E-3</v>
      </c>
      <c r="S78" s="1"/>
      <c r="T78" s="1">
        <f>SUM(OSRRefT22_15x_0)</f>
        <v>13308.48</v>
      </c>
      <c r="U78" s="1"/>
      <c r="V78" s="5">
        <f t="shared" ref="V78:V84" si="58">IF(T$12=0,0,T78/T$12)</f>
        <v>7.7244535812227792E-3</v>
      </c>
      <c r="W78" s="1"/>
      <c r="X78" s="1">
        <f t="shared" ref="X78:X84" si="59">+P78-T78</f>
        <v>2026.3100000000013</v>
      </c>
      <c r="Y78" s="1"/>
      <c r="Z78" s="5">
        <f t="shared" ref="Z78:Z84" si="60">IF(T78=0,0,X78/T78)</f>
        <v>0.15225705715453616</v>
      </c>
    </row>
    <row r="79" spans="1:26" s="24" customFormat="1" hidden="1" outlineLevel="2" x14ac:dyDescent="0.25">
      <c r="A79" s="25"/>
      <c r="B79" s="11" t="str">
        <f>CONCATENATE("          ", "6254", " - ", "ROYALTY &amp; COMMISSIONS")</f>
        <v xml:space="preserve">          6254 - ROYALTY &amp; COMMISSIONS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>
        <v>15334.79</v>
      </c>
      <c r="Q79" s="2"/>
      <c r="R79" s="7">
        <f t="shared" si="57"/>
        <v>8.4817080569824389E-3</v>
      </c>
      <c r="S79" s="2"/>
      <c r="T79" s="6">
        <v>13308.48</v>
      </c>
      <c r="U79" s="2"/>
      <c r="V79" s="7">
        <f t="shared" si="58"/>
        <v>7.7244535812227792E-3</v>
      </c>
      <c r="W79" s="2"/>
      <c r="X79" s="6">
        <f t="shared" si="59"/>
        <v>2026.3100000000013</v>
      </c>
      <c r="Y79" s="2"/>
      <c r="Z79" s="7">
        <f t="shared" si="60"/>
        <v>0.15225705715453616</v>
      </c>
    </row>
    <row r="80" spans="1:26" s="26" customFormat="1" outlineLevel="1" collapsed="1" x14ac:dyDescent="0.25">
      <c r="A80" s="27"/>
      <c r="B80" s="13" t="str">
        <f>CONCATENATE("     ","Services                                          ")</f>
        <v xml:space="preserve">     Services                                          </v>
      </c>
      <c r="C80" s="13"/>
      <c r="D80" s="1">
        <f>SUM(OSRRefD22_16x_0)</f>
        <v>1792.51</v>
      </c>
      <c r="E80" s="1"/>
      <c r="F80" s="5">
        <f t="shared" si="53"/>
        <v>9.8929366702707848E-3</v>
      </c>
      <c r="G80" s="1"/>
      <c r="H80" s="1">
        <f>SUM(OSRRefH22_16x_0)</f>
        <v>1596.25</v>
      </c>
      <c r="I80" s="1"/>
      <c r="J80" s="5">
        <f t="shared" si="54"/>
        <v>9.4799719446280566E-3</v>
      </c>
      <c r="K80" s="1"/>
      <c r="L80" s="1">
        <f t="shared" si="55"/>
        <v>196.26</v>
      </c>
      <c r="M80" s="1"/>
      <c r="N80" s="5">
        <f t="shared" si="56"/>
        <v>0.12295066562255286</v>
      </c>
      <c r="O80" s="13"/>
      <c r="P80" s="1">
        <f>SUM(OSRRefP22_16x_0)</f>
        <v>12588.86</v>
      </c>
      <c r="Q80" s="1"/>
      <c r="R80" s="5">
        <f t="shared" si="57"/>
        <v>6.9629277799189912E-3</v>
      </c>
      <c r="S80" s="1"/>
      <c r="T80" s="1">
        <f>SUM(OSRRefT22_16x_0)</f>
        <v>11201.36</v>
      </c>
      <c r="U80" s="1"/>
      <c r="V80" s="5">
        <f t="shared" si="58"/>
        <v>6.5014476008203488E-3</v>
      </c>
      <c r="W80" s="1"/>
      <c r="X80" s="1">
        <f t="shared" si="59"/>
        <v>1387.5</v>
      </c>
      <c r="Y80" s="1"/>
      <c r="Z80" s="5">
        <f t="shared" si="60"/>
        <v>0.12386888734939328</v>
      </c>
    </row>
    <row r="81" spans="1:26" s="24" customFormat="1" hidden="1" outlineLevel="2" x14ac:dyDescent="0.25">
      <c r="A81" s="25"/>
      <c r="B81" s="11" t="str">
        <f>CONCATENATE("          ", "6282", " - ", "JANITORIAL/EXTERMINATOR EXPENS")</f>
        <v xml:space="preserve">          6282 - JANITORIAL/EXTERMINATOR EXPENS</v>
      </c>
      <c r="C81" s="11"/>
      <c r="D81" s="6">
        <v>485.74</v>
      </c>
      <c r="E81" s="2"/>
      <c r="F81" s="7">
        <f t="shared" si="53"/>
        <v>2.680819107406559E-3</v>
      </c>
      <c r="G81" s="2"/>
      <c r="H81" s="6">
        <v>640.59</v>
      </c>
      <c r="I81" s="2"/>
      <c r="J81" s="7">
        <f t="shared" si="54"/>
        <v>3.8044010825430143E-3</v>
      </c>
      <c r="K81" s="2"/>
      <c r="L81" s="6">
        <f t="shared" si="55"/>
        <v>-154.85000000000002</v>
      </c>
      <c r="M81" s="2"/>
      <c r="N81" s="7">
        <f t="shared" si="56"/>
        <v>-0.24173027989821885</v>
      </c>
      <c r="O81" s="11"/>
      <c r="P81" s="6">
        <v>4637.37</v>
      </c>
      <c r="Q81" s="2"/>
      <c r="R81" s="7">
        <f t="shared" si="57"/>
        <v>2.5649401453954473E-3</v>
      </c>
      <c r="S81" s="2"/>
      <c r="T81" s="6">
        <v>3805.04</v>
      </c>
      <c r="U81" s="2"/>
      <c r="V81" s="7">
        <f t="shared" si="58"/>
        <v>2.2085057688553404E-3</v>
      </c>
      <c r="W81" s="2"/>
      <c r="X81" s="6">
        <f t="shared" si="59"/>
        <v>832.32999999999993</v>
      </c>
      <c r="Y81" s="2"/>
      <c r="Z81" s="7">
        <f t="shared" si="60"/>
        <v>0.218744086790152</v>
      </c>
    </row>
    <row r="82" spans="1:26" s="24" customFormat="1" hidden="1" outlineLevel="2" x14ac:dyDescent="0.25">
      <c r="A82" s="25"/>
      <c r="B82" s="11" t="str">
        <f>CONCATENATE("          ", "6284", " - ", "TRASH REMOVAL EXPENSE")</f>
        <v xml:space="preserve">          6284 - TRASH REMOVAL EXPENSE</v>
      </c>
      <c r="C82" s="11"/>
      <c r="D82" s="6">
        <v>289</v>
      </c>
      <c r="E82" s="2"/>
      <c r="F82" s="7">
        <f t="shared" si="53"/>
        <v>1.5950029275754428E-3</v>
      </c>
      <c r="G82" s="2"/>
      <c r="H82" s="6">
        <v>237</v>
      </c>
      <c r="I82" s="2"/>
      <c r="J82" s="7">
        <f t="shared" si="54"/>
        <v>1.4075197186385899E-3</v>
      </c>
      <c r="K82" s="2"/>
      <c r="L82" s="6">
        <f t="shared" si="55"/>
        <v>52</v>
      </c>
      <c r="M82" s="2"/>
      <c r="N82" s="7">
        <f t="shared" si="56"/>
        <v>0.21940928270042195</v>
      </c>
      <c r="O82" s="11"/>
      <c r="P82" s="6">
        <v>2022</v>
      </c>
      <c r="Q82" s="2"/>
      <c r="R82" s="7">
        <f t="shared" si="57"/>
        <v>1.1183729083488257E-3</v>
      </c>
      <c r="S82" s="2"/>
      <c r="T82" s="6">
        <v>2229.73</v>
      </c>
      <c r="U82" s="2"/>
      <c r="V82" s="7">
        <f t="shared" si="58"/>
        <v>1.2941707756002089E-3</v>
      </c>
      <c r="W82" s="2"/>
      <c r="X82" s="6">
        <f t="shared" si="59"/>
        <v>-207.73000000000002</v>
      </c>
      <c r="Y82" s="2"/>
      <c r="Z82" s="7">
        <f t="shared" si="60"/>
        <v>-9.3163746283182275E-2</v>
      </c>
    </row>
    <row r="83" spans="1:26" s="24" customFormat="1" hidden="1" outlineLevel="2" x14ac:dyDescent="0.25">
      <c r="A83" s="25"/>
      <c r="B83" s="11" t="str">
        <f>CONCATENATE("          ", "6285", " - ", "JANITORIAL SERVICES")</f>
        <v xml:space="preserve">          6285 - JANITORIAL SERVICES</v>
      </c>
      <c r="C83" s="11"/>
      <c r="D83" s="6">
        <v>134.1</v>
      </c>
      <c r="E83" s="2"/>
      <c r="F83" s="7">
        <f t="shared" si="53"/>
        <v>7.4010343456009297E-4</v>
      </c>
      <c r="G83" s="2"/>
      <c r="H83" s="6">
        <v>125.23</v>
      </c>
      <c r="I83" s="2"/>
      <c r="J83" s="7">
        <f t="shared" si="54"/>
        <v>7.4372866820721789E-4</v>
      </c>
      <c r="K83" s="2"/>
      <c r="L83" s="6">
        <f t="shared" si="55"/>
        <v>8.8699999999999903</v>
      </c>
      <c r="M83" s="2"/>
      <c r="N83" s="7">
        <f t="shared" si="56"/>
        <v>7.0829673400942192E-2</v>
      </c>
      <c r="O83" s="11"/>
      <c r="P83" s="6">
        <v>785.48</v>
      </c>
      <c r="Q83" s="2"/>
      <c r="R83" s="7">
        <f t="shared" si="57"/>
        <v>4.3445081703750532E-4</v>
      </c>
      <c r="S83" s="2"/>
      <c r="T83" s="6">
        <v>727.48</v>
      </c>
      <c r="U83" s="2"/>
      <c r="V83" s="7">
        <f t="shared" si="58"/>
        <v>4.2224096901133319E-4</v>
      </c>
      <c r="W83" s="2"/>
      <c r="X83" s="6">
        <f t="shared" si="59"/>
        <v>58</v>
      </c>
      <c r="Y83" s="2"/>
      <c r="Z83" s="7">
        <f t="shared" si="60"/>
        <v>7.9727277725848131E-2</v>
      </c>
    </row>
    <row r="84" spans="1:26" s="24" customFormat="1" hidden="1" outlineLevel="2" x14ac:dyDescent="0.25">
      <c r="A84" s="25"/>
      <c r="B84" s="11" t="str">
        <f>CONCATENATE("          ", "6286", " - ", "LAUNDRY EXPENSE")</f>
        <v xml:space="preserve">          6286 - LAUNDRY EXPENSE</v>
      </c>
      <c r="C84" s="11"/>
      <c r="D84" s="6">
        <v>883.67</v>
      </c>
      <c r="E84" s="2"/>
      <c r="F84" s="7">
        <f t="shared" si="53"/>
        <v>4.8770112007286903E-3</v>
      </c>
      <c r="G84" s="2"/>
      <c r="H84" s="6">
        <v>593.42999999999995</v>
      </c>
      <c r="I84" s="2"/>
      <c r="J84" s="7">
        <f t="shared" si="54"/>
        <v>3.5243224752392337E-3</v>
      </c>
      <c r="K84" s="2"/>
      <c r="L84" s="6">
        <f t="shared" si="55"/>
        <v>290.24</v>
      </c>
      <c r="M84" s="2"/>
      <c r="N84" s="7">
        <f t="shared" si="56"/>
        <v>0.4890888563099271</v>
      </c>
      <c r="O84" s="11"/>
      <c r="P84" s="6">
        <v>5144.01</v>
      </c>
      <c r="Q84" s="2"/>
      <c r="R84" s="7">
        <f t="shared" si="57"/>
        <v>2.8451639091372125E-3</v>
      </c>
      <c r="S84" s="2"/>
      <c r="T84" s="6">
        <v>4439.1099999999997</v>
      </c>
      <c r="U84" s="2"/>
      <c r="V84" s="7">
        <f t="shared" si="58"/>
        <v>2.5765300873534657E-3</v>
      </c>
      <c r="W84" s="2"/>
      <c r="X84" s="6">
        <f t="shared" si="59"/>
        <v>704.90000000000055</v>
      </c>
      <c r="Y84" s="2"/>
      <c r="Z84" s="7">
        <f t="shared" si="60"/>
        <v>0.15879309140796255</v>
      </c>
    </row>
    <row r="85" spans="1:26" s="26" customFormat="1" outlineLevel="1" collapsed="1" x14ac:dyDescent="0.25">
      <c r="A85" s="27"/>
      <c r="B85" s="13" t="str">
        <f>CONCATENATE("     ","Subscriptions &amp; Dues                              ")</f>
        <v xml:space="preserve">     Subscriptions &amp; Dues                              </v>
      </c>
      <c r="C85" s="13"/>
      <c r="D85" s="1">
        <f>SUM(OSRRefD22_17x_0)</f>
        <v>176.4</v>
      </c>
      <c r="E85" s="1"/>
      <c r="F85" s="5">
        <f t="shared" ref="F85:F87" si="61">IF(D$12=0,0,D85/D$12)</f>
        <v>9.7355888036092773E-4</v>
      </c>
      <c r="G85" s="1"/>
      <c r="H85" s="1">
        <f>SUM(OSRRefH22_17x_0)</f>
        <v>432.79999999999995</v>
      </c>
      <c r="I85" s="1"/>
      <c r="J85" s="5">
        <f t="shared" ref="J85:J87" si="62">IF(H$12=0,0,H85/H$12)</f>
        <v>2.5703566845011886E-3</v>
      </c>
      <c r="K85" s="1"/>
      <c r="L85" s="1">
        <f t="shared" ref="L85:L87" si="63">+D85-H85</f>
        <v>-256.39999999999998</v>
      </c>
      <c r="M85" s="1"/>
      <c r="N85" s="5">
        <f t="shared" ref="N85:N87" si="64">IF(H85=0,0,L85/H85)</f>
        <v>-0.59242144177449174</v>
      </c>
      <c r="O85" s="13"/>
      <c r="P85" s="1">
        <f>SUM(OSRRefP22_17x_0)</f>
        <v>1234.8</v>
      </c>
      <c r="Q85" s="1"/>
      <c r="R85" s="5">
        <f t="shared" ref="R85:R87" si="65">IF(P$12=0,0,P85/P$12)</f>
        <v>6.829707553061969E-4</v>
      </c>
      <c r="S85" s="1"/>
      <c r="T85" s="1">
        <f>SUM(OSRRefT22_17x_0)</f>
        <v>905.57999999999993</v>
      </c>
      <c r="U85" s="1"/>
      <c r="V85" s="5">
        <f t="shared" ref="V85:V87" si="66">IF(T$12=0,0,T85/T$12)</f>
        <v>5.2561304326893257E-4</v>
      </c>
      <c r="W85" s="1"/>
      <c r="X85" s="1">
        <f t="shared" ref="X85:X87" si="67">+P85-T85</f>
        <v>329.22</v>
      </c>
      <c r="Y85" s="1"/>
      <c r="Z85" s="5">
        <f t="shared" ref="Z85:Z87" si="68">IF(T85=0,0,X85/T85)</f>
        <v>0.36354601470880549</v>
      </c>
    </row>
    <row r="86" spans="1:26" s="24" customFormat="1" hidden="1" outlineLevel="2" x14ac:dyDescent="0.25">
      <c r="A86" s="25"/>
      <c r="B86" s="11" t="str">
        <f>CONCATENATE("          ", "6258", " - ", "MEMBERSHIP DUES")</f>
        <v xml:space="preserve">          6258 - MEMBERSHIP DUES</v>
      </c>
      <c r="C86" s="11"/>
      <c r="D86" s="6"/>
      <c r="E86" s="2"/>
      <c r="F86" s="7">
        <f t="shared" si="61"/>
        <v>0</v>
      </c>
      <c r="G86" s="2"/>
      <c r="H86" s="6">
        <v>256.39999999999998</v>
      </c>
      <c r="I86" s="2"/>
      <c r="J86" s="7">
        <f t="shared" si="62"/>
        <v>1.5227344129068964E-3</v>
      </c>
      <c r="K86" s="2"/>
      <c r="L86" s="6">
        <f t="shared" si="63"/>
        <v>-256.39999999999998</v>
      </c>
      <c r="M86" s="2"/>
      <c r="N86" s="7">
        <f t="shared" si="64"/>
        <v>-1</v>
      </c>
      <c r="O86" s="11"/>
      <c r="P86" s="6"/>
      <c r="Q86" s="2"/>
      <c r="R86" s="7">
        <f t="shared" si="65"/>
        <v>0</v>
      </c>
      <c r="S86" s="2"/>
      <c r="T86" s="6">
        <v>383.2</v>
      </c>
      <c r="U86" s="2"/>
      <c r="V86" s="7">
        <f t="shared" si="66"/>
        <v>2.2241537818928751E-4</v>
      </c>
      <c r="W86" s="2"/>
      <c r="X86" s="6">
        <f t="shared" si="67"/>
        <v>-383.2</v>
      </c>
      <c r="Y86" s="2"/>
      <c r="Z86" s="7">
        <f t="shared" si="68"/>
        <v>-1</v>
      </c>
    </row>
    <row r="87" spans="1:26" s="24" customFormat="1" hidden="1" outlineLevel="2" x14ac:dyDescent="0.25">
      <c r="A87" s="25"/>
      <c r="B87" s="11" t="str">
        <f>CONCATENATE("          ", "6275", " - ", "SUBSCRIPTIONS")</f>
        <v xml:space="preserve">          6275 - SUBSCRIPTIONS</v>
      </c>
      <c r="C87" s="11"/>
      <c r="D87" s="6">
        <v>176.4</v>
      </c>
      <c r="E87" s="2"/>
      <c r="F87" s="7">
        <f t="shared" si="61"/>
        <v>9.7355888036092773E-4</v>
      </c>
      <c r="G87" s="2"/>
      <c r="H87" s="6">
        <v>176.4</v>
      </c>
      <c r="I87" s="2"/>
      <c r="J87" s="7">
        <f t="shared" si="62"/>
        <v>1.0476222715942924E-3</v>
      </c>
      <c r="K87" s="2"/>
      <c r="L87" s="6">
        <f t="shared" si="63"/>
        <v>0</v>
      </c>
      <c r="M87" s="2"/>
      <c r="N87" s="7">
        <f t="shared" si="64"/>
        <v>0</v>
      </c>
      <c r="O87" s="11"/>
      <c r="P87" s="6">
        <v>1234.8</v>
      </c>
      <c r="Q87" s="2"/>
      <c r="R87" s="7">
        <f t="shared" si="65"/>
        <v>6.829707553061969E-4</v>
      </c>
      <c r="S87" s="2"/>
      <c r="T87" s="6">
        <v>522.38</v>
      </c>
      <c r="U87" s="2"/>
      <c r="V87" s="7">
        <f t="shared" si="66"/>
        <v>3.0319766507964512E-4</v>
      </c>
      <c r="W87" s="2"/>
      <c r="X87" s="6">
        <f t="shared" si="67"/>
        <v>712.42</v>
      </c>
      <c r="Y87" s="2"/>
      <c r="Z87" s="7">
        <f t="shared" si="68"/>
        <v>1.3637964700026799</v>
      </c>
    </row>
    <row r="88" spans="1:26" s="26" customFormat="1" outlineLevel="1" collapsed="1" x14ac:dyDescent="0.25">
      <c r="A88" s="27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SUM(OSRRefD22_18x_0)</f>
        <v>3378.96</v>
      </c>
      <c r="E88" s="1"/>
      <c r="F88" s="5">
        <f t="shared" ref="F88:F96" si="69">IF(D$12=0,0,D88/D$12)</f>
        <v>1.8648619696056464E-2</v>
      </c>
      <c r="G88" s="1"/>
      <c r="H88" s="1">
        <f>SUM(OSRRefH22_18x_0)</f>
        <v>1443.77</v>
      </c>
      <c r="I88" s="1"/>
      <c r="J88" s="5">
        <f t="shared" ref="J88:J96" si="70">IF(H$12=0,0,H88/H$12)</f>
        <v>8.574408203286232E-3</v>
      </c>
      <c r="K88" s="1"/>
      <c r="L88" s="1">
        <f t="shared" ref="L88:L96" si="71">+D88-H88</f>
        <v>1935.19</v>
      </c>
      <c r="M88" s="1"/>
      <c r="N88" s="5">
        <f t="shared" ref="N88:N96" si="72">IF(H88=0,0,L88/H88)</f>
        <v>1.3403727740568097</v>
      </c>
      <c r="O88" s="13"/>
      <c r="P88" s="1">
        <f>SUM(OSRRefP22_18x_0)</f>
        <v>41258.239999999998</v>
      </c>
      <c r="Q88" s="1"/>
      <c r="R88" s="5">
        <f t="shared" ref="R88:R96" si="73">IF(P$12=0,0,P88/P$12)</f>
        <v>2.2820028616297654E-2</v>
      </c>
      <c r="S88" s="1"/>
      <c r="T88" s="1">
        <f>SUM(OSRRefT22_18x_0)</f>
        <v>32668.51</v>
      </c>
      <c r="U88" s="1"/>
      <c r="V88" s="5">
        <f t="shared" ref="V88:V96" si="74">IF(T$12=0,0,T88/T$12)</f>
        <v>1.8961323085935598E-2</v>
      </c>
      <c r="W88" s="1"/>
      <c r="X88" s="1">
        <f t="shared" ref="X88:X96" si="75">+P88-T88</f>
        <v>8589.73</v>
      </c>
      <c r="Y88" s="1"/>
      <c r="Z88" s="5">
        <f t="shared" ref="Z88:Z96" si="76">IF(T88=0,0,X88/T88)</f>
        <v>0.26293608125990442</v>
      </c>
    </row>
    <row r="89" spans="1:26" s="24" customFormat="1" hidden="1" outlineLevel="2" x14ac:dyDescent="0.25">
      <c r="A89" s="25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69"/>
        <v>0</v>
      </c>
      <c r="G89" s="2"/>
      <c r="H89" s="6"/>
      <c r="I89" s="2"/>
      <c r="J89" s="7">
        <f t="shared" si="70"/>
        <v>0</v>
      </c>
      <c r="K89" s="2"/>
      <c r="L89" s="6">
        <f t="shared" si="71"/>
        <v>0</v>
      </c>
      <c r="M89" s="2"/>
      <c r="N89" s="7">
        <f t="shared" si="72"/>
        <v>0</v>
      </c>
      <c r="O89" s="11"/>
      <c r="P89" s="6">
        <v>1092.46</v>
      </c>
      <c r="Q89" s="2"/>
      <c r="R89" s="7">
        <f t="shared" si="73"/>
        <v>6.0424216985893091E-4</v>
      </c>
      <c r="S89" s="2"/>
      <c r="T89" s="6">
        <v>939.33</v>
      </c>
      <c r="U89" s="2"/>
      <c r="V89" s="7">
        <f t="shared" si="74"/>
        <v>5.4520208036154343E-4</v>
      </c>
      <c r="W89" s="2"/>
      <c r="X89" s="6">
        <f t="shared" si="75"/>
        <v>153.13</v>
      </c>
      <c r="Y89" s="2"/>
      <c r="Z89" s="7">
        <f t="shared" si="76"/>
        <v>0.16302045074680888</v>
      </c>
    </row>
    <row r="90" spans="1:26" s="24" customFormat="1" hidden="1" outlineLevel="2" x14ac:dyDescent="0.25">
      <c r="A90" s="25"/>
      <c r="B90" s="11" t="str">
        <f>CONCATENATE("          ", "6237", " - ", "JANITORIAL SUPPLIES")</f>
        <v xml:space="preserve">          6237 - JANITORIAL SUPPLIES</v>
      </c>
      <c r="C90" s="11"/>
      <c r="D90" s="6">
        <v>361.31</v>
      </c>
      <c r="E90" s="2"/>
      <c r="F90" s="7">
        <f t="shared" si="69"/>
        <v>1.9940848019456168E-3</v>
      </c>
      <c r="G90" s="2"/>
      <c r="H90" s="6">
        <v>921.27</v>
      </c>
      <c r="I90" s="2"/>
      <c r="J90" s="7">
        <f t="shared" si="70"/>
        <v>5.4713320303382863E-3</v>
      </c>
      <c r="K90" s="2"/>
      <c r="L90" s="6">
        <f t="shared" si="71"/>
        <v>-559.96</v>
      </c>
      <c r="M90" s="2"/>
      <c r="N90" s="7">
        <f t="shared" si="72"/>
        <v>-0.60781312753047434</v>
      </c>
      <c r="O90" s="11"/>
      <c r="P90" s="6">
        <v>3365.74</v>
      </c>
      <c r="Q90" s="2"/>
      <c r="R90" s="7">
        <f t="shared" si="73"/>
        <v>1.8615986313283762E-3</v>
      </c>
      <c r="S90" s="2"/>
      <c r="T90" s="6">
        <v>4584.0600000000004</v>
      </c>
      <c r="U90" s="2"/>
      <c r="V90" s="7">
        <f t="shared" si="74"/>
        <v>2.6606613740667675E-3</v>
      </c>
      <c r="W90" s="2"/>
      <c r="X90" s="6">
        <f t="shared" si="75"/>
        <v>-1218.3200000000006</v>
      </c>
      <c r="Y90" s="2"/>
      <c r="Z90" s="7">
        <f t="shared" si="76"/>
        <v>-0.26577313560468241</v>
      </c>
    </row>
    <row r="91" spans="1:26" s="24" customFormat="1" hidden="1" outlineLevel="2" x14ac:dyDescent="0.25">
      <c r="A91" s="25"/>
      <c r="B91" s="11" t="str">
        <f>CONCATENATE("          ", "6239", " - ", "KITCHEN SUPPLIES")</f>
        <v xml:space="preserve">          6239 - KITCHEN SUPPLIES</v>
      </c>
      <c r="C91" s="11"/>
      <c r="D91" s="6">
        <v>63.92</v>
      </c>
      <c r="E91" s="2"/>
      <c r="F91" s="7">
        <f t="shared" si="69"/>
        <v>3.5277711809903915E-4</v>
      </c>
      <c r="G91" s="2"/>
      <c r="H91" s="6">
        <v>21.52</v>
      </c>
      <c r="I91" s="2"/>
      <c r="J91" s="7">
        <f t="shared" si="70"/>
        <v>1.2780516601309052E-4</v>
      </c>
      <c r="K91" s="2"/>
      <c r="L91" s="6">
        <f t="shared" si="71"/>
        <v>42.400000000000006</v>
      </c>
      <c r="M91" s="2"/>
      <c r="N91" s="7">
        <f t="shared" si="72"/>
        <v>1.9702602230483275</v>
      </c>
      <c r="O91" s="11"/>
      <c r="P91" s="6">
        <v>63.92</v>
      </c>
      <c r="Q91" s="2"/>
      <c r="R91" s="7">
        <f t="shared" si="73"/>
        <v>3.5354300841571192E-5</v>
      </c>
      <c r="S91" s="2"/>
      <c r="T91" s="6">
        <v>21.52</v>
      </c>
      <c r="U91" s="2"/>
      <c r="V91" s="7">
        <f t="shared" si="74"/>
        <v>1.2490550466162492E-5</v>
      </c>
      <c r="W91" s="2"/>
      <c r="X91" s="6">
        <f t="shared" si="75"/>
        <v>42.400000000000006</v>
      </c>
      <c r="Y91" s="2"/>
      <c r="Z91" s="7">
        <f t="shared" si="76"/>
        <v>1.9702602230483275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6">
        <v>283.3</v>
      </c>
      <c r="E92" s="2"/>
      <c r="F92" s="7">
        <f t="shared" si="69"/>
        <v>1.563544392325685E-3</v>
      </c>
      <c r="G92" s="2"/>
      <c r="H92" s="6">
        <v>318.72000000000003</v>
      </c>
      <c r="I92" s="2"/>
      <c r="J92" s="7">
        <f t="shared" si="70"/>
        <v>1.8928467709894154E-3</v>
      </c>
      <c r="K92" s="2"/>
      <c r="L92" s="6">
        <f t="shared" si="71"/>
        <v>-35.420000000000016</v>
      </c>
      <c r="M92" s="2"/>
      <c r="N92" s="7">
        <f t="shared" si="72"/>
        <v>-0.11113202811244983</v>
      </c>
      <c r="O92" s="11"/>
      <c r="P92" s="6">
        <v>2160.1799999999998</v>
      </c>
      <c r="Q92" s="2"/>
      <c r="R92" s="7">
        <f t="shared" si="73"/>
        <v>1.1948005881092811E-3</v>
      </c>
      <c r="S92" s="2"/>
      <c r="T92" s="6">
        <v>4877.46</v>
      </c>
      <c r="U92" s="2"/>
      <c r="V92" s="7">
        <f t="shared" si="74"/>
        <v>2.830955403191864E-3</v>
      </c>
      <c r="W92" s="2"/>
      <c r="X92" s="6">
        <f t="shared" si="75"/>
        <v>-2717.28</v>
      </c>
      <c r="Y92" s="2"/>
      <c r="Z92" s="7">
        <f t="shared" si="76"/>
        <v>-0.5571096431339263</v>
      </c>
    </row>
    <row r="93" spans="1:26" s="24" customFormat="1" hidden="1" outlineLevel="2" x14ac:dyDescent="0.25">
      <c r="A93" s="25"/>
      <c r="B93" s="11" t="str">
        <f>CONCATENATE("          ", "6243", " - ", "PAPER SUPPLIES")</f>
        <v xml:space="preserve">          6243 - PAPER SUPPLIES</v>
      </c>
      <c r="C93" s="11"/>
      <c r="D93" s="6">
        <v>578.54</v>
      </c>
      <c r="E93" s="2"/>
      <c r="F93" s="7">
        <f t="shared" si="69"/>
        <v>3.1929861374377045E-3</v>
      </c>
      <c r="G93" s="2"/>
      <c r="H93" s="6">
        <v>326.57</v>
      </c>
      <c r="I93" s="2"/>
      <c r="J93" s="7">
        <f t="shared" si="70"/>
        <v>1.9394671498557145E-3</v>
      </c>
      <c r="K93" s="2"/>
      <c r="L93" s="6">
        <f t="shared" si="71"/>
        <v>251.96999999999997</v>
      </c>
      <c r="M93" s="2"/>
      <c r="N93" s="7">
        <f t="shared" si="72"/>
        <v>0.77156505496524475</v>
      </c>
      <c r="O93" s="11"/>
      <c r="P93" s="6">
        <v>3931.14</v>
      </c>
      <c r="Q93" s="2"/>
      <c r="R93" s="7">
        <f t="shared" si="73"/>
        <v>2.1743226878963417E-3</v>
      </c>
      <c r="S93" s="2"/>
      <c r="T93" s="6">
        <v>6231.45</v>
      </c>
      <c r="U93" s="2"/>
      <c r="V93" s="7">
        <f t="shared" si="74"/>
        <v>3.616832746392577E-3</v>
      </c>
      <c r="W93" s="2"/>
      <c r="X93" s="6">
        <f t="shared" si="75"/>
        <v>-2300.31</v>
      </c>
      <c r="Y93" s="2"/>
      <c r="Z93" s="7">
        <f t="shared" si="76"/>
        <v>-0.36914522302192909</v>
      </c>
    </row>
    <row r="94" spans="1:26" s="24" customFormat="1" hidden="1" outlineLevel="2" x14ac:dyDescent="0.25">
      <c r="A94" s="25"/>
      <c r="B94" s="11" t="str">
        <f>CONCATENATE("          ", "6245", " - ", "PRINTING")</f>
        <v xml:space="preserve">          6245 - PRINTING</v>
      </c>
      <c r="C94" s="11"/>
      <c r="D94" s="6"/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0</v>
      </c>
      <c r="M94" s="2"/>
      <c r="N94" s="7">
        <f t="shared" si="72"/>
        <v>0</v>
      </c>
      <c r="O94" s="11"/>
      <c r="P94" s="6">
        <v>81.739999999999995</v>
      </c>
      <c r="Q94" s="2"/>
      <c r="R94" s="7">
        <f t="shared" si="73"/>
        <v>4.5210584336514846E-5</v>
      </c>
      <c r="S94" s="2"/>
      <c r="T94" s="6">
        <v>51.82</v>
      </c>
      <c r="U94" s="2"/>
      <c r="V94" s="7">
        <f t="shared" si="74"/>
        <v>3.0077152655973064E-5</v>
      </c>
      <c r="W94" s="2"/>
      <c r="X94" s="6">
        <f t="shared" si="75"/>
        <v>29.919999999999995</v>
      </c>
      <c r="Y94" s="2"/>
      <c r="Z94" s="7">
        <f t="shared" si="76"/>
        <v>0.57738324971053634</v>
      </c>
    </row>
    <row r="95" spans="1:26" s="24" customFormat="1" hidden="1" outlineLevel="2" x14ac:dyDescent="0.25">
      <c r="A95" s="25"/>
      <c r="B95" s="11" t="str">
        <f>CONCATENATE("          ", "6247", " - ", "STORE SUPPLIES")</f>
        <v xml:space="preserve">          6247 - STORE SUPPLIES</v>
      </c>
      <c r="C95" s="11"/>
      <c r="D95" s="6">
        <v>2091.89</v>
      </c>
      <c r="E95" s="2"/>
      <c r="F95" s="7">
        <f t="shared" si="69"/>
        <v>1.1545227246248417E-2</v>
      </c>
      <c r="G95" s="2"/>
      <c r="H95" s="6">
        <v>-144.31</v>
      </c>
      <c r="I95" s="2"/>
      <c r="J95" s="7">
        <f t="shared" si="70"/>
        <v>-8.5704291391027398E-4</v>
      </c>
      <c r="K95" s="2"/>
      <c r="L95" s="6">
        <f t="shared" si="71"/>
        <v>2236.1999999999998</v>
      </c>
      <c r="M95" s="2"/>
      <c r="N95" s="7">
        <f t="shared" si="72"/>
        <v>-15.495807636338437</v>
      </c>
      <c r="O95" s="11"/>
      <c r="P95" s="6">
        <v>30563.059999999998</v>
      </c>
      <c r="Q95" s="2"/>
      <c r="R95" s="7">
        <f t="shared" si="73"/>
        <v>1.6904499653926638E-2</v>
      </c>
      <c r="S95" s="2"/>
      <c r="T95" s="6">
        <v>14811.689999999999</v>
      </c>
      <c r="U95" s="2"/>
      <c r="V95" s="7">
        <f t="shared" si="74"/>
        <v>8.5969405870889547E-3</v>
      </c>
      <c r="W95" s="2"/>
      <c r="X95" s="6">
        <f t="shared" si="75"/>
        <v>15751.369999999999</v>
      </c>
      <c r="Y95" s="2"/>
      <c r="Z95" s="7">
        <f t="shared" si="76"/>
        <v>1.0634417814577539</v>
      </c>
    </row>
    <row r="96" spans="1:26" s="24" customFormat="1" hidden="1" outlineLevel="2" x14ac:dyDescent="0.25">
      <c r="A96" s="25"/>
      <c r="B96" s="11" t="str">
        <f>CONCATENATE("          ", "6248", " - ", "UNIFORMS")</f>
        <v xml:space="preserve">          6248 - UNIFORMS</v>
      </c>
      <c r="C96" s="11"/>
      <c r="D96" s="6"/>
      <c r="E96" s="2"/>
      <c r="F96" s="7">
        <f t="shared" si="69"/>
        <v>0</v>
      </c>
      <c r="G96" s="2"/>
      <c r="H96" s="6"/>
      <c r="I96" s="2"/>
      <c r="J96" s="7">
        <f t="shared" si="70"/>
        <v>0</v>
      </c>
      <c r="K96" s="2"/>
      <c r="L96" s="6">
        <f t="shared" si="71"/>
        <v>0</v>
      </c>
      <c r="M96" s="2"/>
      <c r="N96" s="7">
        <f t="shared" si="72"/>
        <v>0</v>
      </c>
      <c r="O96" s="11"/>
      <c r="P96" s="6"/>
      <c r="Q96" s="2"/>
      <c r="R96" s="7">
        <f t="shared" si="73"/>
        <v>0</v>
      </c>
      <c r="S96" s="2"/>
      <c r="T96" s="6">
        <v>1151.18</v>
      </c>
      <c r="U96" s="2"/>
      <c r="V96" s="7">
        <f t="shared" si="74"/>
        <v>6.6816319171175372E-4</v>
      </c>
      <c r="W96" s="2"/>
      <c r="X96" s="6">
        <f t="shared" si="75"/>
        <v>-1151.18</v>
      </c>
      <c r="Y96" s="2"/>
      <c r="Z96" s="7">
        <f t="shared" si="76"/>
        <v>-1</v>
      </c>
    </row>
    <row r="97" spans="1:26" s="26" customFormat="1" outlineLevel="1" collapsed="1" x14ac:dyDescent="0.25">
      <c r="A97" s="27"/>
      <c r="B97" s="13" t="str">
        <f>CONCATENATE("     ","Telephone/Data Lines                              ")</f>
        <v xml:space="preserve">     Telephone/Data Lines                              </v>
      </c>
      <c r="C97" s="13"/>
      <c r="D97" s="1">
        <f>SUM(OSRRefD22_19x_0)</f>
        <v>443.26</v>
      </c>
      <c r="E97" s="1"/>
      <c r="F97" s="5">
        <f t="shared" ref="F97:F102" si="77">IF(D$12=0,0,D97/D$12)</f>
        <v>2.4463702341767845E-3</v>
      </c>
      <c r="G97" s="1"/>
      <c r="H97" s="1">
        <f>SUM(OSRRefH22_19x_0)</f>
        <v>-29.94</v>
      </c>
      <c r="I97" s="1"/>
      <c r="J97" s="5">
        <f t="shared" ref="J97:J102" si="78">IF(H$12=0,0,H97/H$12)</f>
        <v>-1.7781071888624213E-4</v>
      </c>
      <c r="K97" s="1"/>
      <c r="L97" s="1">
        <f t="shared" ref="L97:L102" si="79">+D97-H97</f>
        <v>473.2</v>
      </c>
      <c r="M97" s="1"/>
      <c r="N97" s="5">
        <f t="shared" ref="N97:N102" si="80">IF(H97=0,0,L97/H97)</f>
        <v>-15.804943219772879</v>
      </c>
      <c r="O97" s="13"/>
      <c r="P97" s="1">
        <f>SUM(OSRRefP22_19x_0)</f>
        <v>2489.52</v>
      </c>
      <c r="Q97" s="1"/>
      <c r="R97" s="5">
        <f t="shared" ref="R97:R102" si="81">IF(P$12=0,0,P97/P$12)</f>
        <v>1.3769593089973139E-3</v>
      </c>
      <c r="S97" s="1"/>
      <c r="T97" s="1">
        <f>SUM(OSRRefT22_19x_0)</f>
        <v>2121.9699999999998</v>
      </c>
      <c r="U97" s="1"/>
      <c r="V97" s="5">
        <f t="shared" ref="V97:V102" si="82">IF(T$12=0,0,T97/T$12)</f>
        <v>1.2316251567231794E-3</v>
      </c>
      <c r="W97" s="1"/>
      <c r="X97" s="1">
        <f t="shared" ref="X97:X102" si="83">+P97-T97</f>
        <v>367.55000000000018</v>
      </c>
      <c r="Y97" s="1"/>
      <c r="Z97" s="5">
        <f t="shared" ref="Z97:Z102" si="84">IF(T97=0,0,X97/T97)</f>
        <v>0.17321168536784226</v>
      </c>
    </row>
    <row r="98" spans="1:26" s="24" customFormat="1" hidden="1" outlineLevel="2" x14ac:dyDescent="0.25">
      <c r="A98" s="25"/>
      <c r="B98" s="11" t="str">
        <f>CONCATENATE("          ", "6309", " - ", "TELEPHONE")</f>
        <v xml:space="preserve">          6309 - TELEPHONE</v>
      </c>
      <c r="C98" s="11"/>
      <c r="D98" s="6">
        <v>443.26</v>
      </c>
      <c r="E98" s="2"/>
      <c r="F98" s="7">
        <f t="shared" si="77"/>
        <v>2.4463702341767845E-3</v>
      </c>
      <c r="G98" s="2"/>
      <c r="H98" s="6">
        <v>-29.94</v>
      </c>
      <c r="I98" s="2"/>
      <c r="J98" s="7">
        <f t="shared" si="78"/>
        <v>-1.7781071888624213E-4</v>
      </c>
      <c r="K98" s="2"/>
      <c r="L98" s="6">
        <f t="shared" si="79"/>
        <v>473.2</v>
      </c>
      <c r="M98" s="2"/>
      <c r="N98" s="7">
        <f t="shared" si="80"/>
        <v>-15.804943219772879</v>
      </c>
      <c r="O98" s="11"/>
      <c r="P98" s="6">
        <v>2489.52</v>
      </c>
      <c r="Q98" s="2"/>
      <c r="R98" s="7">
        <f t="shared" si="81"/>
        <v>1.3769593089973139E-3</v>
      </c>
      <c r="S98" s="2"/>
      <c r="T98" s="6">
        <v>2121.9699999999998</v>
      </c>
      <c r="U98" s="2"/>
      <c r="V98" s="7">
        <f t="shared" si="82"/>
        <v>1.2316251567231794E-3</v>
      </c>
      <c r="W98" s="2"/>
      <c r="X98" s="6">
        <f t="shared" si="83"/>
        <v>367.55000000000018</v>
      </c>
      <c r="Y98" s="2"/>
      <c r="Z98" s="7">
        <f t="shared" si="84"/>
        <v>0.17321168536784226</v>
      </c>
    </row>
    <row r="99" spans="1:26" s="26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SUM(OSRRefD22_20x_0)</f>
        <v>0</v>
      </c>
      <c r="E99" s="1"/>
      <c r="F99" s="5">
        <f t="shared" si="77"/>
        <v>0</v>
      </c>
      <c r="G99" s="1"/>
      <c r="H99" s="1">
        <f>SUM(OSRRefH22_20x_0)</f>
        <v>0</v>
      </c>
      <c r="I99" s="1"/>
      <c r="J99" s="5">
        <f t="shared" si="78"/>
        <v>0</v>
      </c>
      <c r="K99" s="1"/>
      <c r="L99" s="1">
        <f t="shared" si="79"/>
        <v>0</v>
      </c>
      <c r="M99" s="1"/>
      <c r="N99" s="5">
        <f t="shared" si="80"/>
        <v>0</v>
      </c>
      <c r="O99" s="13"/>
      <c r="P99" s="1">
        <f>SUM(OSRRefP22_20x_0)</f>
        <v>96</v>
      </c>
      <c r="Q99" s="1"/>
      <c r="R99" s="5">
        <f t="shared" si="81"/>
        <v>5.3097823541784013E-5</v>
      </c>
      <c r="S99" s="1"/>
      <c r="T99" s="1">
        <f>SUM(OSRRefT22_20x_0)</f>
        <v>297.82</v>
      </c>
      <c r="U99" s="1"/>
      <c r="V99" s="5">
        <f t="shared" si="82"/>
        <v>1.7285946746433613E-4</v>
      </c>
      <c r="W99" s="1"/>
      <c r="X99" s="1">
        <f t="shared" si="83"/>
        <v>-201.82</v>
      </c>
      <c r="Y99" s="1"/>
      <c r="Z99" s="5">
        <f t="shared" si="84"/>
        <v>-0.67765764555771946</v>
      </c>
    </row>
    <row r="100" spans="1:26" s="24" customFormat="1" hidden="1" outlineLevel="2" x14ac:dyDescent="0.25">
      <c r="A100" s="25"/>
      <c r="B100" s="11" t="str">
        <f>CONCATENATE("          ", "6376", " - ", "TRAINING")</f>
        <v xml:space="preserve">          6376 - TRAINING</v>
      </c>
      <c r="C100" s="11"/>
      <c r="D100" s="6"/>
      <c r="E100" s="2"/>
      <c r="F100" s="7">
        <f t="shared" si="77"/>
        <v>0</v>
      </c>
      <c r="G100" s="2"/>
      <c r="H100" s="6"/>
      <c r="I100" s="2"/>
      <c r="J100" s="7">
        <f t="shared" si="78"/>
        <v>0</v>
      </c>
      <c r="K100" s="2"/>
      <c r="L100" s="6">
        <f t="shared" si="79"/>
        <v>0</v>
      </c>
      <c r="M100" s="2"/>
      <c r="N100" s="7">
        <f t="shared" si="80"/>
        <v>0</v>
      </c>
      <c r="O100" s="11"/>
      <c r="P100" s="6">
        <v>96</v>
      </c>
      <c r="Q100" s="2"/>
      <c r="R100" s="7">
        <f t="shared" si="81"/>
        <v>5.3097823541784013E-5</v>
      </c>
      <c r="S100" s="2"/>
      <c r="T100" s="6">
        <v>297.82</v>
      </c>
      <c r="U100" s="2"/>
      <c r="V100" s="7">
        <f t="shared" si="82"/>
        <v>1.7285946746433613E-4</v>
      </c>
      <c r="W100" s="2"/>
      <c r="X100" s="6">
        <f t="shared" si="83"/>
        <v>-201.82</v>
      </c>
      <c r="Y100" s="2"/>
      <c r="Z100" s="7">
        <f t="shared" si="84"/>
        <v>-0.67765764555771946</v>
      </c>
    </row>
    <row r="101" spans="1:26" s="26" customFormat="1" outlineLevel="1" collapsed="1" x14ac:dyDescent="0.25">
      <c r="A101" s="27"/>
      <c r="B101" s="13" t="str">
        <f>CONCATENATE("     ","Utilities                                         ")</f>
        <v xml:space="preserve">     Utilities                                         </v>
      </c>
      <c r="C101" s="13"/>
      <c r="D101" s="1">
        <f>SUM(OSRRefD22_21x_0)</f>
        <v>1105</v>
      </c>
      <c r="E101" s="1"/>
      <c r="F101" s="5">
        <f t="shared" si="77"/>
        <v>6.0985406054355163E-3</v>
      </c>
      <c r="G101" s="1"/>
      <c r="H101" s="1">
        <f>SUM(OSRRefH22_21x_0)</f>
        <v>1001</v>
      </c>
      <c r="I101" s="1"/>
      <c r="J101" s="5">
        <f t="shared" si="78"/>
        <v>5.9448406681739605E-3</v>
      </c>
      <c r="K101" s="1"/>
      <c r="L101" s="1">
        <f t="shared" si="79"/>
        <v>104</v>
      </c>
      <c r="M101" s="1"/>
      <c r="N101" s="5">
        <f t="shared" si="80"/>
        <v>0.1038961038961039</v>
      </c>
      <c r="O101" s="13"/>
      <c r="P101" s="1">
        <f>SUM(OSRRefP22_21x_0)</f>
        <v>6555.12</v>
      </c>
      <c r="Q101" s="1"/>
      <c r="R101" s="5">
        <f t="shared" si="81"/>
        <v>3.6256521359918667E-3</v>
      </c>
      <c r="S101" s="1"/>
      <c r="T101" s="1">
        <f>SUM(OSRRefT22_21x_0)</f>
        <v>5114.49</v>
      </c>
      <c r="U101" s="1"/>
      <c r="V101" s="5">
        <f t="shared" si="82"/>
        <v>2.9685313872529462E-3</v>
      </c>
      <c r="W101" s="1"/>
      <c r="X101" s="1">
        <f t="shared" si="83"/>
        <v>1440.63</v>
      </c>
      <c r="Y101" s="1"/>
      <c r="Z101" s="5">
        <f t="shared" si="84"/>
        <v>0.28167617885654289</v>
      </c>
    </row>
    <row r="102" spans="1:26" s="24" customFormat="1" hidden="1" outlineLevel="2" x14ac:dyDescent="0.25">
      <c r="A102" s="25"/>
      <c r="B102" s="11" t="str">
        <f>CONCATENATE("          ", "6274", " - ", "UTILITIES")</f>
        <v xml:space="preserve">          6274 - UTILITIES</v>
      </c>
      <c r="C102" s="11"/>
      <c r="D102" s="6">
        <v>1105</v>
      </c>
      <c r="E102" s="2"/>
      <c r="F102" s="7">
        <f t="shared" si="77"/>
        <v>6.0985406054355163E-3</v>
      </c>
      <c r="G102" s="2"/>
      <c r="H102" s="6">
        <v>1001</v>
      </c>
      <c r="I102" s="2"/>
      <c r="J102" s="7">
        <f t="shared" si="78"/>
        <v>5.9448406681739605E-3</v>
      </c>
      <c r="K102" s="2"/>
      <c r="L102" s="6">
        <f t="shared" si="79"/>
        <v>104</v>
      </c>
      <c r="M102" s="2"/>
      <c r="N102" s="7">
        <f t="shared" si="80"/>
        <v>0.1038961038961039</v>
      </c>
      <c r="O102" s="11"/>
      <c r="P102" s="6">
        <v>6555.12</v>
      </c>
      <c r="Q102" s="2"/>
      <c r="R102" s="7">
        <f t="shared" si="81"/>
        <v>3.6256521359918667E-3</v>
      </c>
      <c r="S102" s="2"/>
      <c r="T102" s="6">
        <v>5114.49</v>
      </c>
      <c r="U102" s="2"/>
      <c r="V102" s="7">
        <f t="shared" si="82"/>
        <v>2.9685313872529462E-3</v>
      </c>
      <c r="W102" s="2"/>
      <c r="X102" s="6">
        <f t="shared" si="83"/>
        <v>1440.63</v>
      </c>
      <c r="Y102" s="2"/>
      <c r="Z102" s="7">
        <f t="shared" si="84"/>
        <v>0.28167617885654289</v>
      </c>
    </row>
    <row r="103" spans="1:26" s="59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9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8" t="s">
        <v>3</v>
      </c>
      <c r="C106" s="28"/>
      <c r="D106" s="21">
        <f>+D29-D31+D104</f>
        <v>-1118.4599999999919</v>
      </c>
      <c r="E106" s="14"/>
      <c r="F106" s="22">
        <f>IF(D$12=0,0,D106/D$12)</f>
        <v>-6.1728269009550755E-3</v>
      </c>
      <c r="G106" s="14"/>
      <c r="H106" s="21">
        <f>+H29-H31+H104</f>
        <v>-16335.030000000013</v>
      </c>
      <c r="I106" s="14"/>
      <c r="J106" s="22">
        <f>IF(H$12=0,0,H106/H$12)</f>
        <v>-9.7012138521320443E-2</v>
      </c>
      <c r="K106" s="16"/>
      <c r="L106" s="21">
        <f>+D106-H106</f>
        <v>15216.570000000022</v>
      </c>
      <c r="M106" s="16"/>
      <c r="N106" s="22">
        <f>IF(H106=0,0,L106/H106)</f>
        <v>-0.93152996964192958</v>
      </c>
      <c r="O106" s="29"/>
      <c r="P106" s="21">
        <f>+P29-P31+P104</f>
        <v>212741.31000000006</v>
      </c>
      <c r="Q106" s="14"/>
      <c r="R106" s="22">
        <f>IF(P$12=0,0,P106/P$12)</f>
        <v>0.11766771394195806</v>
      </c>
      <c r="S106" s="14"/>
      <c r="T106" s="21">
        <f>+T29-T31+T104</f>
        <v>207853.30000000016</v>
      </c>
      <c r="U106" s="14"/>
      <c r="V106" s="22">
        <f>IF(T$12=0,0,T106/T$12)</f>
        <v>0.12064136306730551</v>
      </c>
      <c r="W106" s="16"/>
      <c r="X106" s="21">
        <f>+P106-T106</f>
        <v>4888.0099999998929</v>
      </c>
      <c r="Y106" s="16"/>
      <c r="Z106" s="22">
        <f>IF(T106=0,0,X106/T106)</f>
        <v>2.3516634087598749E-2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1"/>
      <c r="B108" s="10" t="s">
        <v>13</v>
      </c>
      <c r="C108" s="10"/>
      <c r="D108" s="4">
        <v>12840.93</v>
      </c>
      <c r="E108" s="4"/>
      <c r="F108" s="12">
        <f>IF(D$12=0,0,D108/D$12)</f>
        <v>7.0869622639416374E-2</v>
      </c>
      <c r="G108" s="4"/>
      <c r="H108" s="4">
        <v>7549.8</v>
      </c>
      <c r="I108" s="4"/>
      <c r="J108" s="12">
        <f>IF(H$12=0,0,H108/H$12)</f>
        <v>4.483752055602374E-2</v>
      </c>
      <c r="K108" s="4"/>
      <c r="L108" s="4">
        <f>+D108-H108</f>
        <v>5291.13</v>
      </c>
      <c r="M108" s="4"/>
      <c r="N108" s="12">
        <f>IF(H108=0,0,L108/H108)</f>
        <v>0.70083048557577687</v>
      </c>
      <c r="O108" s="10"/>
      <c r="P108" s="4">
        <v>188547.09</v>
      </c>
      <c r="Q108" s="4"/>
      <c r="R108" s="12">
        <f>IF(P$12=0,0,P108/P$12)</f>
        <v>0.10428583452225905</v>
      </c>
      <c r="S108" s="4"/>
      <c r="T108" s="4">
        <v>175306.16</v>
      </c>
      <c r="U108" s="4"/>
      <c r="V108" s="12">
        <f>IF(T$12=0,0,T108/T$12)</f>
        <v>0.10175048506083441</v>
      </c>
      <c r="W108" s="4"/>
      <c r="X108" s="4">
        <f>+P108-T108</f>
        <v>13240.929999999993</v>
      </c>
      <c r="Y108" s="4"/>
      <c r="Z108" s="12">
        <f>IF(T108=0,0,X108/T108)</f>
        <v>7.553031793064198E-2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8" t="s">
        <v>4</v>
      </c>
      <c r="C110" s="28"/>
      <c r="D110" s="34">
        <f>+D106-D108</f>
        <v>-13959.389999999992</v>
      </c>
      <c r="E110" s="14"/>
      <c r="F110" s="31">
        <f>IF(D$12=0,0,D110/D$12)</f>
        <v>-7.7042449540371441E-2</v>
      </c>
      <c r="G110" s="14"/>
      <c r="H110" s="34">
        <f>+H106-H108</f>
        <v>-23884.830000000013</v>
      </c>
      <c r="I110" s="14"/>
      <c r="J110" s="31">
        <f>IF(H$12=0,0,H110/H$12)</f>
        <v>-0.14184965907734418</v>
      </c>
      <c r="K110" s="16"/>
      <c r="L110" s="34">
        <f>D110-H110</f>
        <v>9925.4400000000205</v>
      </c>
      <c r="M110" s="16"/>
      <c r="N110" s="31">
        <f>IF(H110=0,0,L110/H110)</f>
        <v>-0.41555414043139577</v>
      </c>
      <c r="O110" s="29"/>
      <c r="P110" s="34">
        <f>+P106-P108</f>
        <v>24194.220000000059</v>
      </c>
      <c r="Q110" s="14"/>
      <c r="R110" s="31">
        <f>IF(P$12=0,0,P110/P$12)</f>
        <v>1.3381879419699007E-2</v>
      </c>
      <c r="S110" s="14"/>
      <c r="T110" s="34">
        <f>+T106-T108</f>
        <v>32547.140000000159</v>
      </c>
      <c r="U110" s="14"/>
      <c r="V110" s="31">
        <f>IF(T$12=0,0,T110/T$12)</f>
        <v>1.8890878006471091E-2</v>
      </c>
      <c r="W110" s="16"/>
      <c r="X110" s="34">
        <f>P110-T110</f>
        <v>-8352.9200000001001</v>
      </c>
      <c r="Y110" s="16"/>
      <c r="Z110" s="31">
        <f>IF(T110=0,0,X110/T110)</f>
        <v>-0.25664067564769316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5</v>
      </c>
      <c r="C113" s="28"/>
      <c r="D113" s="30">
        <f>SUM(D110:D112)</f>
        <v>-13959.389999999992</v>
      </c>
      <c r="E113" s="14"/>
      <c r="F113" s="33">
        <f>IF(D$12=0,0,D113/D$12)</f>
        <v>-7.7042449540371441E-2</v>
      </c>
      <c r="G113" s="14"/>
      <c r="H113" s="30">
        <f>SUM(H110:H112)</f>
        <v>-23884.830000000013</v>
      </c>
      <c r="I113" s="14"/>
      <c r="J113" s="33">
        <f>IF(H$12=0,0,H113/H$12)</f>
        <v>-0.14184965907734418</v>
      </c>
      <c r="K113" s="16"/>
      <c r="L113" s="30">
        <f>+D113-H113</f>
        <v>9925.4400000000205</v>
      </c>
      <c r="M113" s="16"/>
      <c r="N113" s="33">
        <f>IF(H113=0,0,L113/H113)</f>
        <v>-0.41555414043139577</v>
      </c>
      <c r="O113" s="29"/>
      <c r="P113" s="30">
        <f>SUM(P110:P112)</f>
        <v>24194.220000000059</v>
      </c>
      <c r="Q113" s="14"/>
      <c r="R113" s="33">
        <f>IF(P$12=0,0,P113/P$12)</f>
        <v>1.3381879419699007E-2</v>
      </c>
      <c r="S113" s="14"/>
      <c r="T113" s="30">
        <f>SUM(T110:T112)</f>
        <v>32547.140000000159</v>
      </c>
      <c r="U113" s="14"/>
      <c r="V113" s="33">
        <f>IF(T$12=0,0,T113/T$12)</f>
        <v>1.8890878006471091E-2</v>
      </c>
      <c r="W113" s="16"/>
      <c r="X113" s="30">
        <f>+P113-T113</f>
        <v>-8352.9200000001001</v>
      </c>
      <c r="Y113" s="16"/>
      <c r="Z113" s="33">
        <f>IF(T113=0,0,X113/T113)</f>
        <v>-0.25664067564769316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1">
        <v>43879.553301041669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5" t="s">
        <v>313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8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","309", " - ", "Carts")</f>
        <v>Department 309 - Carts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20026.32</v>
      </c>
      <c r="E12" s="4"/>
      <c r="F12" s="12"/>
      <c r="G12" s="4"/>
      <c r="H12" s="4">
        <f>SUM(OSRRefH13x_0)</f>
        <v>18686.89</v>
      </c>
      <c r="I12" s="4"/>
      <c r="J12" s="12"/>
      <c r="K12" s="4"/>
      <c r="L12" s="4">
        <f t="shared" ref="L12:L14" si="0">+D12-H12</f>
        <v>1339.4300000000003</v>
      </c>
      <c r="M12" s="4"/>
      <c r="N12" s="12">
        <f t="shared" ref="N12:N14" si="1">IF(H12=0,0,L12/H12)</f>
        <v>7.1677523654283856E-2</v>
      </c>
      <c r="O12" s="10"/>
      <c r="P12" s="4">
        <f>SUM(OSRRefP13x_0)</f>
        <v>219221.16</v>
      </c>
      <c r="Q12" s="4"/>
      <c r="R12" s="12"/>
      <c r="S12" s="4"/>
      <c r="T12" s="4">
        <f>SUM(OSRRefT13x_0)</f>
        <v>224051.77</v>
      </c>
      <c r="U12" s="4"/>
      <c r="V12" s="12"/>
      <c r="W12" s="4"/>
      <c r="X12" s="4">
        <f t="shared" ref="X12:X14" si="2">+P12-T12</f>
        <v>-4830.609999999986</v>
      </c>
      <c r="Y12" s="4"/>
      <c r="Z12" s="12">
        <f t="shared" ref="Z12:Z14" si="3">IF(T12=0,0,X12/T12)</f>
        <v>-2.1560240296249329E-2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--3424.49</f>
        <v>3424.49</v>
      </c>
      <c r="E13" s="2"/>
      <c r="F13" s="19"/>
      <c r="G13" s="2"/>
      <c r="H13" s="2">
        <f>--3648.47</f>
        <v>3648.47</v>
      </c>
      <c r="I13" s="2"/>
      <c r="J13" s="19"/>
      <c r="K13" s="2"/>
      <c r="L13" s="2">
        <f t="shared" si="0"/>
        <v>-223.98000000000002</v>
      </c>
      <c r="M13" s="2"/>
      <c r="N13" s="19">
        <f t="shared" si="1"/>
        <v>-6.1390116953133789E-2</v>
      </c>
      <c r="O13" s="11"/>
      <c r="P13" s="2">
        <f>--48664.18</f>
        <v>48664.18</v>
      </c>
      <c r="Q13" s="2"/>
      <c r="R13" s="19"/>
      <c r="S13" s="2"/>
      <c r="T13" s="2">
        <f>--48878.25</f>
        <v>48878.25</v>
      </c>
      <c r="U13" s="2"/>
      <c r="V13" s="19"/>
      <c r="W13" s="2"/>
      <c r="X13" s="2">
        <f t="shared" si="2"/>
        <v>-214.06999999999971</v>
      </c>
      <c r="Y13" s="2"/>
      <c r="Z13" s="19">
        <f t="shared" si="3"/>
        <v>-4.3796576186749666E-3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--16601.83</f>
        <v>16601.830000000002</v>
      </c>
      <c r="E14" s="2"/>
      <c r="F14" s="19"/>
      <c r="G14" s="2"/>
      <c r="H14" s="2">
        <f>--15038.42</f>
        <v>15038.42</v>
      </c>
      <c r="I14" s="2"/>
      <c r="J14" s="19"/>
      <c r="K14" s="2"/>
      <c r="L14" s="2">
        <f t="shared" si="0"/>
        <v>1563.4100000000017</v>
      </c>
      <c r="M14" s="2"/>
      <c r="N14" s="19">
        <f t="shared" si="1"/>
        <v>0.10396105441928086</v>
      </c>
      <c r="O14" s="11"/>
      <c r="P14" s="2">
        <f>--170556.98</f>
        <v>170556.98</v>
      </c>
      <c r="Q14" s="2"/>
      <c r="R14" s="19"/>
      <c r="S14" s="2"/>
      <c r="T14" s="2">
        <f>--175173.52</f>
        <v>175173.52</v>
      </c>
      <c r="U14" s="2"/>
      <c r="V14" s="19"/>
      <c r="W14" s="2"/>
      <c r="X14" s="2">
        <f t="shared" si="2"/>
        <v>-4616.539999999979</v>
      </c>
      <c r="Y14" s="2"/>
      <c r="Z14" s="19">
        <f t="shared" si="3"/>
        <v>-2.635409735444021E-2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9912.7100000000009</v>
      </c>
      <c r="E16" s="4"/>
      <c r="F16" s="12">
        <f t="shared" ref="F16:F18" si="4">IF(D$12=0,0,D16/D$12)</f>
        <v>0.49498410092318512</v>
      </c>
      <c r="G16" s="4"/>
      <c r="H16" s="4">
        <f>SUM(OSRRefH16x_0)</f>
        <v>8782.7300000000032</v>
      </c>
      <c r="I16" s="4"/>
      <c r="J16" s="12">
        <f t="shared" ref="J16:J18" si="5">IF(H$12=0,0,H16/H$12)</f>
        <v>0.4699942044930967</v>
      </c>
      <c r="K16" s="4"/>
      <c r="L16" s="4">
        <f t="shared" ref="L16:L18" si="6">+D16-H16</f>
        <v>1129.9799999999977</v>
      </c>
      <c r="M16" s="4"/>
      <c r="N16" s="12">
        <f t="shared" ref="N16:N18" si="7">IF(H16=0,0,L16/H16)</f>
        <v>0.12865931208177836</v>
      </c>
      <c r="O16" s="10"/>
      <c r="P16" s="4">
        <f>SUM(OSRRefP16x_0)</f>
        <v>101399.76000000001</v>
      </c>
      <c r="Q16" s="4"/>
      <c r="R16" s="12">
        <f t="shared" ref="R16:R18" si="8">IF(P$12=0,0,P16/P$12)</f>
        <v>0.46254549515201909</v>
      </c>
      <c r="S16" s="4"/>
      <c r="T16" s="4">
        <f>SUM(OSRRefT16x_0)</f>
        <v>111012.58</v>
      </c>
      <c r="U16" s="4"/>
      <c r="V16" s="12">
        <f t="shared" ref="V16:V18" si="9">IF(T$12=0,0,T16/T$12)</f>
        <v>0.49547736221856231</v>
      </c>
      <c r="W16" s="4"/>
      <c r="X16" s="4">
        <f t="shared" ref="X16:X18" si="10">+P16-T16</f>
        <v>-9612.8199999999924</v>
      </c>
      <c r="Y16" s="4"/>
      <c r="Z16" s="12">
        <f t="shared" ref="Z16:Z18" si="11">IF(T16=0,0,X16/T16)</f>
        <v>-8.6592168202918915E-2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16737.310000000001</v>
      </c>
      <c r="E17" s="2"/>
      <c r="F17" s="19">
        <f t="shared" si="4"/>
        <v>0.83576563242772517</v>
      </c>
      <c r="G17" s="2"/>
      <c r="H17" s="2">
        <v>16866.710000000003</v>
      </c>
      <c r="I17" s="2"/>
      <c r="J17" s="19">
        <f t="shared" si="5"/>
        <v>0.90259588406631619</v>
      </c>
      <c r="K17" s="2"/>
      <c r="L17" s="2">
        <f t="shared" si="6"/>
        <v>-129.40000000000146</v>
      </c>
      <c r="M17" s="2"/>
      <c r="N17" s="19">
        <f t="shared" si="7"/>
        <v>-7.6719170484345458E-3</v>
      </c>
      <c r="O17" s="11"/>
      <c r="P17" s="2">
        <v>111094.05</v>
      </c>
      <c r="Q17" s="2"/>
      <c r="R17" s="19">
        <f t="shared" si="8"/>
        <v>0.50676700187153467</v>
      </c>
      <c r="S17" s="2"/>
      <c r="T17" s="2">
        <v>110220.97</v>
      </c>
      <c r="U17" s="2"/>
      <c r="V17" s="19">
        <f t="shared" si="9"/>
        <v>0.49194420557356011</v>
      </c>
      <c r="W17" s="2"/>
      <c r="X17" s="2">
        <f t="shared" si="10"/>
        <v>873.08000000000175</v>
      </c>
      <c r="Y17" s="2"/>
      <c r="Z17" s="19">
        <f t="shared" si="11"/>
        <v>7.9211787012943343E-3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-6824.6</v>
      </c>
      <c r="E18" s="2"/>
      <c r="F18" s="19">
        <f t="shared" si="4"/>
        <v>-0.34078153150454005</v>
      </c>
      <c r="G18" s="2"/>
      <c r="H18" s="2">
        <v>-8083.98</v>
      </c>
      <c r="I18" s="2"/>
      <c r="J18" s="19">
        <f t="shared" si="5"/>
        <v>-0.43260167957321949</v>
      </c>
      <c r="K18" s="2"/>
      <c r="L18" s="2">
        <f t="shared" si="6"/>
        <v>1259.3799999999992</v>
      </c>
      <c r="M18" s="2"/>
      <c r="N18" s="19">
        <f t="shared" si="7"/>
        <v>-0.15578712465889319</v>
      </c>
      <c r="O18" s="11"/>
      <c r="P18" s="2">
        <v>-9694.2900000000009</v>
      </c>
      <c r="Q18" s="2"/>
      <c r="R18" s="19">
        <f t="shared" si="8"/>
        <v>-4.422150671951558E-2</v>
      </c>
      <c r="S18" s="2"/>
      <c r="T18" s="2">
        <v>791.61</v>
      </c>
      <c r="U18" s="2"/>
      <c r="V18" s="19">
        <f t="shared" si="9"/>
        <v>3.5331566450021797E-3</v>
      </c>
      <c r="W18" s="2"/>
      <c r="X18" s="2">
        <f t="shared" si="10"/>
        <v>-10485.900000000001</v>
      </c>
      <c r="Y18" s="2"/>
      <c r="Z18" s="19">
        <f t="shared" si="11"/>
        <v>-13.246295524311215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10113.609999999999</v>
      </c>
      <c r="E20" s="14"/>
      <c r="F20" s="22">
        <f>IF(D$12=0,0,D20/D$12)</f>
        <v>0.50501589907681488</v>
      </c>
      <c r="G20" s="14"/>
      <c r="H20" s="21">
        <f>H12-H16</f>
        <v>9904.1599999999962</v>
      </c>
      <c r="I20" s="14"/>
      <c r="J20" s="22">
        <f>IF(H$12=0,0,H20/H$12)</f>
        <v>0.5300057955069033</v>
      </c>
      <c r="K20" s="16"/>
      <c r="L20" s="21">
        <f>+D20-H20</f>
        <v>209.45000000000255</v>
      </c>
      <c r="M20" s="16"/>
      <c r="N20" s="22">
        <f>IF(H20=0,0,L20/H20)</f>
        <v>2.1147679358976695E-2</v>
      </c>
      <c r="O20" s="29"/>
      <c r="P20" s="21">
        <f>P12-P16</f>
        <v>117821.4</v>
      </c>
      <c r="Q20" s="14"/>
      <c r="R20" s="22">
        <f>IF(P$12=0,0,P20/P$12)</f>
        <v>0.53745450484798085</v>
      </c>
      <c r="S20" s="14"/>
      <c r="T20" s="21">
        <f>T12-T16</f>
        <v>113039.18999999999</v>
      </c>
      <c r="U20" s="14"/>
      <c r="V20" s="22">
        <f>IF(T$12=0,0,T20/T$12)</f>
        <v>0.50452263778143769</v>
      </c>
      <c r="W20" s="16"/>
      <c r="X20" s="21">
        <f>+P20-T20</f>
        <v>4782.2100000000064</v>
      </c>
      <c r="Y20" s="16"/>
      <c r="Z20" s="22">
        <f>IF(T20=0,0,X20/T20)</f>
        <v>4.2305770237737968E-2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11594.89</v>
      </c>
      <c r="E22" s="20"/>
      <c r="F22" s="32">
        <f t="shared" ref="F22:F31" si="12">IF(D$12=0,0,D22/D$12)</f>
        <v>0.57898255895241857</v>
      </c>
      <c r="G22" s="20"/>
      <c r="H22" s="20">
        <f>SUM(OSRRefH22x_0)</f>
        <v>13869.52</v>
      </c>
      <c r="I22" s="20"/>
      <c r="J22" s="32">
        <f t="shared" ref="J22:J31" si="13">IF(H$12=0,0,H22/H$12)</f>
        <v>0.74220589943002824</v>
      </c>
      <c r="K22" s="4"/>
      <c r="L22" s="20">
        <f t="shared" ref="L22:L31" si="14">+D22-H22</f>
        <v>-2274.630000000001</v>
      </c>
      <c r="M22" s="4"/>
      <c r="N22" s="32">
        <f t="shared" ref="N22:N31" si="15">IF(H22=0,0,L22/H22)</f>
        <v>-0.16400207072775416</v>
      </c>
      <c r="O22" s="10"/>
      <c r="P22" s="20">
        <f>SUM(OSRRefP22x_0)</f>
        <v>100955.21999999999</v>
      </c>
      <c r="Q22" s="20"/>
      <c r="R22" s="32">
        <f t="shared" ref="R22:R31" si="16">IF(P$12=0,0,P22/P$12)</f>
        <v>0.46051767995388759</v>
      </c>
      <c r="S22" s="20"/>
      <c r="T22" s="20">
        <f>SUM(OSRRefT22x_0)</f>
        <v>105463.57000000005</v>
      </c>
      <c r="U22" s="20"/>
      <c r="V22" s="32">
        <f t="shared" ref="V22:V31" si="17">IF(T$12=0,0,T22/T$12)</f>
        <v>0.47071072011615911</v>
      </c>
      <c r="W22" s="4"/>
      <c r="X22" s="20">
        <f t="shared" ref="X22:X31" si="18">+P22-T22</f>
        <v>-4508.350000000064</v>
      </c>
      <c r="Y22" s="4"/>
      <c r="Z22" s="32">
        <f t="shared" ref="Z22:Z31" si="19">IF(T22=0,0,X22/T22)</f>
        <v>-4.2747936562360464E-2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333.53000000000003</v>
      </c>
      <c r="E23" s="1"/>
      <c r="F23" s="5">
        <f t="shared" si="12"/>
        <v>1.6654582569338751E-2</v>
      </c>
      <c r="G23" s="1"/>
      <c r="H23" s="1">
        <f>SUM(OSRRefH22_0x_0)</f>
        <v>3367.6700000000005</v>
      </c>
      <c r="I23" s="1"/>
      <c r="J23" s="5">
        <f t="shared" si="13"/>
        <v>0.18021564851080094</v>
      </c>
      <c r="K23" s="1"/>
      <c r="L23" s="1">
        <f t="shared" si="14"/>
        <v>-3034.1400000000003</v>
      </c>
      <c r="M23" s="1"/>
      <c r="N23" s="5">
        <f t="shared" si="15"/>
        <v>-0.90096119869227087</v>
      </c>
      <c r="O23" s="13"/>
      <c r="P23" s="1">
        <f>SUM(OSRRefP22_0x_0)</f>
        <v>11457.009999999998</v>
      </c>
      <c r="Q23" s="1"/>
      <c r="R23" s="5">
        <f t="shared" si="16"/>
        <v>5.2262336354756987E-2</v>
      </c>
      <c r="S23" s="1"/>
      <c r="T23" s="1">
        <f>SUM(OSRRefT22_0x_0)</f>
        <v>22394.340000000004</v>
      </c>
      <c r="U23" s="1"/>
      <c r="V23" s="5">
        <f t="shared" si="17"/>
        <v>9.9951631714402453E-2</v>
      </c>
      <c r="W23" s="1"/>
      <c r="X23" s="1">
        <f t="shared" si="18"/>
        <v>-10937.330000000005</v>
      </c>
      <c r="Y23" s="1"/>
      <c r="Z23" s="5">
        <f t="shared" si="19"/>
        <v>-0.48839706818776546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247.88</v>
      </c>
      <c r="E24" s="2"/>
      <c r="F24" s="7">
        <f t="shared" si="12"/>
        <v>1.2377710932412944E-2</v>
      </c>
      <c r="G24" s="2"/>
      <c r="H24" s="6">
        <v>367.71</v>
      </c>
      <c r="I24" s="2"/>
      <c r="J24" s="7">
        <f t="shared" si="13"/>
        <v>1.9677431611145567E-2</v>
      </c>
      <c r="K24" s="2"/>
      <c r="L24" s="6">
        <f t="shared" si="14"/>
        <v>-119.82999999999998</v>
      </c>
      <c r="M24" s="2"/>
      <c r="N24" s="7">
        <f t="shared" si="15"/>
        <v>-0.32588180903429331</v>
      </c>
      <c r="O24" s="11"/>
      <c r="P24" s="6">
        <v>2626.27</v>
      </c>
      <c r="Q24" s="2"/>
      <c r="R24" s="7">
        <f t="shared" si="16"/>
        <v>1.1980002295398856E-2</v>
      </c>
      <c r="S24" s="2"/>
      <c r="T24" s="6">
        <v>3161.7</v>
      </c>
      <c r="U24" s="2"/>
      <c r="V24" s="7">
        <f t="shared" si="17"/>
        <v>1.4111470755174127E-2</v>
      </c>
      <c r="W24" s="2"/>
      <c r="X24" s="6">
        <f t="shared" si="18"/>
        <v>-535.42999999999984</v>
      </c>
      <c r="Y24" s="2"/>
      <c r="Z24" s="7">
        <f t="shared" si="19"/>
        <v>-0.16934876806781157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75.34</v>
      </c>
      <c r="E25" s="2"/>
      <c r="F25" s="7">
        <f t="shared" si="12"/>
        <v>3.7620491433273816E-3</v>
      </c>
      <c r="G25" s="2"/>
      <c r="H25" s="6">
        <v>77.91</v>
      </c>
      <c r="I25" s="2"/>
      <c r="J25" s="7">
        <f t="shared" si="13"/>
        <v>4.1692330826584838E-3</v>
      </c>
      <c r="K25" s="2"/>
      <c r="L25" s="6">
        <f t="shared" si="14"/>
        <v>-2.5699999999999932</v>
      </c>
      <c r="M25" s="2"/>
      <c r="N25" s="7">
        <f t="shared" si="15"/>
        <v>-3.2986779617507296E-2</v>
      </c>
      <c r="O25" s="11"/>
      <c r="P25" s="6">
        <v>972.97</v>
      </c>
      <c r="Q25" s="2"/>
      <c r="R25" s="7">
        <f t="shared" si="16"/>
        <v>4.4383033097717389E-3</v>
      </c>
      <c r="S25" s="2"/>
      <c r="T25" s="6">
        <v>817.15</v>
      </c>
      <c r="U25" s="2"/>
      <c r="V25" s="7">
        <f t="shared" si="17"/>
        <v>3.6471481568746368E-3</v>
      </c>
      <c r="W25" s="2"/>
      <c r="X25" s="6">
        <f t="shared" si="18"/>
        <v>155.82000000000005</v>
      </c>
      <c r="Y25" s="2"/>
      <c r="Z25" s="7">
        <f t="shared" si="19"/>
        <v>0.19068714434314393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2"/>
        <v>0</v>
      </c>
      <c r="G26" s="2"/>
      <c r="H26" s="6">
        <v>1901.24</v>
      </c>
      <c r="I26" s="2"/>
      <c r="J26" s="7">
        <f t="shared" si="13"/>
        <v>0.10174191639165212</v>
      </c>
      <c r="K26" s="2"/>
      <c r="L26" s="6">
        <f t="shared" si="14"/>
        <v>-1901.24</v>
      </c>
      <c r="M26" s="2"/>
      <c r="N26" s="7">
        <f t="shared" si="15"/>
        <v>-1</v>
      </c>
      <c r="O26" s="11"/>
      <c r="P26" s="6">
        <v>4829.7</v>
      </c>
      <c r="Q26" s="2"/>
      <c r="R26" s="7">
        <f t="shared" si="16"/>
        <v>2.2031176187554156E-2</v>
      </c>
      <c r="S26" s="2"/>
      <c r="T26" s="6">
        <v>12665.9</v>
      </c>
      <c r="U26" s="2"/>
      <c r="V26" s="7">
        <f t="shared" si="17"/>
        <v>5.6531131175620704E-2</v>
      </c>
      <c r="W26" s="2"/>
      <c r="X26" s="6">
        <f t="shared" si="18"/>
        <v>-7836.2</v>
      </c>
      <c r="Y26" s="2"/>
      <c r="Z26" s="7">
        <f t="shared" si="19"/>
        <v>-0.61868481513354756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10.31</v>
      </c>
      <c r="E27" s="2"/>
      <c r="F27" s="7">
        <f t="shared" si="12"/>
        <v>5.1482249359842446E-4</v>
      </c>
      <c r="G27" s="2"/>
      <c r="H27" s="6">
        <v>17.02</v>
      </c>
      <c r="I27" s="2"/>
      <c r="J27" s="7">
        <f t="shared" si="13"/>
        <v>9.1079896119686048E-4</v>
      </c>
      <c r="K27" s="2"/>
      <c r="L27" s="6">
        <f t="shared" si="14"/>
        <v>-6.7099999999999991</v>
      </c>
      <c r="M27" s="2"/>
      <c r="N27" s="7">
        <f t="shared" si="15"/>
        <v>-0.39424206815511159</v>
      </c>
      <c r="O27" s="11"/>
      <c r="P27" s="6">
        <v>146.19999999999999</v>
      </c>
      <c r="Q27" s="2"/>
      <c r="R27" s="7">
        <f t="shared" si="16"/>
        <v>6.6690642454405398E-4</v>
      </c>
      <c r="S27" s="2"/>
      <c r="T27" s="6">
        <v>178.54</v>
      </c>
      <c r="U27" s="2"/>
      <c r="V27" s="7">
        <f t="shared" si="17"/>
        <v>7.9686940210291581E-4</v>
      </c>
      <c r="W27" s="2"/>
      <c r="X27" s="6">
        <f t="shared" si="18"/>
        <v>-32.340000000000003</v>
      </c>
      <c r="Y27" s="2"/>
      <c r="Z27" s="7">
        <f t="shared" si="19"/>
        <v>-0.18113587991486504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>
        <v>386.76</v>
      </c>
      <c r="I28" s="2"/>
      <c r="J28" s="7">
        <f t="shared" si="13"/>
        <v>2.069686288087531E-2</v>
      </c>
      <c r="K28" s="2"/>
      <c r="L28" s="6">
        <f t="shared" si="14"/>
        <v>-386.76</v>
      </c>
      <c r="M28" s="2"/>
      <c r="N28" s="7">
        <f t="shared" si="15"/>
        <v>-1</v>
      </c>
      <c r="O28" s="11"/>
      <c r="P28" s="6">
        <v>938.77</v>
      </c>
      <c r="Q28" s="2"/>
      <c r="R28" s="7">
        <f t="shared" si="16"/>
        <v>4.2822964717457021E-3</v>
      </c>
      <c r="S28" s="2"/>
      <c r="T28" s="6">
        <v>1995.54</v>
      </c>
      <c r="U28" s="2"/>
      <c r="V28" s="7">
        <f t="shared" si="17"/>
        <v>8.9066022553626785E-3</v>
      </c>
      <c r="W28" s="2"/>
      <c r="X28" s="6">
        <f t="shared" si="18"/>
        <v>-1056.77</v>
      </c>
      <c r="Y28" s="2"/>
      <c r="Z28" s="7">
        <f t="shared" si="19"/>
        <v>-0.52956593202842339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176.03</v>
      </c>
      <c r="I29" s="2"/>
      <c r="J29" s="7">
        <f t="shared" si="13"/>
        <v>9.4199730399226415E-3</v>
      </c>
      <c r="K29" s="2"/>
      <c r="L29" s="6">
        <f t="shared" si="14"/>
        <v>-176.03</v>
      </c>
      <c r="M29" s="2"/>
      <c r="N29" s="7">
        <f t="shared" si="15"/>
        <v>-1</v>
      </c>
      <c r="O29" s="11"/>
      <c r="P29" s="6">
        <v>480.48</v>
      </c>
      <c r="Q29" s="2"/>
      <c r="R29" s="7">
        <f t="shared" si="16"/>
        <v>2.1917592261622922E-3</v>
      </c>
      <c r="S29" s="2"/>
      <c r="T29" s="6">
        <v>1091.8800000000001</v>
      </c>
      <c r="U29" s="2"/>
      <c r="V29" s="7">
        <f t="shared" si="17"/>
        <v>4.8733379789858396E-3</v>
      </c>
      <c r="W29" s="2"/>
      <c r="X29" s="6">
        <f t="shared" si="18"/>
        <v>-611.40000000000009</v>
      </c>
      <c r="Y29" s="2"/>
      <c r="Z29" s="7">
        <f t="shared" si="19"/>
        <v>-0.55995164303769651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291.31</v>
      </c>
      <c r="I30" s="2"/>
      <c r="J30" s="7">
        <f t="shared" si="13"/>
        <v>1.5589003841730753E-2</v>
      </c>
      <c r="K30" s="2"/>
      <c r="L30" s="6">
        <f t="shared" si="14"/>
        <v>-291.31</v>
      </c>
      <c r="M30" s="2"/>
      <c r="N30" s="7">
        <f t="shared" si="15"/>
        <v>-1</v>
      </c>
      <c r="O30" s="11"/>
      <c r="P30" s="6">
        <v>575.64</v>
      </c>
      <c r="Q30" s="2"/>
      <c r="R30" s="7">
        <f t="shared" si="16"/>
        <v>2.625841410564564E-3</v>
      </c>
      <c r="S30" s="2"/>
      <c r="T30" s="6">
        <v>1439.92</v>
      </c>
      <c r="U30" s="2"/>
      <c r="V30" s="7">
        <f t="shared" si="17"/>
        <v>6.4267289653636749E-3</v>
      </c>
      <c r="W30" s="2"/>
      <c r="X30" s="6">
        <f t="shared" si="18"/>
        <v>-864.28000000000009</v>
      </c>
      <c r="Y30" s="2"/>
      <c r="Z30" s="7">
        <f t="shared" si="19"/>
        <v>-0.60022779043280183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2"/>
        <v>0</v>
      </c>
      <c r="G31" s="2"/>
      <c r="H31" s="6">
        <v>149.69</v>
      </c>
      <c r="I31" s="2"/>
      <c r="J31" s="7">
        <f t="shared" si="13"/>
        <v>8.0104287016191569E-3</v>
      </c>
      <c r="K31" s="2"/>
      <c r="L31" s="6">
        <f t="shared" si="14"/>
        <v>-149.69</v>
      </c>
      <c r="M31" s="2"/>
      <c r="N31" s="7">
        <f t="shared" si="15"/>
        <v>-1</v>
      </c>
      <c r="O31" s="11"/>
      <c r="P31" s="6">
        <v>886.98</v>
      </c>
      <c r="Q31" s="2"/>
      <c r="R31" s="7">
        <f t="shared" si="16"/>
        <v>4.0460510290156295E-3</v>
      </c>
      <c r="S31" s="2"/>
      <c r="T31" s="6">
        <v>1043.71</v>
      </c>
      <c r="U31" s="2"/>
      <c r="V31" s="7">
        <f t="shared" si="17"/>
        <v>4.6583430249178574E-3</v>
      </c>
      <c r="W31" s="2"/>
      <c r="X31" s="6">
        <f t="shared" si="18"/>
        <v>-156.73000000000002</v>
      </c>
      <c r="Y31" s="2"/>
      <c r="Z31" s="7">
        <f t="shared" si="19"/>
        <v>-0.15016623391555126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5762.3</v>
      </c>
      <c r="E32" s="1"/>
      <c r="F32" s="5">
        <f t="shared" ref="F32:F37" si="20">IF(D$12=0,0,D32/D$12)</f>
        <v>0.28773633897790507</v>
      </c>
      <c r="G32" s="1"/>
      <c r="H32" s="1">
        <f>SUM(OSRRefH22_1x_0)</f>
        <v>9197.130000000001</v>
      </c>
      <c r="I32" s="1"/>
      <c r="J32" s="5">
        <f t="shared" ref="J32:J37" si="21">IF(H$12=0,0,H32/H$12)</f>
        <v>0.49217017920049838</v>
      </c>
      <c r="K32" s="1"/>
      <c r="L32" s="1">
        <f t="shared" ref="L32:L37" si="22">+D32-H32</f>
        <v>-3434.8300000000008</v>
      </c>
      <c r="M32" s="1"/>
      <c r="N32" s="5">
        <f t="shared" ref="N32:N37" si="23">IF(H32=0,0,L32/H32)</f>
        <v>-0.37346759260769397</v>
      </c>
      <c r="O32" s="13"/>
      <c r="P32" s="1">
        <f>SUM(OSRRefP22_1x_0)</f>
        <v>57399.68</v>
      </c>
      <c r="Q32" s="1"/>
      <c r="R32" s="5">
        <f t="shared" ref="R32:R37" si="24">IF(P$12=0,0,P32/P$12)</f>
        <v>0.26183457837737928</v>
      </c>
      <c r="S32" s="1"/>
      <c r="T32" s="1">
        <f>SUM(OSRRefT22_1x_0)</f>
        <v>63877.72</v>
      </c>
      <c r="U32" s="1"/>
      <c r="V32" s="5">
        <f t="shared" ref="V32:V37" si="25">IF(T$12=0,0,T32/T$12)</f>
        <v>0.28510250108713714</v>
      </c>
      <c r="W32" s="1"/>
      <c r="X32" s="1">
        <f t="shared" ref="X32:X37" si="26">+P32-T32</f>
        <v>-6478.0400000000009</v>
      </c>
      <c r="Y32" s="1"/>
      <c r="Z32" s="5">
        <f t="shared" ref="Z32:Z37" si="27">IF(T32=0,0,X32/T32)</f>
        <v>-0.10141313747578969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4800</v>
      </c>
      <c r="I33" s="2"/>
      <c r="J33" s="7">
        <f t="shared" si="21"/>
        <v>0.25686457190040718</v>
      </c>
      <c r="K33" s="2"/>
      <c r="L33" s="6">
        <f t="shared" si="22"/>
        <v>-4800</v>
      </c>
      <c r="M33" s="2"/>
      <c r="N33" s="7">
        <f t="shared" si="23"/>
        <v>-1</v>
      </c>
      <c r="O33" s="11"/>
      <c r="P33" s="6">
        <v>9840</v>
      </c>
      <c r="Q33" s="2"/>
      <c r="R33" s="7">
        <f t="shared" si="24"/>
        <v>4.488617795836862E-2</v>
      </c>
      <c r="S33" s="2"/>
      <c r="T33" s="6">
        <v>26372.32</v>
      </c>
      <c r="U33" s="2"/>
      <c r="V33" s="7">
        <f t="shared" si="25"/>
        <v>0.11770636759531068</v>
      </c>
      <c r="W33" s="2"/>
      <c r="X33" s="6">
        <f t="shared" si="26"/>
        <v>-16532.32</v>
      </c>
      <c r="Y33" s="2"/>
      <c r="Z33" s="7">
        <f t="shared" si="27"/>
        <v>-0.62688151819786808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3240.3</v>
      </c>
      <c r="E34" s="2"/>
      <c r="F34" s="7">
        <f t="shared" si="20"/>
        <v>0.16180206847788312</v>
      </c>
      <c r="G34" s="2"/>
      <c r="H34" s="6">
        <v>395.5</v>
      </c>
      <c r="I34" s="2"/>
      <c r="J34" s="7">
        <f t="shared" si="21"/>
        <v>2.1164570455543968E-2</v>
      </c>
      <c r="K34" s="2"/>
      <c r="L34" s="6">
        <f t="shared" si="22"/>
        <v>2844.8</v>
      </c>
      <c r="M34" s="2"/>
      <c r="N34" s="7">
        <f t="shared" si="23"/>
        <v>7.1929203539823012</v>
      </c>
      <c r="O34" s="11"/>
      <c r="P34" s="6">
        <v>18229.060000000001</v>
      </c>
      <c r="Q34" s="2"/>
      <c r="R34" s="7">
        <f t="shared" si="24"/>
        <v>8.3153743005465353E-2</v>
      </c>
      <c r="S34" s="2"/>
      <c r="T34" s="6">
        <v>3958.73</v>
      </c>
      <c r="U34" s="2"/>
      <c r="V34" s="7">
        <f t="shared" si="25"/>
        <v>1.7668818237856369E-2</v>
      </c>
      <c r="W34" s="2"/>
      <c r="X34" s="6">
        <f t="shared" si="26"/>
        <v>14270.330000000002</v>
      </c>
      <c r="Y34" s="2"/>
      <c r="Z34" s="7">
        <f t="shared" si="27"/>
        <v>3.6047747636236878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408.56</v>
      </c>
      <c r="I35" s="2"/>
      <c r="J35" s="7">
        <f t="shared" si="21"/>
        <v>2.1863456144922994E-2</v>
      </c>
      <c r="K35" s="2"/>
      <c r="L35" s="6">
        <f t="shared" si="22"/>
        <v>-408.56</v>
      </c>
      <c r="M35" s="2"/>
      <c r="N35" s="7">
        <f t="shared" si="23"/>
        <v>-1</v>
      </c>
      <c r="O35" s="11"/>
      <c r="P35" s="6">
        <v>285.19</v>
      </c>
      <c r="Q35" s="2"/>
      <c r="R35" s="7">
        <f t="shared" si="24"/>
        <v>1.3009236882060107E-3</v>
      </c>
      <c r="S35" s="2"/>
      <c r="T35" s="6">
        <v>5008.43</v>
      </c>
      <c r="U35" s="2"/>
      <c r="V35" s="7">
        <f t="shared" si="25"/>
        <v>2.2353896155339458E-2</v>
      </c>
      <c r="W35" s="2"/>
      <c r="X35" s="6">
        <f t="shared" si="26"/>
        <v>-4723.2400000000007</v>
      </c>
      <c r="Y35" s="2"/>
      <c r="Z35" s="7">
        <f t="shared" si="27"/>
        <v>-0.94305800420491059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2522</v>
      </c>
      <c r="E36" s="2"/>
      <c r="F36" s="7">
        <f t="shared" si="20"/>
        <v>0.12593427050002198</v>
      </c>
      <c r="G36" s="2"/>
      <c r="H36" s="6">
        <v>3593.07</v>
      </c>
      <c r="I36" s="2"/>
      <c r="J36" s="7">
        <f t="shared" si="21"/>
        <v>0.1922775806996242</v>
      </c>
      <c r="K36" s="2"/>
      <c r="L36" s="6">
        <f t="shared" si="22"/>
        <v>-1071.0700000000002</v>
      </c>
      <c r="M36" s="2"/>
      <c r="N36" s="7">
        <f t="shared" si="23"/>
        <v>-0.29809327399688851</v>
      </c>
      <c r="O36" s="11"/>
      <c r="P36" s="6">
        <v>28988.43</v>
      </c>
      <c r="Q36" s="2"/>
      <c r="R36" s="7">
        <f t="shared" si="24"/>
        <v>0.13223372232862923</v>
      </c>
      <c r="S36" s="2"/>
      <c r="T36" s="6">
        <v>27152.240000000002</v>
      </c>
      <c r="U36" s="2"/>
      <c r="V36" s="7">
        <f t="shared" si="25"/>
        <v>0.12118734879889591</v>
      </c>
      <c r="W36" s="2"/>
      <c r="X36" s="6">
        <f t="shared" si="26"/>
        <v>1836.1899999999987</v>
      </c>
      <c r="Y36" s="2"/>
      <c r="Z36" s="7">
        <f t="shared" si="27"/>
        <v>6.7625728116722544E-2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57</v>
      </c>
      <c r="Q37" s="2"/>
      <c r="R37" s="7">
        <f t="shared" si="24"/>
        <v>2.6001139671006209E-4</v>
      </c>
      <c r="S37" s="2"/>
      <c r="T37" s="6">
        <v>1386</v>
      </c>
      <c r="U37" s="2"/>
      <c r="V37" s="7">
        <f t="shared" si="25"/>
        <v>6.1860702997347449E-3</v>
      </c>
      <c r="W37" s="2"/>
      <c r="X37" s="6">
        <f t="shared" si="26"/>
        <v>-1329</v>
      </c>
      <c r="Y37" s="2"/>
      <c r="Z37" s="7">
        <f t="shared" si="27"/>
        <v>-0.95887445887445888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22.4</v>
      </c>
      <c r="E38" s="1"/>
      <c r="F38" s="5">
        <f t="shared" ref="F38:F54" si="28">IF(D$12=0,0,D38/D$12)</f>
        <v>1.1185280171294575E-3</v>
      </c>
      <c r="G38" s="1"/>
      <c r="H38" s="1">
        <f>SUM(OSRRefH22_2x_0)</f>
        <v>316.85000000000002</v>
      </c>
      <c r="I38" s="1"/>
      <c r="J38" s="5">
        <f t="shared" ref="J38:J54" si="29">IF(H$12=0,0,H38/H$12)</f>
        <v>1.6955737418050839E-2</v>
      </c>
      <c r="K38" s="1"/>
      <c r="L38" s="1">
        <f t="shared" ref="L38:L54" si="30">+D38-H38</f>
        <v>-294.45000000000005</v>
      </c>
      <c r="M38" s="1"/>
      <c r="N38" s="5">
        <f t="shared" ref="N38:N54" si="31">IF(H38=0,0,L38/H38)</f>
        <v>-0.92930408710746415</v>
      </c>
      <c r="O38" s="13"/>
      <c r="P38" s="1">
        <f>SUM(OSRRefP22_2x_0)</f>
        <v>878.59</v>
      </c>
      <c r="Q38" s="1"/>
      <c r="R38" s="5">
        <f t="shared" ref="R38:R54" si="32">IF(P$12=0,0,P38/P$12)</f>
        <v>4.0077791760612892E-3</v>
      </c>
      <c r="S38" s="1"/>
      <c r="T38" s="1">
        <f>SUM(OSRRefT22_2x_0)</f>
        <v>891.85</v>
      </c>
      <c r="U38" s="1"/>
      <c r="V38" s="5">
        <f t="shared" ref="V38:V54" si="33">IF(T$12=0,0,T38/T$12)</f>
        <v>3.9805532444577435E-3</v>
      </c>
      <c r="W38" s="1"/>
      <c r="X38" s="1">
        <f t="shared" ref="X38:X54" si="34">+P38-T38</f>
        <v>-13.259999999999991</v>
      </c>
      <c r="Y38" s="1"/>
      <c r="Z38" s="5">
        <f t="shared" ref="Z38:Z54" si="35">IF(T38=0,0,X38/T38)</f>
        <v>-1.4867971071368493E-2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22.4</v>
      </c>
      <c r="E39" s="2"/>
      <c r="F39" s="7">
        <f t="shared" si="28"/>
        <v>1.1185280171294575E-3</v>
      </c>
      <c r="G39" s="2"/>
      <c r="H39" s="6">
        <v>316.85000000000002</v>
      </c>
      <c r="I39" s="2"/>
      <c r="J39" s="7">
        <f t="shared" si="29"/>
        <v>1.6955737418050839E-2</v>
      </c>
      <c r="K39" s="2"/>
      <c r="L39" s="6">
        <f t="shared" si="30"/>
        <v>-294.45000000000005</v>
      </c>
      <c r="M39" s="2"/>
      <c r="N39" s="7">
        <f t="shared" si="31"/>
        <v>-0.92930408710746415</v>
      </c>
      <c r="O39" s="11"/>
      <c r="P39" s="6">
        <v>878.59</v>
      </c>
      <c r="Q39" s="2"/>
      <c r="R39" s="7">
        <f t="shared" si="32"/>
        <v>4.0077791760612892E-3</v>
      </c>
      <c r="S39" s="2"/>
      <c r="T39" s="6">
        <v>891.85</v>
      </c>
      <c r="U39" s="2"/>
      <c r="V39" s="7">
        <f t="shared" si="33"/>
        <v>3.9805532444577435E-3</v>
      </c>
      <c r="W39" s="2"/>
      <c r="X39" s="6">
        <f t="shared" si="34"/>
        <v>-13.259999999999991</v>
      </c>
      <c r="Y39" s="2"/>
      <c r="Z39" s="7">
        <f t="shared" si="35"/>
        <v>-1.4867971071368493E-2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-13.72</v>
      </c>
      <c r="E40" s="1"/>
      <c r="F40" s="5">
        <f t="shared" si="28"/>
        <v>-6.8509841049179288E-4</v>
      </c>
      <c r="G40" s="1"/>
      <c r="H40" s="1">
        <f>SUM(OSRRefH22_3x_0)</f>
        <v>12.24</v>
      </c>
      <c r="I40" s="1"/>
      <c r="J40" s="5">
        <f t="shared" si="29"/>
        <v>6.5500465834603832E-4</v>
      </c>
      <c r="K40" s="1"/>
      <c r="L40" s="1">
        <f t="shared" si="30"/>
        <v>-25.96</v>
      </c>
      <c r="M40" s="1"/>
      <c r="N40" s="5">
        <f t="shared" si="31"/>
        <v>-2.1209150326797386</v>
      </c>
      <c r="O40" s="13"/>
      <c r="P40" s="1">
        <f>SUM(OSRRefP22_3x_0)</f>
        <v>-24.86</v>
      </c>
      <c r="Q40" s="1"/>
      <c r="R40" s="5">
        <f t="shared" si="32"/>
        <v>-1.134014617931955E-4</v>
      </c>
      <c r="S40" s="1"/>
      <c r="T40" s="1">
        <f>SUM(OSRRefT22_3x_0)</f>
        <v>-149.74</v>
      </c>
      <c r="U40" s="1"/>
      <c r="V40" s="5">
        <f t="shared" si="33"/>
        <v>-6.6832768158894709E-4</v>
      </c>
      <c r="W40" s="1"/>
      <c r="X40" s="1">
        <f t="shared" si="34"/>
        <v>124.88000000000001</v>
      </c>
      <c r="Y40" s="1"/>
      <c r="Z40" s="5">
        <f t="shared" si="35"/>
        <v>-0.83397889675437431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-13.72</v>
      </c>
      <c r="E41" s="2"/>
      <c r="F41" s="7">
        <f t="shared" si="28"/>
        <v>-6.8509841049179288E-4</v>
      </c>
      <c r="G41" s="2"/>
      <c r="H41" s="6">
        <v>12.24</v>
      </c>
      <c r="I41" s="2"/>
      <c r="J41" s="7">
        <f t="shared" si="29"/>
        <v>6.5500465834603832E-4</v>
      </c>
      <c r="K41" s="2"/>
      <c r="L41" s="6">
        <f t="shared" si="30"/>
        <v>-25.96</v>
      </c>
      <c r="M41" s="2"/>
      <c r="N41" s="7">
        <f t="shared" si="31"/>
        <v>-2.1209150326797386</v>
      </c>
      <c r="O41" s="11"/>
      <c r="P41" s="6">
        <v>-24.86</v>
      </c>
      <c r="Q41" s="2"/>
      <c r="R41" s="7">
        <f t="shared" si="32"/>
        <v>-1.134014617931955E-4</v>
      </c>
      <c r="S41" s="2"/>
      <c r="T41" s="6">
        <v>-149.74</v>
      </c>
      <c r="U41" s="2"/>
      <c r="V41" s="7">
        <f t="shared" si="33"/>
        <v>-6.6832768158894709E-4</v>
      </c>
      <c r="W41" s="2"/>
      <c r="X41" s="6">
        <f t="shared" si="34"/>
        <v>124.88000000000001</v>
      </c>
      <c r="Y41" s="2"/>
      <c r="Z41" s="7">
        <f t="shared" si="35"/>
        <v>-0.83397889675437431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828.39</v>
      </c>
      <c r="E42" s="1"/>
      <c r="F42" s="5">
        <f t="shared" si="28"/>
        <v>4.1365063576333544E-2</v>
      </c>
      <c r="G42" s="1"/>
      <c r="H42" s="1">
        <f>SUM(OSRRefH22_4x_0)</f>
        <v>526.75</v>
      </c>
      <c r="I42" s="1"/>
      <c r="J42" s="5">
        <f t="shared" si="29"/>
        <v>2.8188211093445728E-2</v>
      </c>
      <c r="K42" s="1"/>
      <c r="L42" s="1">
        <f t="shared" si="30"/>
        <v>301.64</v>
      </c>
      <c r="M42" s="1"/>
      <c r="N42" s="5">
        <f t="shared" si="31"/>
        <v>0.57264356905552916</v>
      </c>
      <c r="O42" s="13"/>
      <c r="P42" s="1">
        <f>SUM(OSRRefP22_4x_0)</f>
        <v>7543.51</v>
      </c>
      <c r="Q42" s="1"/>
      <c r="R42" s="5">
        <f t="shared" si="32"/>
        <v>3.4410501249058256E-2</v>
      </c>
      <c r="S42" s="1"/>
      <c r="T42" s="1">
        <f>SUM(OSRRefT22_4x_0)</f>
        <v>7272.35</v>
      </c>
      <c r="U42" s="1"/>
      <c r="V42" s="5">
        <f t="shared" si="33"/>
        <v>3.2458346568741685E-2</v>
      </c>
      <c r="W42" s="1"/>
      <c r="X42" s="1">
        <f t="shared" si="34"/>
        <v>271.15999999999985</v>
      </c>
      <c r="Y42" s="1"/>
      <c r="Z42" s="5">
        <f t="shared" si="35"/>
        <v>3.7286434233775853E-2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828.39</v>
      </c>
      <c r="E43" s="2"/>
      <c r="F43" s="7">
        <f t="shared" si="28"/>
        <v>4.1365063576333544E-2</v>
      </c>
      <c r="G43" s="2"/>
      <c r="H43" s="6">
        <v>526.75</v>
      </c>
      <c r="I43" s="2"/>
      <c r="J43" s="7">
        <f t="shared" si="29"/>
        <v>2.8188211093445728E-2</v>
      </c>
      <c r="K43" s="2"/>
      <c r="L43" s="6">
        <f t="shared" si="30"/>
        <v>301.64</v>
      </c>
      <c r="M43" s="2"/>
      <c r="N43" s="7">
        <f t="shared" si="31"/>
        <v>0.57264356905552916</v>
      </c>
      <c r="O43" s="11"/>
      <c r="P43" s="6">
        <v>7543.51</v>
      </c>
      <c r="Q43" s="2"/>
      <c r="R43" s="7">
        <f t="shared" si="32"/>
        <v>3.4410501249058256E-2</v>
      </c>
      <c r="S43" s="2"/>
      <c r="T43" s="6">
        <v>7272.35</v>
      </c>
      <c r="U43" s="2"/>
      <c r="V43" s="7">
        <f t="shared" si="33"/>
        <v>3.2458346568741685E-2</v>
      </c>
      <c r="W43" s="2"/>
      <c r="X43" s="6">
        <f t="shared" si="34"/>
        <v>271.15999999999985</v>
      </c>
      <c r="Y43" s="2"/>
      <c r="Z43" s="7">
        <f t="shared" si="35"/>
        <v>3.7286434233775853E-2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155.66999999999999</v>
      </c>
      <c r="E44" s="1"/>
      <c r="F44" s="5">
        <f t="shared" si="28"/>
        <v>7.7732703761849405E-3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3"/>
      <c r="P44" s="1">
        <f>SUM(OSRRefP22_5x_0)</f>
        <v>1089.69</v>
      </c>
      <c r="Q44" s="1"/>
      <c r="R44" s="5">
        <f t="shared" si="32"/>
        <v>4.9707336645787295E-3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1089.69</v>
      </c>
      <c r="Y44" s="1"/>
      <c r="Z44" s="5">
        <f t="shared" si="35"/>
        <v>0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155.66999999999999</v>
      </c>
      <c r="E45" s="2"/>
      <c r="F45" s="7">
        <f t="shared" si="28"/>
        <v>7.7732703761849405E-3</v>
      </c>
      <c r="G45" s="2"/>
      <c r="H45" s="6"/>
      <c r="I45" s="2"/>
      <c r="J45" s="7">
        <f t="shared" si="29"/>
        <v>0</v>
      </c>
      <c r="K45" s="2"/>
      <c r="L45" s="6">
        <f t="shared" si="30"/>
        <v>155.66999999999999</v>
      </c>
      <c r="M45" s="2"/>
      <c r="N45" s="7">
        <f t="shared" si="31"/>
        <v>0</v>
      </c>
      <c r="O45" s="11"/>
      <c r="P45" s="6">
        <v>1089.69</v>
      </c>
      <c r="Q45" s="2"/>
      <c r="R45" s="7">
        <f t="shared" si="32"/>
        <v>4.9707336645787295E-3</v>
      </c>
      <c r="S45" s="2"/>
      <c r="T45" s="6"/>
      <c r="U45" s="2"/>
      <c r="V45" s="7">
        <f t="shared" si="33"/>
        <v>0</v>
      </c>
      <c r="W45" s="2"/>
      <c r="X45" s="6">
        <f t="shared" si="34"/>
        <v>1089.69</v>
      </c>
      <c r="Y45" s="2"/>
      <c r="Z45" s="7">
        <f t="shared" si="35"/>
        <v>0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39.909999999999997</v>
      </c>
      <c r="E46" s="1"/>
      <c r="F46" s="5">
        <f t="shared" si="28"/>
        <v>1.9928773733766361E-3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39.909999999999997</v>
      </c>
      <c r="M46" s="1"/>
      <c r="N46" s="5">
        <f t="shared" si="31"/>
        <v>0</v>
      </c>
      <c r="O46" s="13"/>
      <c r="P46" s="1">
        <f>SUM(OSRRefP22_6x_0)</f>
        <v>62.26</v>
      </c>
      <c r="Q46" s="1"/>
      <c r="R46" s="5">
        <f t="shared" si="32"/>
        <v>2.840054308626047E-4</v>
      </c>
      <c r="S46" s="1"/>
      <c r="T46" s="1">
        <f>SUM(OSRRefT22_6x_0)</f>
        <v>0</v>
      </c>
      <c r="U46" s="1"/>
      <c r="V46" s="5">
        <f t="shared" si="33"/>
        <v>0</v>
      </c>
      <c r="W46" s="1"/>
      <c r="X46" s="1">
        <f t="shared" si="34"/>
        <v>62.26</v>
      </c>
      <c r="Y46" s="1"/>
      <c r="Z46" s="5">
        <f t="shared" si="35"/>
        <v>0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>
        <v>39.909999999999997</v>
      </c>
      <c r="E47" s="2"/>
      <c r="F47" s="7">
        <f t="shared" si="28"/>
        <v>1.9928773733766361E-3</v>
      </c>
      <c r="G47" s="2"/>
      <c r="H47" s="6"/>
      <c r="I47" s="2"/>
      <c r="J47" s="7">
        <f t="shared" si="29"/>
        <v>0</v>
      </c>
      <c r="K47" s="2"/>
      <c r="L47" s="6">
        <f t="shared" si="30"/>
        <v>39.909999999999997</v>
      </c>
      <c r="M47" s="2"/>
      <c r="N47" s="7">
        <f t="shared" si="31"/>
        <v>0</v>
      </c>
      <c r="O47" s="11"/>
      <c r="P47" s="6">
        <v>62.26</v>
      </c>
      <c r="Q47" s="2"/>
      <c r="R47" s="7">
        <f t="shared" si="32"/>
        <v>2.840054308626047E-4</v>
      </c>
      <c r="S47" s="2"/>
      <c r="T47" s="6"/>
      <c r="U47" s="2"/>
      <c r="V47" s="7">
        <f t="shared" si="33"/>
        <v>0</v>
      </c>
      <c r="W47" s="2"/>
      <c r="X47" s="6">
        <f t="shared" si="34"/>
        <v>62.26</v>
      </c>
      <c r="Y47" s="2"/>
      <c r="Z47" s="7">
        <f t="shared" si="35"/>
        <v>0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12</v>
      </c>
      <c r="Q48" s="1"/>
      <c r="R48" s="5">
        <f t="shared" si="32"/>
        <v>5.4739241412644655E-5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12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12</v>
      </c>
      <c r="Q49" s="2"/>
      <c r="R49" s="7">
        <f t="shared" si="32"/>
        <v>5.4739241412644655E-5</v>
      </c>
      <c r="S49" s="2"/>
      <c r="T49" s="6"/>
      <c r="U49" s="2"/>
      <c r="V49" s="7">
        <f t="shared" si="33"/>
        <v>0</v>
      </c>
      <c r="W49" s="2"/>
      <c r="X49" s="6">
        <f t="shared" si="34"/>
        <v>12</v>
      </c>
      <c r="Y49" s="2"/>
      <c r="Z49" s="7">
        <f t="shared" si="35"/>
        <v>0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3558.3</v>
      </c>
      <c r="E50" s="1"/>
      <c r="F50" s="5">
        <f t="shared" si="28"/>
        <v>0.1776811715782031</v>
      </c>
      <c r="G50" s="1"/>
      <c r="H50" s="1">
        <f>SUM(OSRRefH22_8x_0)</f>
        <v>11.5</v>
      </c>
      <c r="I50" s="1"/>
      <c r="J50" s="5">
        <f t="shared" si="29"/>
        <v>6.1540470351139221E-4</v>
      </c>
      <c r="K50" s="1"/>
      <c r="L50" s="1">
        <f t="shared" si="30"/>
        <v>3546.8</v>
      </c>
      <c r="M50" s="1"/>
      <c r="N50" s="5">
        <f t="shared" si="31"/>
        <v>308.41739130434786</v>
      </c>
      <c r="O50" s="13"/>
      <c r="P50" s="1">
        <f>SUM(OSRRefP22_8x_0)</f>
        <v>5615.89</v>
      </c>
      <c r="Q50" s="1"/>
      <c r="R50" s="5">
        <f t="shared" si="32"/>
        <v>2.5617463204738084E-2</v>
      </c>
      <c r="S50" s="1"/>
      <c r="T50" s="1">
        <f>SUM(OSRRefT22_8x_0)</f>
        <v>2513.46</v>
      </c>
      <c r="U50" s="1"/>
      <c r="V50" s="5">
        <f t="shared" si="33"/>
        <v>1.1218210862605549E-2</v>
      </c>
      <c r="W50" s="1"/>
      <c r="X50" s="1">
        <f t="shared" si="34"/>
        <v>3102.4300000000003</v>
      </c>
      <c r="Y50" s="1"/>
      <c r="Z50" s="5">
        <f t="shared" si="35"/>
        <v>1.2343263867338252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3558.3</v>
      </c>
      <c r="E51" s="2"/>
      <c r="F51" s="7">
        <f t="shared" si="28"/>
        <v>0.1776811715782031</v>
      </c>
      <c r="G51" s="2"/>
      <c r="H51" s="6">
        <v>11.5</v>
      </c>
      <c r="I51" s="2"/>
      <c r="J51" s="7">
        <f t="shared" si="29"/>
        <v>6.1540470351139221E-4</v>
      </c>
      <c r="K51" s="2"/>
      <c r="L51" s="6">
        <f t="shared" si="30"/>
        <v>3546.8</v>
      </c>
      <c r="M51" s="2"/>
      <c r="N51" s="7">
        <f t="shared" si="31"/>
        <v>308.41739130434786</v>
      </c>
      <c r="O51" s="11"/>
      <c r="P51" s="6">
        <v>5615.89</v>
      </c>
      <c r="Q51" s="2"/>
      <c r="R51" s="7">
        <f t="shared" si="32"/>
        <v>2.5617463204738084E-2</v>
      </c>
      <c r="S51" s="2"/>
      <c r="T51" s="6">
        <v>2513.46</v>
      </c>
      <c r="U51" s="2"/>
      <c r="V51" s="7">
        <f t="shared" si="33"/>
        <v>1.1218210862605549E-2</v>
      </c>
      <c r="W51" s="2"/>
      <c r="X51" s="6">
        <f t="shared" si="34"/>
        <v>3102.4300000000003</v>
      </c>
      <c r="Y51" s="2"/>
      <c r="Z51" s="7">
        <f t="shared" si="35"/>
        <v>1.2343263867338252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196.08</v>
      </c>
      <c r="E52" s="1"/>
      <c r="F52" s="5">
        <f t="shared" si="28"/>
        <v>9.7911148928010745E-3</v>
      </c>
      <c r="G52" s="1"/>
      <c r="H52" s="1">
        <f>SUM(OSRRefH22_9x_0)</f>
        <v>250.87</v>
      </c>
      <c r="I52" s="1"/>
      <c r="J52" s="5">
        <f t="shared" si="29"/>
        <v>1.3424919823469824E-2</v>
      </c>
      <c r="K52" s="1"/>
      <c r="L52" s="1">
        <f t="shared" si="30"/>
        <v>-54.789999999999992</v>
      </c>
      <c r="M52" s="1"/>
      <c r="N52" s="5">
        <f t="shared" si="31"/>
        <v>-0.21839996811097379</v>
      </c>
      <c r="O52" s="13"/>
      <c r="P52" s="1">
        <f>SUM(OSRRefP22_9x_0)</f>
        <v>6151.7400000000007</v>
      </c>
      <c r="Q52" s="1"/>
      <c r="R52" s="5">
        <f t="shared" si="32"/>
        <v>2.8061798413985223E-2</v>
      </c>
      <c r="S52" s="1"/>
      <c r="T52" s="1">
        <f>SUM(OSRRefT22_9x_0)</f>
        <v>2468.81</v>
      </c>
      <c r="U52" s="1"/>
      <c r="V52" s="5">
        <f t="shared" si="33"/>
        <v>1.1018926563267053E-2</v>
      </c>
      <c r="W52" s="1"/>
      <c r="X52" s="1">
        <f t="shared" si="34"/>
        <v>3682.9300000000007</v>
      </c>
      <c r="Y52" s="1"/>
      <c r="Z52" s="5">
        <f t="shared" si="35"/>
        <v>1.4917834908316157</v>
      </c>
    </row>
    <row r="53" spans="1:26" s="24" customFormat="1" hidden="1" outlineLevel="2" x14ac:dyDescent="0.25">
      <c r="A53" s="25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93.22</v>
      </c>
      <c r="Q53" s="2"/>
      <c r="R53" s="7">
        <f t="shared" si="32"/>
        <v>4.2523267370722786E-4</v>
      </c>
      <c r="S53" s="2"/>
      <c r="T53" s="6">
        <v>333.08</v>
      </c>
      <c r="U53" s="2"/>
      <c r="V53" s="7">
        <f t="shared" si="33"/>
        <v>1.4866207037775242E-3</v>
      </c>
      <c r="W53" s="2"/>
      <c r="X53" s="6">
        <f t="shared" si="34"/>
        <v>-239.85999999999999</v>
      </c>
      <c r="Y53" s="2"/>
      <c r="Z53" s="7">
        <f t="shared" si="35"/>
        <v>-0.72012729674552656</v>
      </c>
    </row>
    <row r="54" spans="1:26" s="24" customFormat="1" hidden="1" outlineLevel="2" x14ac:dyDescent="0.25">
      <c r="A54" s="25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196.08</v>
      </c>
      <c r="E54" s="2"/>
      <c r="F54" s="7">
        <f t="shared" si="28"/>
        <v>9.7911148928010745E-3</v>
      </c>
      <c r="G54" s="2"/>
      <c r="H54" s="6">
        <v>250.87</v>
      </c>
      <c r="I54" s="2"/>
      <c r="J54" s="7">
        <f t="shared" si="29"/>
        <v>1.3424919823469824E-2</v>
      </c>
      <c r="K54" s="2"/>
      <c r="L54" s="6">
        <f t="shared" si="30"/>
        <v>-54.789999999999992</v>
      </c>
      <c r="M54" s="2"/>
      <c r="N54" s="7">
        <f t="shared" si="31"/>
        <v>-0.21839996811097379</v>
      </c>
      <c r="O54" s="11"/>
      <c r="P54" s="6">
        <v>6058.52</v>
      </c>
      <c r="Q54" s="2"/>
      <c r="R54" s="7">
        <f t="shared" si="32"/>
        <v>2.7636565740277994E-2</v>
      </c>
      <c r="S54" s="2"/>
      <c r="T54" s="6">
        <v>2135.73</v>
      </c>
      <c r="U54" s="2"/>
      <c r="V54" s="7">
        <f t="shared" si="33"/>
        <v>9.5323058594895278E-3</v>
      </c>
      <c r="W54" s="2"/>
      <c r="X54" s="6">
        <f t="shared" si="34"/>
        <v>3922.7900000000004</v>
      </c>
      <c r="Y54" s="2"/>
      <c r="Z54" s="7">
        <f t="shared" si="35"/>
        <v>1.8367443450248864</v>
      </c>
    </row>
    <row r="55" spans="1:26" s="26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356.77</v>
      </c>
      <c r="E55" s="1"/>
      <c r="F55" s="5">
        <f t="shared" ref="F55:F58" si="36">IF(D$12=0,0,D55/D$12)</f>
        <v>1.7815055387110562E-2</v>
      </c>
      <c r="G55" s="1"/>
      <c r="H55" s="1">
        <f>SUM(OSRRefH22_10x_0)</f>
        <v>327.93</v>
      </c>
      <c r="I55" s="1"/>
      <c r="J55" s="5">
        <f t="shared" ref="J55:J58" si="37">IF(H$12=0,0,H55/H$12)</f>
        <v>1.7548666471520945E-2</v>
      </c>
      <c r="K55" s="1"/>
      <c r="L55" s="1">
        <f t="shared" ref="L55:L58" si="38">+D55-H55</f>
        <v>28.839999999999975</v>
      </c>
      <c r="M55" s="1"/>
      <c r="N55" s="5">
        <f t="shared" ref="N55:N58" si="39">IF(H55=0,0,L55/H55)</f>
        <v>8.79455981459457E-2</v>
      </c>
      <c r="O55" s="13"/>
      <c r="P55" s="1">
        <f>SUM(OSRRefP22_10x_0)</f>
        <v>2813.86</v>
      </c>
      <c r="Q55" s="1"/>
      <c r="R55" s="5">
        <f t="shared" ref="R55:R58" si="40">IF(P$12=0,0,P55/P$12)</f>
        <v>1.2835713486782025E-2</v>
      </c>
      <c r="S55" s="1"/>
      <c r="T55" s="1">
        <f>SUM(OSRRefT22_10x_0)</f>
        <v>2067.58</v>
      </c>
      <c r="U55" s="1"/>
      <c r="V55" s="5">
        <f t="shared" ref="V55:V58" si="41">IF(T$12=0,0,T55/T$12)</f>
        <v>9.2281350868149807E-3</v>
      </c>
      <c r="W55" s="1"/>
      <c r="X55" s="1">
        <f t="shared" ref="X55:X58" si="42">+P55-T55</f>
        <v>746.2800000000002</v>
      </c>
      <c r="Y55" s="1"/>
      <c r="Z55" s="5">
        <f t="shared" ref="Z55:Z58" si="43">IF(T55=0,0,X55/T55)</f>
        <v>0.36094371197245101</v>
      </c>
    </row>
    <row r="56" spans="1:26" s="24" customFormat="1" hidden="1" outlineLevel="2" x14ac:dyDescent="0.25">
      <c r="A56" s="25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327.93</v>
      </c>
      <c r="E56" s="2"/>
      <c r="F56" s="7">
        <f t="shared" si="36"/>
        <v>1.6374950565056386E-2</v>
      </c>
      <c r="G56" s="2"/>
      <c r="H56" s="6">
        <v>327.93</v>
      </c>
      <c r="I56" s="2"/>
      <c r="J56" s="7">
        <f t="shared" si="37"/>
        <v>1.7548666471520945E-2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2437.44</v>
      </c>
      <c r="Q56" s="2"/>
      <c r="R56" s="7">
        <f t="shared" si="40"/>
        <v>1.1118634715736382E-2</v>
      </c>
      <c r="S56" s="2"/>
      <c r="T56" s="6">
        <v>1967.58</v>
      </c>
      <c r="U56" s="2"/>
      <c r="V56" s="7">
        <f t="shared" si="41"/>
        <v>8.781809668363701E-3</v>
      </c>
      <c r="W56" s="2"/>
      <c r="X56" s="6">
        <f t="shared" si="42"/>
        <v>469.86000000000013</v>
      </c>
      <c r="Y56" s="2"/>
      <c r="Z56" s="7">
        <f t="shared" si="43"/>
        <v>0.23880096362028488</v>
      </c>
    </row>
    <row r="57" spans="1:26" s="24" customFormat="1" hidden="1" outlineLevel="2" x14ac:dyDescent="0.25">
      <c r="A57" s="25"/>
      <c r="B57" s="11" t="str">
        <f>CONCATENATE("          ", "6285", " - ", "JANITORIAL SERVICES")</f>
        <v xml:space="preserve">          6285 - JANITORIAL SERVICES</v>
      </c>
      <c r="C57" s="11"/>
      <c r="D57" s="6">
        <v>28.84</v>
      </c>
      <c r="E57" s="2"/>
      <c r="F57" s="7">
        <f t="shared" si="36"/>
        <v>1.4401048220541767E-3</v>
      </c>
      <c r="G57" s="2"/>
      <c r="H57" s="6"/>
      <c r="I57" s="2"/>
      <c r="J57" s="7">
        <f t="shared" si="37"/>
        <v>0</v>
      </c>
      <c r="K57" s="2"/>
      <c r="L57" s="6">
        <f t="shared" si="38"/>
        <v>28.84</v>
      </c>
      <c r="M57" s="2"/>
      <c r="N57" s="7">
        <f t="shared" si="39"/>
        <v>0</v>
      </c>
      <c r="O57" s="11"/>
      <c r="P57" s="6">
        <v>190.42</v>
      </c>
      <c r="Q57" s="2"/>
      <c r="R57" s="7">
        <f t="shared" si="40"/>
        <v>8.6862052914964951E-4</v>
      </c>
      <c r="S57" s="2"/>
      <c r="T57" s="6">
        <v>100</v>
      </c>
      <c r="U57" s="2"/>
      <c r="V57" s="7">
        <f t="shared" si="41"/>
        <v>4.4632541845128027E-4</v>
      </c>
      <c r="W57" s="2"/>
      <c r="X57" s="6">
        <f t="shared" si="42"/>
        <v>90.419999999999987</v>
      </c>
      <c r="Y57" s="2"/>
      <c r="Z57" s="7">
        <f t="shared" si="43"/>
        <v>0.90419999999999989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186</v>
      </c>
      <c r="Q58" s="2"/>
      <c r="R58" s="7">
        <f t="shared" si="40"/>
        <v>8.4845824189599213E-4</v>
      </c>
      <c r="S58" s="2"/>
      <c r="T58" s="6"/>
      <c r="U58" s="2"/>
      <c r="V58" s="7">
        <f t="shared" si="41"/>
        <v>0</v>
      </c>
      <c r="W58" s="2"/>
      <c r="X58" s="6">
        <f t="shared" si="42"/>
        <v>186</v>
      </c>
      <c r="Y58" s="2"/>
      <c r="Z58" s="7">
        <f t="shared" si="43"/>
        <v>0</v>
      </c>
    </row>
    <row r="59" spans="1:26" s="26" customFormat="1" outlineLevel="1" collapsed="1" x14ac:dyDescent="0.25">
      <c r="A59" s="27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7" si="44">IF(D$12=0,0,D59/D$12)</f>
        <v>0</v>
      </c>
      <c r="G59" s="1"/>
      <c r="H59" s="1">
        <f>SUM(OSRRefH22_11x_0)</f>
        <v>80</v>
      </c>
      <c r="I59" s="1"/>
      <c r="J59" s="5">
        <f t="shared" ref="J59:J67" si="45">IF(H$12=0,0,H59/H$12)</f>
        <v>4.2810761983401195E-3</v>
      </c>
      <c r="K59" s="1"/>
      <c r="L59" s="1">
        <f t="shared" ref="L59:L67" si="46">+D59-H59</f>
        <v>-80</v>
      </c>
      <c r="M59" s="1"/>
      <c r="N59" s="5">
        <f t="shared" ref="N59:N67" si="47">IF(H59=0,0,L59/H59)</f>
        <v>-1</v>
      </c>
      <c r="O59" s="13"/>
      <c r="P59" s="1">
        <f>SUM(OSRRefP22_11x_0)</f>
        <v>0</v>
      </c>
      <c r="Q59" s="1"/>
      <c r="R59" s="5">
        <f t="shared" ref="R59:R67" si="48">IF(P$12=0,0,P59/P$12)</f>
        <v>0</v>
      </c>
      <c r="S59" s="1"/>
      <c r="T59" s="1">
        <f>SUM(OSRRefT22_11x_0)</f>
        <v>111.8</v>
      </c>
      <c r="U59" s="1"/>
      <c r="V59" s="5">
        <f t="shared" ref="V59:V67" si="49">IF(T$12=0,0,T59/T$12)</f>
        <v>4.989918178285313E-4</v>
      </c>
      <c r="W59" s="1"/>
      <c r="X59" s="1">
        <f t="shared" ref="X59:X67" si="50">+P59-T59</f>
        <v>-111.8</v>
      </c>
      <c r="Y59" s="1"/>
      <c r="Z59" s="5">
        <f t="shared" ref="Z59:Z67" si="51">IF(T59=0,0,X59/T59)</f>
        <v>-1</v>
      </c>
    </row>
    <row r="60" spans="1:26" s="24" customFormat="1" hidden="1" outlineLevel="2" x14ac:dyDescent="0.25">
      <c r="A60" s="25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4"/>
        <v>0</v>
      </c>
      <c r="G60" s="2"/>
      <c r="H60" s="6">
        <v>80</v>
      </c>
      <c r="I60" s="2"/>
      <c r="J60" s="7">
        <f t="shared" si="45"/>
        <v>4.2810761983401195E-3</v>
      </c>
      <c r="K60" s="2"/>
      <c r="L60" s="6">
        <f t="shared" si="46"/>
        <v>-80</v>
      </c>
      <c r="M60" s="2"/>
      <c r="N60" s="7">
        <f t="shared" si="47"/>
        <v>-1</v>
      </c>
      <c r="O60" s="11"/>
      <c r="P60" s="6"/>
      <c r="Q60" s="2"/>
      <c r="R60" s="7">
        <f t="shared" si="48"/>
        <v>0</v>
      </c>
      <c r="S60" s="2"/>
      <c r="T60" s="6">
        <v>111.8</v>
      </c>
      <c r="U60" s="2"/>
      <c r="V60" s="7">
        <f t="shared" si="49"/>
        <v>4.989918178285313E-4</v>
      </c>
      <c r="W60" s="2"/>
      <c r="X60" s="6">
        <f t="shared" si="50"/>
        <v>-111.8</v>
      </c>
      <c r="Y60" s="2"/>
      <c r="Z60" s="7">
        <f t="shared" si="51"/>
        <v>-1</v>
      </c>
    </row>
    <row r="61" spans="1:26" s="26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264.25</v>
      </c>
      <c r="E61" s="1"/>
      <c r="F61" s="5">
        <f t="shared" si="44"/>
        <v>1.3195135202074071E-2</v>
      </c>
      <c r="G61" s="1"/>
      <c r="H61" s="1">
        <f>SUM(OSRRefH22_12x_0)</f>
        <v>-237.43</v>
      </c>
      <c r="I61" s="1"/>
      <c r="J61" s="5">
        <f t="shared" si="45"/>
        <v>-1.2705699022148683E-2</v>
      </c>
      <c r="K61" s="1"/>
      <c r="L61" s="1">
        <f t="shared" si="46"/>
        <v>501.68</v>
      </c>
      <c r="M61" s="1"/>
      <c r="N61" s="5">
        <f t="shared" si="47"/>
        <v>-2.1129596091479592</v>
      </c>
      <c r="O61" s="13"/>
      <c r="P61" s="1">
        <f>SUM(OSRRefP22_12x_0)</f>
        <v>7318.78</v>
      </c>
      <c r="Q61" s="1"/>
      <c r="R61" s="5">
        <f t="shared" si="48"/>
        <v>3.338537210550295E-2</v>
      </c>
      <c r="S61" s="1"/>
      <c r="T61" s="1">
        <f>SUM(OSRRefT22_12x_0)</f>
        <v>3453.33</v>
      </c>
      <c r="U61" s="1"/>
      <c r="V61" s="5">
        <f t="shared" si="49"/>
        <v>1.5413089573003597E-2</v>
      </c>
      <c r="W61" s="1"/>
      <c r="X61" s="1">
        <f t="shared" si="50"/>
        <v>3865.45</v>
      </c>
      <c r="Y61" s="1"/>
      <c r="Z61" s="5">
        <f t="shared" si="51"/>
        <v>1.1193398835327062</v>
      </c>
    </row>
    <row r="62" spans="1:26" s="24" customFormat="1" hidden="1" outlineLevel="2" x14ac:dyDescent="0.25">
      <c r="A62" s="25"/>
      <c r="B62" s="11" t="str">
        <f>CONCATENATE("          ", "6237", " - ", "JANITORIAL SUPPLIES")</f>
        <v xml:space="preserve">          6237 - JANITORIAL SUPPLIES</v>
      </c>
      <c r="C62" s="11"/>
      <c r="D62" s="6">
        <v>95.12</v>
      </c>
      <c r="E62" s="2"/>
      <c r="F62" s="7">
        <f t="shared" si="44"/>
        <v>4.7497493298818754E-3</v>
      </c>
      <c r="G62" s="2"/>
      <c r="H62" s="6">
        <v>44.1</v>
      </c>
      <c r="I62" s="2"/>
      <c r="J62" s="7">
        <f t="shared" si="45"/>
        <v>2.3599432543349912E-3</v>
      </c>
      <c r="K62" s="2"/>
      <c r="L62" s="6">
        <f t="shared" si="46"/>
        <v>51.02</v>
      </c>
      <c r="M62" s="2"/>
      <c r="N62" s="7">
        <f t="shared" si="47"/>
        <v>1.1569160997732426</v>
      </c>
      <c r="O62" s="11"/>
      <c r="P62" s="6">
        <v>995.54</v>
      </c>
      <c r="Q62" s="2"/>
      <c r="R62" s="7">
        <f t="shared" si="48"/>
        <v>4.5412586996620213E-3</v>
      </c>
      <c r="S62" s="2"/>
      <c r="T62" s="6">
        <v>442.66</v>
      </c>
      <c r="U62" s="2"/>
      <c r="V62" s="7">
        <f t="shared" si="49"/>
        <v>1.9757040973164375E-3</v>
      </c>
      <c r="W62" s="2"/>
      <c r="X62" s="6">
        <f t="shared" si="50"/>
        <v>552.87999999999988</v>
      </c>
      <c r="Y62" s="2"/>
      <c r="Z62" s="7">
        <f t="shared" si="51"/>
        <v>1.2489947137758095</v>
      </c>
    </row>
    <row r="63" spans="1:26" s="24" customFormat="1" hidden="1" outlineLevel="2" x14ac:dyDescent="0.25">
      <c r="A63" s="25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44"/>
        <v>0</v>
      </c>
      <c r="G63" s="2"/>
      <c r="H63" s="6"/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/>
      <c r="Q63" s="2"/>
      <c r="R63" s="7">
        <f t="shared" si="48"/>
        <v>0</v>
      </c>
      <c r="S63" s="2"/>
      <c r="T63" s="6">
        <v>68.36</v>
      </c>
      <c r="U63" s="2"/>
      <c r="V63" s="7">
        <f t="shared" si="49"/>
        <v>3.051080560532952E-4</v>
      </c>
      <c r="W63" s="2"/>
      <c r="X63" s="6">
        <f t="shared" si="50"/>
        <v>-68.36</v>
      </c>
      <c r="Y63" s="2"/>
      <c r="Z63" s="7">
        <f t="shared" si="51"/>
        <v>-1</v>
      </c>
    </row>
    <row r="64" spans="1:26" s="24" customFormat="1" hidden="1" outlineLevel="2" x14ac:dyDescent="0.25">
      <c r="A64" s="25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44"/>
        <v>0</v>
      </c>
      <c r="G64" s="2"/>
      <c r="H64" s="6">
        <v>326.57</v>
      </c>
      <c r="I64" s="2"/>
      <c r="J64" s="7">
        <f t="shared" si="45"/>
        <v>1.7475888176149163E-2</v>
      </c>
      <c r="K64" s="2"/>
      <c r="L64" s="6">
        <f t="shared" si="46"/>
        <v>-326.57</v>
      </c>
      <c r="M64" s="2"/>
      <c r="N64" s="7">
        <f t="shared" si="47"/>
        <v>-1</v>
      </c>
      <c r="O64" s="11"/>
      <c r="P64" s="6">
        <v>704.76</v>
      </c>
      <c r="Q64" s="2"/>
      <c r="R64" s="7">
        <f t="shared" si="48"/>
        <v>3.2148356481646206E-3</v>
      </c>
      <c r="S64" s="2"/>
      <c r="T64" s="6">
        <v>1258.46</v>
      </c>
      <c r="U64" s="2"/>
      <c r="V64" s="7">
        <f t="shared" si="49"/>
        <v>5.6168268610419817E-3</v>
      </c>
      <c r="W64" s="2"/>
      <c r="X64" s="6">
        <f t="shared" si="50"/>
        <v>-553.70000000000005</v>
      </c>
      <c r="Y64" s="2"/>
      <c r="Z64" s="7">
        <f t="shared" si="51"/>
        <v>-0.43998220046723774</v>
      </c>
    </row>
    <row r="65" spans="1:26" s="24" customFormat="1" hidden="1" outlineLevel="2" x14ac:dyDescent="0.25">
      <c r="A65" s="25"/>
      <c r="B65" s="11" t="str">
        <f>CONCATENATE("          ", "6245", " - ", "PRINTING")</f>
        <v xml:space="preserve">          6245 - PRINTING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51.82</v>
      </c>
      <c r="U65" s="2"/>
      <c r="V65" s="7">
        <f t="shared" si="49"/>
        <v>2.3128583184145343E-4</v>
      </c>
      <c r="W65" s="2"/>
      <c r="X65" s="6">
        <f t="shared" si="50"/>
        <v>-51.82</v>
      </c>
      <c r="Y65" s="2"/>
      <c r="Z65" s="7">
        <f t="shared" si="51"/>
        <v>-1</v>
      </c>
    </row>
    <row r="66" spans="1:26" s="24" customFormat="1" hidden="1" outlineLevel="2" x14ac:dyDescent="0.25">
      <c r="A66" s="25"/>
      <c r="B66" s="11" t="str">
        <f>CONCATENATE("          ", "6247", " - ", "STORE SUPPLIES")</f>
        <v xml:space="preserve">          6247 - STORE SUPPLIES</v>
      </c>
      <c r="C66" s="11"/>
      <c r="D66" s="6">
        <v>169.13</v>
      </c>
      <c r="E66" s="2"/>
      <c r="F66" s="7">
        <f t="shared" si="44"/>
        <v>8.4453858721921949E-3</v>
      </c>
      <c r="G66" s="2"/>
      <c r="H66" s="6">
        <v>-608.1</v>
      </c>
      <c r="I66" s="2"/>
      <c r="J66" s="7">
        <f t="shared" si="45"/>
        <v>-3.254153045263284E-2</v>
      </c>
      <c r="K66" s="2"/>
      <c r="L66" s="6">
        <f t="shared" si="46"/>
        <v>777.23</v>
      </c>
      <c r="M66" s="2"/>
      <c r="N66" s="7">
        <f t="shared" si="47"/>
        <v>-1.2781285972701859</v>
      </c>
      <c r="O66" s="11"/>
      <c r="P66" s="6">
        <v>5618.48</v>
      </c>
      <c r="Q66" s="2"/>
      <c r="R66" s="7">
        <f t="shared" si="48"/>
        <v>2.562927775767631E-2</v>
      </c>
      <c r="S66" s="2"/>
      <c r="T66" s="6">
        <v>1444.16</v>
      </c>
      <c r="U66" s="2"/>
      <c r="V66" s="7">
        <f t="shared" si="49"/>
        <v>6.4456531631060096E-3</v>
      </c>
      <c r="W66" s="2"/>
      <c r="X66" s="6">
        <f t="shared" si="50"/>
        <v>4174.32</v>
      </c>
      <c r="Y66" s="2"/>
      <c r="Z66" s="7">
        <f t="shared" si="51"/>
        <v>2.8904830489696427</v>
      </c>
    </row>
    <row r="67" spans="1:26" s="24" customFormat="1" hidden="1" outlineLevel="2" x14ac:dyDescent="0.25">
      <c r="A67" s="25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187.87</v>
      </c>
      <c r="U67" s="2"/>
      <c r="V67" s="7">
        <f t="shared" si="49"/>
        <v>8.3851156364442032E-4</v>
      </c>
      <c r="W67" s="2"/>
      <c r="X67" s="6">
        <f t="shared" si="50"/>
        <v>-187.87</v>
      </c>
      <c r="Y67" s="2"/>
      <c r="Z67" s="7">
        <f t="shared" si="51"/>
        <v>-1</v>
      </c>
    </row>
    <row r="68" spans="1:26" s="26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91.01</v>
      </c>
      <c r="E68" s="1"/>
      <c r="F68" s="5">
        <f t="shared" ref="F68:F69" si="52">IF(D$12=0,0,D68/D$12)</f>
        <v>4.5445194124532117E-3</v>
      </c>
      <c r="G68" s="1"/>
      <c r="H68" s="1">
        <f>SUM(OSRRefH22_13x_0)</f>
        <v>16.010000000000002</v>
      </c>
      <c r="I68" s="1"/>
      <c r="J68" s="5">
        <f t="shared" ref="J68:J69" si="53">IF(H$12=0,0,H68/H$12)</f>
        <v>8.5675037419281658E-4</v>
      </c>
      <c r="K68" s="1"/>
      <c r="L68" s="1">
        <f t="shared" ref="L68:L69" si="54">+D68-H68</f>
        <v>75</v>
      </c>
      <c r="M68" s="1"/>
      <c r="N68" s="5">
        <f t="shared" ref="N68:N69" si="55">IF(H68=0,0,L68/H68)</f>
        <v>4.6845721424109925</v>
      </c>
      <c r="O68" s="13"/>
      <c r="P68" s="1">
        <f>SUM(OSRRefP22_13x_0)</f>
        <v>637.07000000000005</v>
      </c>
      <c r="Q68" s="1"/>
      <c r="R68" s="5">
        <f t="shared" ref="R68:R69" si="56">IF(P$12=0,0,P68/P$12)</f>
        <v>2.9060607105627946E-3</v>
      </c>
      <c r="S68" s="1"/>
      <c r="T68" s="1">
        <f>SUM(OSRRefT22_13x_0)</f>
        <v>562.07000000000005</v>
      </c>
      <c r="U68" s="1"/>
      <c r="V68" s="5">
        <f t="shared" ref="V68:V69" si="57">IF(T$12=0,0,T68/T$12)</f>
        <v>2.5086612794891112E-3</v>
      </c>
      <c r="W68" s="1"/>
      <c r="X68" s="1">
        <f t="shared" ref="X68:X69" si="58">+P68-T68</f>
        <v>75</v>
      </c>
      <c r="Y68" s="1"/>
      <c r="Z68" s="5">
        <f t="shared" ref="Z68:Z69" si="59">IF(T68=0,0,X68/T68)</f>
        <v>0.13343533723557563</v>
      </c>
    </row>
    <row r="69" spans="1:26" s="24" customFormat="1" hidden="1" outlineLevel="2" x14ac:dyDescent="0.25">
      <c r="A69" s="25"/>
      <c r="B69" s="11" t="str">
        <f>CONCATENATE("          ", "6309", " - ", "TELEPHONE")</f>
        <v xml:space="preserve">          6309 - TELEPHONE</v>
      </c>
      <c r="C69" s="11"/>
      <c r="D69" s="6">
        <v>91.01</v>
      </c>
      <c r="E69" s="2"/>
      <c r="F69" s="7">
        <f t="shared" si="52"/>
        <v>4.5445194124532117E-3</v>
      </c>
      <c r="G69" s="2"/>
      <c r="H69" s="6">
        <v>16.010000000000002</v>
      </c>
      <c r="I69" s="2"/>
      <c r="J69" s="7">
        <f t="shared" si="53"/>
        <v>8.5675037419281658E-4</v>
      </c>
      <c r="K69" s="2"/>
      <c r="L69" s="6">
        <f t="shared" si="54"/>
        <v>75</v>
      </c>
      <c r="M69" s="2"/>
      <c r="N69" s="7">
        <f t="shared" si="55"/>
        <v>4.6845721424109925</v>
      </c>
      <c r="O69" s="11"/>
      <c r="P69" s="6">
        <v>637.07000000000005</v>
      </c>
      <c r="Q69" s="2"/>
      <c r="R69" s="7">
        <f t="shared" si="56"/>
        <v>2.9060607105627946E-3</v>
      </c>
      <c r="S69" s="2"/>
      <c r="T69" s="6">
        <v>562.07000000000005</v>
      </c>
      <c r="U69" s="2"/>
      <c r="V69" s="7">
        <f t="shared" si="57"/>
        <v>2.5086612794891112E-3</v>
      </c>
      <c r="W69" s="2"/>
      <c r="X69" s="6">
        <f t="shared" si="58"/>
        <v>75</v>
      </c>
      <c r="Y69" s="2"/>
      <c r="Z69" s="7">
        <f t="shared" si="59"/>
        <v>0.13343533723557563</v>
      </c>
    </row>
    <row r="70" spans="1:26" s="59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+D20-D22+D71</f>
        <v>-1481.2800000000007</v>
      </c>
      <c r="E73" s="14"/>
      <c r="F73" s="22">
        <f>IF(D$12=0,0,D73/D$12)</f>
        <v>-7.3966659875603732E-2</v>
      </c>
      <c r="G73" s="14"/>
      <c r="H73" s="21">
        <f>+H20-H22+H71</f>
        <v>-3965.3600000000042</v>
      </c>
      <c r="I73" s="14"/>
      <c r="J73" s="22">
        <f>IF(H$12=0,0,H73/H$12)</f>
        <v>-0.21220010392312494</v>
      </c>
      <c r="K73" s="16"/>
      <c r="L73" s="21">
        <f>+D73-H73</f>
        <v>2484.0800000000036</v>
      </c>
      <c r="M73" s="16"/>
      <c r="N73" s="22">
        <f>IF(H73=0,0,L73/H73)</f>
        <v>-0.62644501381967865</v>
      </c>
      <c r="O73" s="29"/>
      <c r="P73" s="21">
        <f>+P20-P22+P71</f>
        <v>16866.180000000008</v>
      </c>
      <c r="Q73" s="14"/>
      <c r="R73" s="22">
        <f>IF(P$12=0,0,P73/P$12)</f>
        <v>7.6936824894093286E-2</v>
      </c>
      <c r="S73" s="14"/>
      <c r="T73" s="21">
        <f>+T20-T22+T71</f>
        <v>7575.6199999999371</v>
      </c>
      <c r="U73" s="14"/>
      <c r="V73" s="22">
        <f>IF(T$12=0,0,T73/T$12)</f>
        <v>3.38119176652786E-2</v>
      </c>
      <c r="W73" s="16"/>
      <c r="X73" s="21">
        <f>+P73-T73</f>
        <v>9290.5600000000704</v>
      </c>
      <c r="Y73" s="16"/>
      <c r="Z73" s="22">
        <f>IF(T73=0,0,X73/T73)</f>
        <v>1.226376190991648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1347.08</v>
      </c>
      <c r="E75" s="4"/>
      <c r="F75" s="12">
        <f>IF(D$12=0,0,D75/D$12)</f>
        <v>6.7265478630122749E-2</v>
      </c>
      <c r="G75" s="4"/>
      <c r="H75" s="4">
        <v>635.4</v>
      </c>
      <c r="I75" s="4"/>
      <c r="J75" s="12">
        <f>IF(H$12=0,0,H75/H$12)</f>
        <v>3.4002447705316401E-2</v>
      </c>
      <c r="K75" s="4"/>
      <c r="L75" s="4">
        <f>+D75-H75</f>
        <v>711.68</v>
      </c>
      <c r="M75" s="4"/>
      <c r="N75" s="12">
        <f>IF(H75=0,0,L75/H75)</f>
        <v>1.1200503619767075</v>
      </c>
      <c r="O75" s="10"/>
      <c r="P75" s="4">
        <v>22861.66</v>
      </c>
      <c r="Q75" s="4"/>
      <c r="R75" s="12">
        <f>IF(P$12=0,0,P75/P$12)</f>
        <v>0.10428582715281681</v>
      </c>
      <c r="S75" s="4"/>
      <c r="T75" s="4">
        <v>22797.38</v>
      </c>
      <c r="U75" s="4"/>
      <c r="V75" s="12">
        <f>IF(T$12=0,0,T75/T$12)</f>
        <v>0.10175050168092849</v>
      </c>
      <c r="W75" s="4"/>
      <c r="X75" s="4">
        <f>+P75-T75</f>
        <v>64.279999999998836</v>
      </c>
      <c r="Y75" s="4"/>
      <c r="Z75" s="12">
        <f>IF(T75=0,0,X75/T75)</f>
        <v>2.8196222548380048E-3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4">
        <f>+D73-D75</f>
        <v>-2828.3600000000006</v>
      </c>
      <c r="E77" s="14"/>
      <c r="F77" s="31">
        <f>IF(D$12=0,0,D77/D$12)</f>
        <v>-0.1412321385057265</v>
      </c>
      <c r="G77" s="14"/>
      <c r="H77" s="34">
        <f>+H73-H75</f>
        <v>-4600.7600000000039</v>
      </c>
      <c r="I77" s="14"/>
      <c r="J77" s="31">
        <f>IF(H$12=0,0,H77/H$12)</f>
        <v>-0.24620255162844132</v>
      </c>
      <c r="K77" s="16"/>
      <c r="L77" s="34">
        <f>D77-H77</f>
        <v>1772.4000000000033</v>
      </c>
      <c r="M77" s="16"/>
      <c r="N77" s="31">
        <f>IF(H77=0,0,L77/H77)</f>
        <v>-0.38524069936271438</v>
      </c>
      <c r="O77" s="29"/>
      <c r="P77" s="34">
        <f>+P73-P75</f>
        <v>-5995.4799999999923</v>
      </c>
      <c r="Q77" s="14"/>
      <c r="R77" s="31">
        <f>IF(P$12=0,0,P77/P$12)</f>
        <v>-2.7349002258723529E-2</v>
      </c>
      <c r="S77" s="14"/>
      <c r="T77" s="34">
        <f>+T73-T75</f>
        <v>-15221.760000000064</v>
      </c>
      <c r="U77" s="14"/>
      <c r="V77" s="31">
        <f>IF(T$12=0,0,T77/T$12)</f>
        <v>-6.793858401564988E-2</v>
      </c>
      <c r="W77" s="16"/>
      <c r="X77" s="34">
        <f>P77-T77</f>
        <v>9226.2800000000716</v>
      </c>
      <c r="Y77" s="16"/>
      <c r="Z77" s="31">
        <f>IF(T77=0,0,X77/T77)</f>
        <v>-0.6061243903464536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0">
        <f>SUM(D77:D79)</f>
        <v>-2828.3600000000006</v>
      </c>
      <c r="E80" s="14"/>
      <c r="F80" s="33">
        <f>IF(D$12=0,0,D80/D$12)</f>
        <v>-0.1412321385057265</v>
      </c>
      <c r="G80" s="14"/>
      <c r="H80" s="30">
        <f>SUM(H77:H79)</f>
        <v>-4600.7600000000039</v>
      </c>
      <c r="I80" s="14"/>
      <c r="J80" s="33">
        <f>IF(H$12=0,0,H80/H$12)</f>
        <v>-0.24620255162844132</v>
      </c>
      <c r="K80" s="16"/>
      <c r="L80" s="30">
        <f>+D80-H80</f>
        <v>1772.4000000000033</v>
      </c>
      <c r="M80" s="16"/>
      <c r="N80" s="33">
        <f>IF(H80=0,0,L80/H80)</f>
        <v>-0.38524069936271438</v>
      </c>
      <c r="O80" s="29"/>
      <c r="P80" s="30">
        <f>SUM(P77:P79)</f>
        <v>-5995.4799999999923</v>
      </c>
      <c r="Q80" s="14"/>
      <c r="R80" s="33">
        <f>IF(P$12=0,0,P80/P$12)</f>
        <v>-2.7349002258723529E-2</v>
      </c>
      <c r="S80" s="14"/>
      <c r="T80" s="30">
        <f>SUM(T77:T79)</f>
        <v>-15221.760000000064</v>
      </c>
      <c r="U80" s="14"/>
      <c r="V80" s="33">
        <f>IF(T$12=0,0,T80/T$12)</f>
        <v>-6.793858401564988E-2</v>
      </c>
      <c r="W80" s="16"/>
      <c r="X80" s="30">
        <f>+P80-T80</f>
        <v>9226.2800000000716</v>
      </c>
      <c r="Y80" s="16"/>
      <c r="Z80" s="33">
        <f>IF(T80=0,0,X80/T80)</f>
        <v>-0.6061243903464536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43879.553801388887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8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","313", " - ", "Convenience Store")</f>
        <v>Department 313 - Convenience 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42347.089999999989</v>
      </c>
      <c r="E12" s="4"/>
      <c r="F12" s="12"/>
      <c r="G12" s="4"/>
      <c r="H12" s="4">
        <f>SUM(OSRRefH13x_0)</f>
        <v>40093.589999999997</v>
      </c>
      <c r="I12" s="4"/>
      <c r="J12" s="12"/>
      <c r="K12" s="4"/>
      <c r="L12" s="4">
        <f t="shared" ref="L12:L20" si="0">+D12-H12</f>
        <v>2253.4999999999927</v>
      </c>
      <c r="M12" s="4"/>
      <c r="N12" s="12">
        <f t="shared" ref="N12:N20" si="1">IF(H12=0,0,L12/H12)</f>
        <v>5.6205992030147284E-2</v>
      </c>
      <c r="O12" s="10"/>
      <c r="P12" s="4">
        <f>SUM(OSRRefP13x_0)</f>
        <v>379920.38</v>
      </c>
      <c r="Q12" s="4"/>
      <c r="R12" s="12"/>
      <c r="S12" s="4"/>
      <c r="T12" s="4">
        <f>SUM(OSRRefT13x_0)</f>
        <v>368933.58</v>
      </c>
      <c r="U12" s="4"/>
      <c r="V12" s="12"/>
      <c r="W12" s="4"/>
      <c r="X12" s="4">
        <f t="shared" ref="X12:X20" si="2">+P12-T12</f>
        <v>10986.799999999988</v>
      </c>
      <c r="Y12" s="4"/>
      <c r="Z12" s="12">
        <f t="shared" ref="Z12:Z20" si="3">IF(T12=0,0,X12/T12)</f>
        <v>2.9779886124759878E-2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--8276.01</f>
        <v>8276.01</v>
      </c>
      <c r="E13" s="2"/>
      <c r="F13" s="19"/>
      <c r="G13" s="2"/>
      <c r="H13" s="2">
        <f>--8143.34</f>
        <v>8143.34</v>
      </c>
      <c r="I13" s="2"/>
      <c r="J13" s="19"/>
      <c r="K13" s="2"/>
      <c r="L13" s="2">
        <f t="shared" si="0"/>
        <v>132.67000000000007</v>
      </c>
      <c r="M13" s="2"/>
      <c r="N13" s="19">
        <f t="shared" si="1"/>
        <v>1.6291840939958308E-2</v>
      </c>
      <c r="O13" s="11"/>
      <c r="P13" s="2">
        <f>--80501.09</f>
        <v>80501.09</v>
      </c>
      <c r="Q13" s="2"/>
      <c r="R13" s="19"/>
      <c r="S13" s="2"/>
      <c r="T13" s="2">
        <f>--78287.6</f>
        <v>78287.600000000006</v>
      </c>
      <c r="U13" s="2"/>
      <c r="V13" s="19"/>
      <c r="W13" s="2"/>
      <c r="X13" s="2">
        <f t="shared" si="2"/>
        <v>2213.4899999999907</v>
      </c>
      <c r="Y13" s="2"/>
      <c r="Z13" s="19">
        <f t="shared" si="3"/>
        <v>2.8273826250900403E-2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--302.09</f>
        <v>302.08999999999997</v>
      </c>
      <c r="E15" s="2"/>
      <c r="F15" s="19"/>
      <c r="G15" s="2"/>
      <c r="H15" s="2">
        <f>--203.72</f>
        <v>203.72</v>
      </c>
      <c r="I15" s="2"/>
      <c r="J15" s="19"/>
      <c r="K15" s="2"/>
      <c r="L15" s="2">
        <f t="shared" si="0"/>
        <v>98.369999999999976</v>
      </c>
      <c r="M15" s="2"/>
      <c r="N15" s="19">
        <f t="shared" si="1"/>
        <v>0.48286864323581374</v>
      </c>
      <c r="O15" s="11"/>
      <c r="P15" s="2">
        <f>--2504.01</f>
        <v>2504.0100000000002</v>
      </c>
      <c r="Q15" s="2"/>
      <c r="R15" s="19"/>
      <c r="S15" s="2"/>
      <c r="T15" s="2">
        <f>--1522.89</f>
        <v>1522.89</v>
      </c>
      <c r="U15" s="2"/>
      <c r="V15" s="19"/>
      <c r="W15" s="2"/>
      <c r="X15" s="2">
        <f t="shared" si="2"/>
        <v>981.12000000000012</v>
      </c>
      <c r="Y15" s="2"/>
      <c r="Z15" s="19">
        <f t="shared" si="3"/>
        <v>0.64424876386344387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--33626.7</f>
        <v>33626.699999999997</v>
      </c>
      <c r="E16" s="2"/>
      <c r="F16" s="19"/>
      <c r="G16" s="2"/>
      <c r="H16" s="2">
        <f>--31508.07</f>
        <v>31508.07</v>
      </c>
      <c r="I16" s="2"/>
      <c r="J16" s="19"/>
      <c r="K16" s="2"/>
      <c r="L16" s="2">
        <f t="shared" si="0"/>
        <v>2118.6299999999974</v>
      </c>
      <c r="M16" s="2"/>
      <c r="N16" s="19">
        <f t="shared" si="1"/>
        <v>6.724086876790604E-2</v>
      </c>
      <c r="O16" s="11"/>
      <c r="P16" s="2">
        <f>--295622.5</f>
        <v>295622.5</v>
      </c>
      <c r="Q16" s="2"/>
      <c r="R16" s="19"/>
      <c r="S16" s="2"/>
      <c r="T16" s="2">
        <f>--287410.9</f>
        <v>287410.90000000002</v>
      </c>
      <c r="U16" s="2"/>
      <c r="V16" s="19"/>
      <c r="W16" s="2"/>
      <c r="X16" s="2">
        <f t="shared" si="2"/>
        <v>8211.5999999999767</v>
      </c>
      <c r="Y16" s="2"/>
      <c r="Z16" s="19">
        <f t="shared" si="3"/>
        <v>2.8570941463945787E-2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--1.59</f>
        <v>1.59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1.59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--8.02</f>
        <v>8.02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8.02</v>
      </c>
      <c r="M18" s="2"/>
      <c r="N18" s="19">
        <f t="shared" si="1"/>
        <v>0</v>
      </c>
      <c r="O18" s="11"/>
      <c r="P18" s="2">
        <f>--8.41</f>
        <v>8.41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-45.53</v>
      </c>
      <c r="Y18" s="2"/>
      <c r="Z18" s="19">
        <f t="shared" si="3"/>
        <v>-0.84408602150537637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--132.68</f>
        <v>132.68</v>
      </c>
      <c r="E19" s="2"/>
      <c r="F19" s="19"/>
      <c r="G19" s="2"/>
      <c r="H19" s="2">
        <f>--238.46</f>
        <v>238.46</v>
      </c>
      <c r="I19" s="2"/>
      <c r="J19" s="19"/>
      <c r="K19" s="2"/>
      <c r="L19" s="2">
        <f t="shared" si="0"/>
        <v>-105.78</v>
      </c>
      <c r="M19" s="2"/>
      <c r="N19" s="19">
        <f t="shared" si="1"/>
        <v>-0.44359641029942126</v>
      </c>
      <c r="O19" s="11"/>
      <c r="P19" s="2">
        <f>--1282.78</f>
        <v>1282.78</v>
      </c>
      <c r="Q19" s="2"/>
      <c r="R19" s="19"/>
      <c r="S19" s="2"/>
      <c r="T19" s="2">
        <f>--1639.95</f>
        <v>1639.95</v>
      </c>
      <c r="U19" s="2"/>
      <c r="V19" s="19"/>
      <c r="W19" s="2"/>
      <c r="X19" s="2">
        <f t="shared" si="2"/>
        <v>-357.17000000000007</v>
      </c>
      <c r="Y19" s="2"/>
      <c r="Z19" s="19">
        <f t="shared" si="3"/>
        <v>-0.21779322540321355</v>
      </c>
    </row>
    <row r="20" spans="1:26" s="24" customFormat="1" hidden="1" outlineLevel="1" x14ac:dyDescent="0.25">
      <c r="A20" s="44"/>
      <c r="B20" s="11" t="str">
        <f>CONCATENATE("          ", "4233", " - ", "SALES RETURN TAXABLE-CANDY")</f>
        <v xml:space="preserve">          4233 - SALES RETURN TAXABLE-CANDY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-1.69</f>
        <v>-1.69</v>
      </c>
      <c r="U20" s="2"/>
      <c r="V20" s="19"/>
      <c r="W20" s="2"/>
      <c r="X20" s="2">
        <f t="shared" si="2"/>
        <v>1.69</v>
      </c>
      <c r="Y20" s="2"/>
      <c r="Z20" s="19">
        <f t="shared" si="3"/>
        <v>-1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8</v>
      </c>
      <c r="C22" s="10"/>
      <c r="D22" s="4">
        <f>SUM(OSRRefD16x_0)</f>
        <v>20327.25</v>
      </c>
      <c r="E22" s="4"/>
      <c r="F22" s="12">
        <f t="shared" ref="F22:F24" si="5">IF(D$12=0,0,D22/D$12)</f>
        <v>0.48001527377678149</v>
      </c>
      <c r="G22" s="4"/>
      <c r="H22" s="4">
        <f>SUM(OSRRefH16x_0)</f>
        <v>24571.769999999997</v>
      </c>
      <c r="I22" s="4"/>
      <c r="J22" s="12">
        <f t="shared" ref="J22:J24" si="6">IF(H$12=0,0,H22/H$12)</f>
        <v>0.61286031008946817</v>
      </c>
      <c r="K22" s="4"/>
      <c r="L22" s="4">
        <f t="shared" ref="L22:L24" si="7">+D22-H22</f>
        <v>-4244.5199999999968</v>
      </c>
      <c r="M22" s="4"/>
      <c r="N22" s="12">
        <f t="shared" ref="N22:N24" si="8">IF(H22=0,0,L22/H22)</f>
        <v>-0.17273969274496698</v>
      </c>
      <c r="O22" s="10"/>
      <c r="P22" s="4">
        <f>SUM(OSRRefP16x_0)</f>
        <v>179412.62</v>
      </c>
      <c r="Q22" s="4"/>
      <c r="R22" s="12">
        <f t="shared" ref="R22:R24" si="9">IF(P$12=0,0,P22/P$12)</f>
        <v>0.47223741985096979</v>
      </c>
      <c r="S22" s="4"/>
      <c r="T22" s="4">
        <f>SUM(OSRRefT16x_0)</f>
        <v>174580.44</v>
      </c>
      <c r="U22" s="4"/>
      <c r="V22" s="12">
        <f t="shared" ref="V22:V24" si="10">IF(T$12=0,0,T22/T$12)</f>
        <v>0.47320290009925364</v>
      </c>
      <c r="W22" s="4"/>
      <c r="X22" s="4">
        <f t="shared" ref="X22:X24" si="11">+P22-T22</f>
        <v>4832.179999999993</v>
      </c>
      <c r="Y22" s="4"/>
      <c r="Z22" s="12">
        <f t="shared" ref="Z22:Z24" si="12">IF(T22=0,0,X22/T22)</f>
        <v>2.7678816710508879E-2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21892.15</v>
      </c>
      <c r="E23" s="2"/>
      <c r="F23" s="19">
        <f t="shared" si="5"/>
        <v>0.51696940687069659</v>
      </c>
      <c r="G23" s="2"/>
      <c r="H23" s="2">
        <v>30310.489999999998</v>
      </c>
      <c r="I23" s="2"/>
      <c r="J23" s="19">
        <f t="shared" si="6"/>
        <v>0.75599341440863743</v>
      </c>
      <c r="K23" s="2"/>
      <c r="L23" s="2">
        <f t="shared" si="7"/>
        <v>-8418.3399999999965</v>
      </c>
      <c r="M23" s="2"/>
      <c r="N23" s="19">
        <f t="shared" si="8"/>
        <v>-0.27773684951975364</v>
      </c>
      <c r="O23" s="11"/>
      <c r="P23" s="2">
        <v>184400.84</v>
      </c>
      <c r="Q23" s="2"/>
      <c r="R23" s="19">
        <f t="shared" si="9"/>
        <v>0.48536706559411208</v>
      </c>
      <c r="S23" s="2"/>
      <c r="T23" s="2">
        <v>175673.88</v>
      </c>
      <c r="U23" s="2"/>
      <c r="V23" s="19">
        <f t="shared" si="10"/>
        <v>0.47616668561316644</v>
      </c>
      <c r="W23" s="2"/>
      <c r="X23" s="2">
        <f t="shared" si="11"/>
        <v>8726.9599999999919</v>
      </c>
      <c r="Y23" s="2"/>
      <c r="Z23" s="19">
        <f t="shared" si="12"/>
        <v>4.9677049314331714E-2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-1564.9</v>
      </c>
      <c r="E24" s="2"/>
      <c r="F24" s="19">
        <f t="shared" si="5"/>
        <v>-3.6954133093915084E-2</v>
      </c>
      <c r="G24" s="2"/>
      <c r="H24" s="2">
        <v>-5738.72</v>
      </c>
      <c r="I24" s="2"/>
      <c r="J24" s="19">
        <f t="shared" si="6"/>
        <v>-0.14313310431916923</v>
      </c>
      <c r="K24" s="2"/>
      <c r="L24" s="2">
        <f t="shared" si="7"/>
        <v>4173.82</v>
      </c>
      <c r="M24" s="2"/>
      <c r="N24" s="19">
        <f t="shared" si="8"/>
        <v>-0.72730852873114549</v>
      </c>
      <c r="O24" s="11"/>
      <c r="P24" s="2">
        <v>-4988.22</v>
      </c>
      <c r="Q24" s="2"/>
      <c r="R24" s="19">
        <f t="shared" si="9"/>
        <v>-1.3129645743142288E-2</v>
      </c>
      <c r="S24" s="2"/>
      <c r="T24" s="2">
        <v>-1093.44</v>
      </c>
      <c r="U24" s="2"/>
      <c r="V24" s="19">
        <f t="shared" si="10"/>
        <v>-2.9637855139128294E-3</v>
      </c>
      <c r="W24" s="2"/>
      <c r="X24" s="2">
        <f t="shared" si="11"/>
        <v>-3894.78</v>
      </c>
      <c r="Y24" s="2"/>
      <c r="Z24" s="19">
        <f t="shared" si="12"/>
        <v>3.5619512730465321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1">
        <f>D12-D22</f>
        <v>22019.839999999989</v>
      </c>
      <c r="E26" s="14"/>
      <c r="F26" s="22">
        <f>IF(D$12=0,0,D26/D$12)</f>
        <v>0.51998472622321856</v>
      </c>
      <c r="G26" s="14"/>
      <c r="H26" s="21">
        <f>H12-H22</f>
        <v>15521.82</v>
      </c>
      <c r="I26" s="14"/>
      <c r="J26" s="22">
        <f>IF(H$12=0,0,H26/H$12)</f>
        <v>0.38713968991053188</v>
      </c>
      <c r="K26" s="16"/>
      <c r="L26" s="21">
        <f>+D26-H26</f>
        <v>6498.0199999999895</v>
      </c>
      <c r="M26" s="16"/>
      <c r="N26" s="22">
        <f>IF(H26=0,0,L26/H26)</f>
        <v>0.41863776283966631</v>
      </c>
      <c r="O26" s="29"/>
      <c r="P26" s="21">
        <f>P12-P22</f>
        <v>200507.76</v>
      </c>
      <c r="Q26" s="14"/>
      <c r="R26" s="22">
        <f>IF(P$12=0,0,P26/P$12)</f>
        <v>0.52776258014903021</v>
      </c>
      <c r="S26" s="14"/>
      <c r="T26" s="21">
        <f>T12-T22</f>
        <v>194353.14</v>
      </c>
      <c r="U26" s="14"/>
      <c r="V26" s="22">
        <f>IF(T$12=0,0,T26/T$12)</f>
        <v>0.52679709990074641</v>
      </c>
      <c r="W26" s="16"/>
      <c r="X26" s="21">
        <f>+P26-T26</f>
        <v>6154.6199999999953</v>
      </c>
      <c r="Y26" s="16"/>
      <c r="Z26" s="22">
        <f>IF(T26=0,0,X26/T26)</f>
        <v>3.166720126055074E-2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0">
        <f>SUM(OSRRefD22x_0)</f>
        <v>18971.379999999997</v>
      </c>
      <c r="E28" s="20"/>
      <c r="F28" s="32">
        <f t="shared" ref="F28:F37" si="13">IF(D$12=0,0,D28/D$12)</f>
        <v>0.44799725317607425</v>
      </c>
      <c r="G28" s="20"/>
      <c r="H28" s="20">
        <f>SUM(OSRRefH22x_0)</f>
        <v>22479.759999999998</v>
      </c>
      <c r="I28" s="20"/>
      <c r="J28" s="32">
        <f t="shared" ref="J28:J37" si="14">IF(H$12=0,0,H28/H$12)</f>
        <v>0.56068214395368443</v>
      </c>
      <c r="K28" s="4"/>
      <c r="L28" s="20">
        <f t="shared" ref="L28:L37" si="15">+D28-H28</f>
        <v>-3508.380000000001</v>
      </c>
      <c r="M28" s="4"/>
      <c r="N28" s="32">
        <f t="shared" ref="N28:N37" si="16">IF(H28=0,0,L28/H28)</f>
        <v>-0.15606839218924051</v>
      </c>
      <c r="O28" s="10"/>
      <c r="P28" s="20">
        <f>SUM(OSRRefP22x_0)</f>
        <v>132684.78000000003</v>
      </c>
      <c r="Q28" s="20"/>
      <c r="R28" s="32">
        <f t="shared" ref="R28:R37" si="17">IF(P$12=0,0,P28/P$12)</f>
        <v>0.34924364941938629</v>
      </c>
      <c r="S28" s="20"/>
      <c r="T28" s="20">
        <f>SUM(OSRRefT22x_0)</f>
        <v>149617.97999999998</v>
      </c>
      <c r="U28" s="20"/>
      <c r="V28" s="32">
        <f t="shared" ref="V28:V37" si="18">IF(T$12=0,0,T28/T$12)</f>
        <v>0.40554177800784624</v>
      </c>
      <c r="W28" s="4"/>
      <c r="X28" s="20">
        <f t="shared" ref="X28:X37" si="19">+P28-T28</f>
        <v>-16933.199999999953</v>
      </c>
      <c r="Y28" s="4"/>
      <c r="Z28" s="32">
        <f t="shared" ref="Z28:Z37" si="20">IF(T28=0,0,X28/T28)</f>
        <v>-0.11317623724100509</v>
      </c>
    </row>
    <row r="29" spans="1:26" s="26" customFormat="1" outlineLevel="1" collapsed="1" x14ac:dyDescent="0.25">
      <c r="A29" s="27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4290.9299999999994</v>
      </c>
      <c r="E29" s="1"/>
      <c r="F29" s="5">
        <f t="shared" si="13"/>
        <v>0.10132762369267878</v>
      </c>
      <c r="G29" s="1"/>
      <c r="H29" s="1">
        <f>SUM(OSRRefH22_0x_0)</f>
        <v>4378.59</v>
      </c>
      <c r="I29" s="1"/>
      <c r="J29" s="5">
        <f t="shared" si="14"/>
        <v>0.10920922770946678</v>
      </c>
      <c r="K29" s="1"/>
      <c r="L29" s="1">
        <f t="shared" si="15"/>
        <v>-87.660000000000764</v>
      </c>
      <c r="M29" s="1"/>
      <c r="N29" s="5">
        <f t="shared" si="16"/>
        <v>-2.0020143470843528E-2</v>
      </c>
      <c r="O29" s="13"/>
      <c r="P29" s="1">
        <f>SUM(OSRRefP22_0x_0)</f>
        <v>30816.569999999996</v>
      </c>
      <c r="Q29" s="1"/>
      <c r="R29" s="5">
        <f t="shared" si="17"/>
        <v>8.1113232198809643E-2</v>
      </c>
      <c r="S29" s="1"/>
      <c r="T29" s="1">
        <f>SUM(OSRRefT22_0x_0)</f>
        <v>30936.979999999996</v>
      </c>
      <c r="U29" s="1"/>
      <c r="V29" s="5">
        <f t="shared" si="18"/>
        <v>8.385514812720489E-2</v>
      </c>
      <c r="W29" s="1"/>
      <c r="X29" s="1">
        <f t="shared" si="19"/>
        <v>-120.40999999999985</v>
      </c>
      <c r="Y29" s="1"/>
      <c r="Z29" s="5">
        <f t="shared" si="20"/>
        <v>-3.8921058228695844E-3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6">
        <v>394.8</v>
      </c>
      <c r="E30" s="2"/>
      <c r="F30" s="7">
        <f t="shared" si="13"/>
        <v>9.322954658749872E-3</v>
      </c>
      <c r="G30" s="2"/>
      <c r="H30" s="6">
        <v>666.92</v>
      </c>
      <c r="I30" s="2"/>
      <c r="J30" s="7">
        <f t="shared" si="14"/>
        <v>1.663408041035986E-2</v>
      </c>
      <c r="K30" s="2"/>
      <c r="L30" s="6">
        <f t="shared" si="15"/>
        <v>-272.11999999999995</v>
      </c>
      <c r="M30" s="2"/>
      <c r="N30" s="7">
        <f t="shared" si="16"/>
        <v>-0.40802495051880278</v>
      </c>
      <c r="O30" s="11"/>
      <c r="P30" s="6">
        <v>3625.32</v>
      </c>
      <c r="Q30" s="2"/>
      <c r="R30" s="7">
        <f t="shared" si="17"/>
        <v>9.5423151556123416E-3</v>
      </c>
      <c r="S30" s="2"/>
      <c r="T30" s="6">
        <v>5701.09</v>
      </c>
      <c r="U30" s="2"/>
      <c r="V30" s="7">
        <f t="shared" si="18"/>
        <v>1.5452889921269839E-2</v>
      </c>
      <c r="W30" s="2"/>
      <c r="X30" s="6">
        <f t="shared" si="19"/>
        <v>-2075.77</v>
      </c>
      <c r="Y30" s="2"/>
      <c r="Z30" s="7">
        <f t="shared" si="20"/>
        <v>-0.36410054919322443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6">
        <v>161.43</v>
      </c>
      <c r="E31" s="2"/>
      <c r="F31" s="7">
        <f t="shared" si="13"/>
        <v>3.8120683144933936E-3</v>
      </c>
      <c r="G31" s="2"/>
      <c r="H31" s="6">
        <v>105.08</v>
      </c>
      <c r="I31" s="2"/>
      <c r="J31" s="7">
        <f t="shared" si="14"/>
        <v>2.6208678245076087E-3</v>
      </c>
      <c r="K31" s="2"/>
      <c r="L31" s="6">
        <f t="shared" si="15"/>
        <v>56.350000000000009</v>
      </c>
      <c r="M31" s="2"/>
      <c r="N31" s="7">
        <f t="shared" si="16"/>
        <v>0.53625808907499062</v>
      </c>
      <c r="O31" s="11"/>
      <c r="P31" s="6">
        <v>1212.82</v>
      </c>
      <c r="Q31" s="2"/>
      <c r="R31" s="7">
        <f t="shared" si="17"/>
        <v>3.1923004498995286E-3</v>
      </c>
      <c r="S31" s="2"/>
      <c r="T31" s="6">
        <v>984.92</v>
      </c>
      <c r="U31" s="2"/>
      <c r="V31" s="7">
        <f t="shared" si="18"/>
        <v>2.6696404268757535E-3</v>
      </c>
      <c r="W31" s="2"/>
      <c r="X31" s="6">
        <f t="shared" si="19"/>
        <v>227.89999999999998</v>
      </c>
      <c r="Y31" s="2"/>
      <c r="Z31" s="7">
        <f t="shared" si="20"/>
        <v>0.23138935141940462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6">
        <v>2021.26</v>
      </c>
      <c r="E32" s="2"/>
      <c r="F32" s="7">
        <f t="shared" si="13"/>
        <v>4.7730788585473062E-2</v>
      </c>
      <c r="G32" s="2"/>
      <c r="H32" s="6">
        <v>2019.97</v>
      </c>
      <c r="I32" s="2"/>
      <c r="J32" s="7">
        <f t="shared" si="14"/>
        <v>5.0381370189100057E-2</v>
      </c>
      <c r="K32" s="2"/>
      <c r="L32" s="6">
        <f t="shared" si="15"/>
        <v>1.2899999999999636</v>
      </c>
      <c r="M32" s="2"/>
      <c r="N32" s="7">
        <f t="shared" si="16"/>
        <v>6.3862334589125764E-4</v>
      </c>
      <c r="O32" s="11"/>
      <c r="P32" s="6">
        <v>14141.08</v>
      </c>
      <c r="Q32" s="2"/>
      <c r="R32" s="7">
        <f t="shared" si="17"/>
        <v>3.7221167235092785E-2</v>
      </c>
      <c r="S32" s="2"/>
      <c r="T32" s="6">
        <v>12869.26</v>
      </c>
      <c r="U32" s="2"/>
      <c r="V32" s="7">
        <f t="shared" si="18"/>
        <v>3.4882322178425719E-2</v>
      </c>
      <c r="W32" s="2"/>
      <c r="X32" s="6">
        <f t="shared" si="19"/>
        <v>1271.8199999999997</v>
      </c>
      <c r="Y32" s="2"/>
      <c r="Z32" s="7">
        <f t="shared" si="20"/>
        <v>9.882619513476297E-2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6">
        <v>22.09</v>
      </c>
      <c r="E33" s="2"/>
      <c r="F33" s="7">
        <f t="shared" si="13"/>
        <v>5.2164151066814762E-4</v>
      </c>
      <c r="G33" s="2"/>
      <c r="H33" s="6">
        <v>29.57</v>
      </c>
      <c r="I33" s="2"/>
      <c r="J33" s="7">
        <f t="shared" si="14"/>
        <v>7.3752437733812324E-4</v>
      </c>
      <c r="K33" s="2"/>
      <c r="L33" s="6">
        <f t="shared" si="15"/>
        <v>-7.48</v>
      </c>
      <c r="M33" s="2"/>
      <c r="N33" s="7">
        <f t="shared" si="16"/>
        <v>-0.25295908014879948</v>
      </c>
      <c r="O33" s="11"/>
      <c r="P33" s="6">
        <v>198.85</v>
      </c>
      <c r="Q33" s="2"/>
      <c r="R33" s="7">
        <f t="shared" si="17"/>
        <v>5.2339913957761359E-4</v>
      </c>
      <c r="S33" s="2"/>
      <c r="T33" s="6">
        <v>267.75</v>
      </c>
      <c r="U33" s="2"/>
      <c r="V33" s="7">
        <f t="shared" si="18"/>
        <v>7.2574038936764707E-4</v>
      </c>
      <c r="W33" s="2"/>
      <c r="X33" s="6">
        <f t="shared" si="19"/>
        <v>-68.900000000000006</v>
      </c>
      <c r="Y33" s="2"/>
      <c r="Z33" s="7">
        <f t="shared" si="20"/>
        <v>-0.25732959850606912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6">
        <v>853.45</v>
      </c>
      <c r="E34" s="2"/>
      <c r="F34" s="7">
        <f t="shared" si="13"/>
        <v>2.0153687065628364E-2</v>
      </c>
      <c r="G34" s="2"/>
      <c r="H34" s="6">
        <v>762.77</v>
      </c>
      <c r="I34" s="2"/>
      <c r="J34" s="7">
        <f t="shared" si="14"/>
        <v>1.9024736871903963E-2</v>
      </c>
      <c r="K34" s="2"/>
      <c r="L34" s="6">
        <f t="shared" si="15"/>
        <v>90.680000000000064</v>
      </c>
      <c r="M34" s="2"/>
      <c r="N34" s="7">
        <f t="shared" si="16"/>
        <v>0.11888249406767448</v>
      </c>
      <c r="O34" s="11"/>
      <c r="P34" s="6">
        <v>4785.03</v>
      </c>
      <c r="Q34" s="2"/>
      <c r="R34" s="7">
        <f t="shared" si="17"/>
        <v>1.2594823157420509E-2</v>
      </c>
      <c r="S34" s="2"/>
      <c r="T34" s="6">
        <v>4523.43</v>
      </c>
      <c r="U34" s="2"/>
      <c r="V34" s="7">
        <f t="shared" si="18"/>
        <v>1.2260824834649098E-2</v>
      </c>
      <c r="W34" s="2"/>
      <c r="X34" s="6">
        <f t="shared" si="19"/>
        <v>261.59999999999945</v>
      </c>
      <c r="Y34" s="2"/>
      <c r="Z34" s="7">
        <f t="shared" si="20"/>
        <v>5.7832220239950535E-2</v>
      </c>
    </row>
    <row r="35" spans="1:26" s="24" customFormat="1" hidden="1" outlineLevel="2" x14ac:dyDescent="0.25">
      <c r="A35" s="25"/>
      <c r="B35" s="11" t="str">
        <f>CONCATENATE("          ", "6118", " - ", "VACATION")</f>
        <v xml:space="preserve">          6118 - VACATION</v>
      </c>
      <c r="C35" s="11"/>
      <c r="D35" s="6">
        <v>407.06</v>
      </c>
      <c r="E35" s="2"/>
      <c r="F35" s="7">
        <f t="shared" si="13"/>
        <v>9.6124668778893689E-3</v>
      </c>
      <c r="G35" s="2"/>
      <c r="H35" s="6">
        <v>395.2</v>
      </c>
      <c r="I35" s="2"/>
      <c r="J35" s="7">
        <f t="shared" si="14"/>
        <v>9.856937231113503E-3</v>
      </c>
      <c r="K35" s="2"/>
      <c r="L35" s="6">
        <f t="shared" si="15"/>
        <v>11.860000000000014</v>
      </c>
      <c r="M35" s="2"/>
      <c r="N35" s="7">
        <f t="shared" si="16"/>
        <v>3.0010121457489915E-2</v>
      </c>
      <c r="O35" s="11"/>
      <c r="P35" s="6">
        <v>3361.84</v>
      </c>
      <c r="Q35" s="2"/>
      <c r="R35" s="7">
        <f t="shared" si="17"/>
        <v>8.8488014251828246E-3</v>
      </c>
      <c r="S35" s="2"/>
      <c r="T35" s="6">
        <v>3203.78</v>
      </c>
      <c r="U35" s="2"/>
      <c r="V35" s="7">
        <f t="shared" si="18"/>
        <v>8.6838937241765848E-3</v>
      </c>
      <c r="W35" s="2"/>
      <c r="X35" s="6">
        <f t="shared" si="19"/>
        <v>158.05999999999995</v>
      </c>
      <c r="Y35" s="2"/>
      <c r="Z35" s="7">
        <f t="shared" si="20"/>
        <v>4.933547247314108E-2</v>
      </c>
    </row>
    <row r="36" spans="1:26" s="24" customFormat="1" hidden="1" outlineLevel="2" x14ac:dyDescent="0.25">
      <c r="A36" s="25"/>
      <c r="B36" s="11" t="str">
        <f>CONCATENATE("          ", "6119", " - ", "SICK LEAVE")</f>
        <v xml:space="preserve">          6119 - SICK LEAVE</v>
      </c>
      <c r="C36" s="11"/>
      <c r="D36" s="6">
        <v>256.76</v>
      </c>
      <c r="E36" s="2"/>
      <c r="F36" s="7">
        <f t="shared" si="13"/>
        <v>6.0632265404777534E-3</v>
      </c>
      <c r="G36" s="2"/>
      <c r="H36" s="6">
        <v>249.28</v>
      </c>
      <c r="I36" s="2"/>
      <c r="J36" s="7">
        <f t="shared" si="14"/>
        <v>6.2174527150100556E-3</v>
      </c>
      <c r="K36" s="2"/>
      <c r="L36" s="6">
        <f t="shared" si="15"/>
        <v>7.4799999999999898</v>
      </c>
      <c r="M36" s="2"/>
      <c r="N36" s="7">
        <f t="shared" si="16"/>
        <v>3.0006418485237444E-2</v>
      </c>
      <c r="O36" s="11"/>
      <c r="P36" s="6">
        <v>2330.12</v>
      </c>
      <c r="Q36" s="2"/>
      <c r="R36" s="7">
        <f t="shared" si="17"/>
        <v>6.1331797994095497E-3</v>
      </c>
      <c r="S36" s="2"/>
      <c r="T36" s="6">
        <v>2199.33</v>
      </c>
      <c r="U36" s="2"/>
      <c r="V36" s="7">
        <f t="shared" si="18"/>
        <v>5.9613169394881317E-3</v>
      </c>
      <c r="W36" s="2"/>
      <c r="X36" s="6">
        <f t="shared" si="19"/>
        <v>130.78999999999996</v>
      </c>
      <c r="Y36" s="2"/>
      <c r="Z36" s="7">
        <f t="shared" si="20"/>
        <v>5.9468110742817118E-2</v>
      </c>
    </row>
    <row r="37" spans="1:26" s="24" customFormat="1" hidden="1" outlineLevel="2" x14ac:dyDescent="0.25">
      <c r="A37" s="25"/>
      <c r="B37" s="11" t="str">
        <f>CONCATENATE("          ", "6156", " - ", "EMPLOYEE MEALS")</f>
        <v xml:space="preserve">          6156 - EMPLOYEE MEALS</v>
      </c>
      <c r="C37" s="11"/>
      <c r="D37" s="6">
        <v>174.08</v>
      </c>
      <c r="E37" s="2"/>
      <c r="F37" s="7">
        <f t="shared" si="13"/>
        <v>4.110790139298829E-3</v>
      </c>
      <c r="G37" s="2"/>
      <c r="H37" s="6">
        <v>149.80000000000001</v>
      </c>
      <c r="I37" s="2"/>
      <c r="J37" s="7">
        <f t="shared" si="14"/>
        <v>3.7362580901336103E-3</v>
      </c>
      <c r="K37" s="2"/>
      <c r="L37" s="6">
        <f t="shared" si="15"/>
        <v>24.28</v>
      </c>
      <c r="M37" s="2"/>
      <c r="N37" s="7">
        <f t="shared" si="16"/>
        <v>0.16208277703604806</v>
      </c>
      <c r="O37" s="11"/>
      <c r="P37" s="6">
        <v>1161.51</v>
      </c>
      <c r="Q37" s="2"/>
      <c r="R37" s="7">
        <f t="shared" si="17"/>
        <v>3.057245836614503E-3</v>
      </c>
      <c r="S37" s="2"/>
      <c r="T37" s="6">
        <v>1187.42</v>
      </c>
      <c r="U37" s="2"/>
      <c r="V37" s="7">
        <f t="shared" si="18"/>
        <v>3.2185197129521253E-3</v>
      </c>
      <c r="W37" s="2"/>
      <c r="X37" s="6">
        <f t="shared" si="19"/>
        <v>-25.910000000000082</v>
      </c>
      <c r="Y37" s="2"/>
      <c r="Z37" s="7">
        <f t="shared" si="20"/>
        <v>-2.1820417375486414E-2</v>
      </c>
    </row>
    <row r="38" spans="1:26" s="26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11986.83</v>
      </c>
      <c r="E38" s="1"/>
      <c r="F38" s="5">
        <f t="shared" ref="F38:F43" si="21">IF(D$12=0,0,D38/D$12)</f>
        <v>0.28306148072984477</v>
      </c>
      <c r="G38" s="1"/>
      <c r="H38" s="1">
        <f>SUM(OSRRefH22_1x_0)</f>
        <v>16076.640000000003</v>
      </c>
      <c r="I38" s="1"/>
      <c r="J38" s="5">
        <f t="shared" ref="J38:J43" si="22">IF(H$12=0,0,H38/H$12)</f>
        <v>0.40097781216398942</v>
      </c>
      <c r="K38" s="1"/>
      <c r="L38" s="1">
        <f t="shared" ref="L38:L43" si="23">+D38-H38</f>
        <v>-4089.8100000000031</v>
      </c>
      <c r="M38" s="1"/>
      <c r="N38" s="5">
        <f t="shared" ref="N38:N43" si="24">IF(H38=0,0,L38/H38)</f>
        <v>-0.25439457498581808</v>
      </c>
      <c r="O38" s="13"/>
      <c r="P38" s="1">
        <f>SUM(OSRRefP22_1x_0)</f>
        <v>79672.649999999994</v>
      </c>
      <c r="Q38" s="1"/>
      <c r="R38" s="5">
        <f t="shared" ref="R38:R43" si="25">IF(P$12=0,0,P38/P$12)</f>
        <v>0.20970880793496782</v>
      </c>
      <c r="S38" s="1"/>
      <c r="T38" s="1">
        <f>SUM(OSRRefT22_1x_0)</f>
        <v>101100.51000000001</v>
      </c>
      <c r="U38" s="1"/>
      <c r="V38" s="5">
        <f t="shared" ref="V38:V43" si="26">IF(T$12=0,0,T38/T$12)</f>
        <v>0.27403444815188688</v>
      </c>
      <c r="W38" s="1"/>
      <c r="X38" s="1">
        <f t="shared" ref="X38:X43" si="27">+P38-T38</f>
        <v>-21427.860000000015</v>
      </c>
      <c r="Y38" s="1"/>
      <c r="Z38" s="5">
        <f t="shared" ref="Z38:Z43" si="28">IF(T38=0,0,X38/T38)</f>
        <v>-0.21194611184453979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6123.66</v>
      </c>
      <c r="E39" s="2"/>
      <c r="F39" s="7">
        <f t="shared" si="21"/>
        <v>0.14460639444174325</v>
      </c>
      <c r="G39" s="2"/>
      <c r="H39" s="6">
        <v>6485.29</v>
      </c>
      <c r="I39" s="2"/>
      <c r="J39" s="7">
        <f t="shared" si="22"/>
        <v>0.16175378657785447</v>
      </c>
      <c r="K39" s="2"/>
      <c r="L39" s="6">
        <f t="shared" si="23"/>
        <v>-361.63000000000011</v>
      </c>
      <c r="M39" s="2"/>
      <c r="N39" s="7">
        <f t="shared" si="24"/>
        <v>-5.5761577354289493E-2</v>
      </c>
      <c r="O39" s="11"/>
      <c r="P39" s="6">
        <v>40497.79</v>
      </c>
      <c r="Q39" s="2"/>
      <c r="R39" s="7">
        <f t="shared" si="25"/>
        <v>0.10659546613424634</v>
      </c>
      <c r="S39" s="2"/>
      <c r="T39" s="6">
        <v>38540.83</v>
      </c>
      <c r="U39" s="2"/>
      <c r="V39" s="7">
        <f t="shared" si="26"/>
        <v>0.10446549755649784</v>
      </c>
      <c r="W39" s="2"/>
      <c r="X39" s="6">
        <f t="shared" si="27"/>
        <v>1956.9599999999991</v>
      </c>
      <c r="Y39" s="2"/>
      <c r="Z39" s="7">
        <f t="shared" si="28"/>
        <v>5.0776280635367717E-2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247.52</v>
      </c>
      <c r="E40" s="2"/>
      <c r="F40" s="7">
        <f t="shared" si="21"/>
        <v>5.8450297293155228E-3</v>
      </c>
      <c r="G40" s="2"/>
      <c r="H40" s="6">
        <v>4145.5200000000004</v>
      </c>
      <c r="I40" s="2"/>
      <c r="J40" s="7">
        <f t="shared" si="22"/>
        <v>0.10339607902410337</v>
      </c>
      <c r="K40" s="2"/>
      <c r="L40" s="6">
        <f t="shared" si="23"/>
        <v>-3898.0000000000005</v>
      </c>
      <c r="M40" s="2"/>
      <c r="N40" s="7">
        <f t="shared" si="24"/>
        <v>-0.94029217082537297</v>
      </c>
      <c r="O40" s="11"/>
      <c r="P40" s="6">
        <v>1103.72</v>
      </c>
      <c r="Q40" s="2"/>
      <c r="R40" s="7">
        <f t="shared" si="25"/>
        <v>2.9051350180266718E-3</v>
      </c>
      <c r="S40" s="2"/>
      <c r="T40" s="6">
        <v>35088.15</v>
      </c>
      <c r="U40" s="2"/>
      <c r="V40" s="7">
        <f t="shared" si="26"/>
        <v>9.5106956650571089E-2</v>
      </c>
      <c r="W40" s="2"/>
      <c r="X40" s="6">
        <f t="shared" si="27"/>
        <v>-33984.43</v>
      </c>
      <c r="Y40" s="2"/>
      <c r="Z40" s="7">
        <f t="shared" si="28"/>
        <v>-0.96854436611790584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/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3046.5</v>
      </c>
      <c r="Q41" s="2"/>
      <c r="R41" s="7">
        <f t="shared" si="25"/>
        <v>8.0187854097218993E-3</v>
      </c>
      <c r="S41" s="2"/>
      <c r="T41" s="6"/>
      <c r="U41" s="2"/>
      <c r="V41" s="7">
        <f t="shared" si="26"/>
        <v>0</v>
      </c>
      <c r="W41" s="2"/>
      <c r="X41" s="6">
        <f t="shared" si="27"/>
        <v>3046.5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5615.65</v>
      </c>
      <c r="E42" s="2"/>
      <c r="F42" s="7">
        <f t="shared" si="21"/>
        <v>0.13261005655878599</v>
      </c>
      <c r="G42" s="2"/>
      <c r="H42" s="6">
        <v>4193.13</v>
      </c>
      <c r="I42" s="2"/>
      <c r="J42" s="7">
        <f t="shared" si="22"/>
        <v>0.10458355063739616</v>
      </c>
      <c r="K42" s="2"/>
      <c r="L42" s="6">
        <f t="shared" si="23"/>
        <v>1422.5199999999995</v>
      </c>
      <c r="M42" s="2"/>
      <c r="N42" s="7">
        <f t="shared" si="24"/>
        <v>0.33925015441925233</v>
      </c>
      <c r="O42" s="11"/>
      <c r="P42" s="6">
        <v>31469.16</v>
      </c>
      <c r="Q42" s="2"/>
      <c r="R42" s="7">
        <f t="shared" si="25"/>
        <v>8.2830934207846388E-2</v>
      </c>
      <c r="S42" s="2"/>
      <c r="T42" s="6">
        <v>20640.5</v>
      </c>
      <c r="U42" s="2"/>
      <c r="V42" s="7">
        <f t="shared" si="26"/>
        <v>5.5946384712391863E-2</v>
      </c>
      <c r="W42" s="2"/>
      <c r="X42" s="6">
        <f t="shared" si="27"/>
        <v>10828.66</v>
      </c>
      <c r="Y42" s="2"/>
      <c r="Z42" s="7">
        <f t="shared" si="28"/>
        <v>0.52463167074441031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1252.7</v>
      </c>
      <c r="I43" s="2"/>
      <c r="J43" s="7">
        <f t="shared" si="22"/>
        <v>3.1244395924635338E-2</v>
      </c>
      <c r="K43" s="2"/>
      <c r="L43" s="6">
        <f t="shared" si="23"/>
        <v>-1252.7</v>
      </c>
      <c r="M43" s="2"/>
      <c r="N43" s="7">
        <f t="shared" si="24"/>
        <v>-1</v>
      </c>
      <c r="O43" s="11"/>
      <c r="P43" s="6">
        <v>3555.48</v>
      </c>
      <c r="Q43" s="2"/>
      <c r="R43" s="7">
        <f t="shared" si="25"/>
        <v>9.3584871651265465E-3</v>
      </c>
      <c r="S43" s="2"/>
      <c r="T43" s="6">
        <v>6831.03</v>
      </c>
      <c r="U43" s="2"/>
      <c r="V43" s="7">
        <f t="shared" si="26"/>
        <v>1.8515609232426063E-2</v>
      </c>
      <c r="W43" s="2"/>
      <c r="X43" s="6">
        <f t="shared" si="27"/>
        <v>-3275.5499999999997</v>
      </c>
      <c r="Y43" s="2"/>
      <c r="Z43" s="7">
        <f t="shared" si="28"/>
        <v>-0.47951041058229871</v>
      </c>
    </row>
    <row r="44" spans="1:26" s="26" customFormat="1" outlineLevel="1" collapsed="1" x14ac:dyDescent="0.25">
      <c r="A44" s="27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501.21</v>
      </c>
      <c r="E44" s="1"/>
      <c r="F44" s="5">
        <f t="shared" ref="F44:F61" si="29">IF(D$12=0,0,D44/D$12)</f>
        <v>1.1835760143140889E-2</v>
      </c>
      <c r="G44" s="1"/>
      <c r="H44" s="1">
        <f>SUM(OSRRefH22_2x_0)</f>
        <v>0</v>
      </c>
      <c r="I44" s="1"/>
      <c r="J44" s="5">
        <f t="shared" ref="J44:J61" si="30">IF(H$12=0,0,H44/H$12)</f>
        <v>0</v>
      </c>
      <c r="K44" s="1"/>
      <c r="L44" s="1">
        <f t="shared" ref="L44:L61" si="31">+D44-H44</f>
        <v>501.21</v>
      </c>
      <c r="M44" s="1"/>
      <c r="N44" s="5">
        <f t="shared" ref="N44:N61" si="32">IF(H44=0,0,L44/H44)</f>
        <v>0</v>
      </c>
      <c r="O44" s="13"/>
      <c r="P44" s="1">
        <f>SUM(OSRRefP22_2x_0)</f>
        <v>1211.4100000000001</v>
      </c>
      <c r="Q44" s="1"/>
      <c r="R44" s="5">
        <f t="shared" ref="R44:R61" si="33">IF(P$12=0,0,P44/P$12)</f>
        <v>3.1885891459679E-3</v>
      </c>
      <c r="S44" s="1"/>
      <c r="T44" s="1">
        <f>SUM(OSRRefT22_2x_0)</f>
        <v>77.63</v>
      </c>
      <c r="U44" s="1"/>
      <c r="V44" s="5">
        <f t="shared" ref="V44:V61" si="34">IF(T$12=0,0,T44/T$12)</f>
        <v>2.1041727890424067E-4</v>
      </c>
      <c r="W44" s="1"/>
      <c r="X44" s="1">
        <f t="shared" ref="X44:X61" si="35">+P44-T44</f>
        <v>1133.7800000000002</v>
      </c>
      <c r="Y44" s="1"/>
      <c r="Z44" s="5">
        <f t="shared" ref="Z44:Z61" si="36">IF(T44=0,0,X44/T44)</f>
        <v>14.604920778049726</v>
      </c>
    </row>
    <row r="45" spans="1:26" s="24" customFormat="1" hidden="1" outlineLevel="2" x14ac:dyDescent="0.25">
      <c r="A45" s="25"/>
      <c r="B45" s="11" t="str">
        <f>CONCATENATE("          ", "6362", " - ", "ADVERTISING EXPENSE")</f>
        <v xml:space="preserve">          6362 - ADVERTISING EXPENSE</v>
      </c>
      <c r="C45" s="11"/>
      <c r="D45" s="6">
        <v>501.21</v>
      </c>
      <c r="E45" s="2"/>
      <c r="F45" s="7">
        <f t="shared" si="29"/>
        <v>1.1835760143140889E-2</v>
      </c>
      <c r="G45" s="2"/>
      <c r="H45" s="6"/>
      <c r="I45" s="2"/>
      <c r="J45" s="7">
        <f t="shared" si="30"/>
        <v>0</v>
      </c>
      <c r="K45" s="2"/>
      <c r="L45" s="6">
        <f t="shared" si="31"/>
        <v>501.21</v>
      </c>
      <c r="M45" s="2"/>
      <c r="N45" s="7">
        <f t="shared" si="32"/>
        <v>0</v>
      </c>
      <c r="O45" s="11"/>
      <c r="P45" s="6">
        <v>1211.4100000000001</v>
      </c>
      <c r="Q45" s="2"/>
      <c r="R45" s="7">
        <f t="shared" si="33"/>
        <v>3.1885891459679E-3</v>
      </c>
      <c r="S45" s="2"/>
      <c r="T45" s="6">
        <v>77.63</v>
      </c>
      <c r="U45" s="2"/>
      <c r="V45" s="7">
        <f t="shared" si="34"/>
        <v>2.1041727890424067E-4</v>
      </c>
      <c r="W45" s="2"/>
      <c r="X45" s="6">
        <f t="shared" si="35"/>
        <v>1133.7800000000002</v>
      </c>
      <c r="Y45" s="2"/>
      <c r="Z45" s="7">
        <f t="shared" si="36"/>
        <v>14.604920778049726</v>
      </c>
    </row>
    <row r="46" spans="1:26" s="26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-17.989999999999998</v>
      </c>
      <c r="E46" s="1"/>
      <c r="F46" s="5">
        <f t="shared" si="29"/>
        <v>-4.2482257930828314E-4</v>
      </c>
      <c r="G46" s="1"/>
      <c r="H46" s="1">
        <f>SUM(OSRRefH22_3x_0)</f>
        <v>-28.89</v>
      </c>
      <c r="I46" s="1"/>
      <c r="J46" s="5">
        <f t="shared" si="30"/>
        <v>-7.2056406024005343E-4</v>
      </c>
      <c r="K46" s="1"/>
      <c r="L46" s="1">
        <f t="shared" si="31"/>
        <v>10.900000000000002</v>
      </c>
      <c r="M46" s="1"/>
      <c r="N46" s="5">
        <f t="shared" si="32"/>
        <v>-0.37729318103149884</v>
      </c>
      <c r="O46" s="13"/>
      <c r="P46" s="1">
        <f>SUM(OSRRefP22_3x_0)</f>
        <v>-157.82</v>
      </c>
      <c r="Q46" s="1"/>
      <c r="R46" s="5">
        <f t="shared" si="33"/>
        <v>-4.1540282729765637E-4</v>
      </c>
      <c r="S46" s="1"/>
      <c r="T46" s="1">
        <f>SUM(OSRRefT22_3x_0)</f>
        <v>-173.2</v>
      </c>
      <c r="U46" s="1"/>
      <c r="V46" s="5">
        <f t="shared" si="34"/>
        <v>-4.6946119678235843E-4</v>
      </c>
      <c r="W46" s="1"/>
      <c r="X46" s="1">
        <f t="shared" si="35"/>
        <v>15.379999999999995</v>
      </c>
      <c r="Y46" s="1"/>
      <c r="Z46" s="5">
        <f t="shared" si="36"/>
        <v>-8.8799076212471115E-2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>
        <v>-17.989999999999998</v>
      </c>
      <c r="E47" s="2"/>
      <c r="F47" s="7">
        <f t="shared" si="29"/>
        <v>-4.2482257930828314E-4</v>
      </c>
      <c r="G47" s="2"/>
      <c r="H47" s="6">
        <v>-28.89</v>
      </c>
      <c r="I47" s="2"/>
      <c r="J47" s="7">
        <f t="shared" si="30"/>
        <v>-7.2056406024005343E-4</v>
      </c>
      <c r="K47" s="2"/>
      <c r="L47" s="6">
        <f t="shared" si="31"/>
        <v>10.900000000000002</v>
      </c>
      <c r="M47" s="2"/>
      <c r="N47" s="7">
        <f t="shared" si="32"/>
        <v>-0.37729318103149884</v>
      </c>
      <c r="O47" s="11"/>
      <c r="P47" s="6">
        <v>-157.82</v>
      </c>
      <c r="Q47" s="2"/>
      <c r="R47" s="7">
        <f t="shared" si="33"/>
        <v>-4.1540282729765637E-4</v>
      </c>
      <c r="S47" s="2"/>
      <c r="T47" s="6">
        <v>-173.2</v>
      </c>
      <c r="U47" s="2"/>
      <c r="V47" s="7">
        <f t="shared" si="34"/>
        <v>-4.6946119678235843E-4</v>
      </c>
      <c r="W47" s="2"/>
      <c r="X47" s="6">
        <f t="shared" si="35"/>
        <v>15.379999999999995</v>
      </c>
      <c r="Y47" s="2"/>
      <c r="Z47" s="7">
        <f t="shared" si="36"/>
        <v>-8.8799076212471115E-2</v>
      </c>
    </row>
    <row r="48" spans="1:26" s="26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1690.45</v>
      </c>
      <c r="E48" s="1"/>
      <c r="F48" s="5">
        <f t="shared" si="29"/>
        <v>3.9918917687142147E-2</v>
      </c>
      <c r="G48" s="1"/>
      <c r="H48" s="1">
        <f>SUM(OSRRefH22_4x_0)</f>
        <v>1085.8900000000001</v>
      </c>
      <c r="I48" s="1"/>
      <c r="J48" s="5">
        <f t="shared" si="30"/>
        <v>2.7083880490622072E-2</v>
      </c>
      <c r="K48" s="1"/>
      <c r="L48" s="1">
        <f t="shared" si="31"/>
        <v>604.55999999999995</v>
      </c>
      <c r="M48" s="1"/>
      <c r="N48" s="5">
        <f t="shared" si="32"/>
        <v>0.5567414747350099</v>
      </c>
      <c r="O48" s="13"/>
      <c r="P48" s="1">
        <f>SUM(OSRRefP22_4x_0)</f>
        <v>12987.02</v>
      </c>
      <c r="Q48" s="1"/>
      <c r="R48" s="5">
        <f t="shared" si="33"/>
        <v>3.4183530770315614E-2</v>
      </c>
      <c r="S48" s="1"/>
      <c r="T48" s="1">
        <f>SUM(OSRRefT22_4x_0)</f>
        <v>11717.66</v>
      </c>
      <c r="U48" s="1"/>
      <c r="V48" s="5">
        <f t="shared" si="34"/>
        <v>3.1760893112521768E-2</v>
      </c>
      <c r="W48" s="1"/>
      <c r="X48" s="1">
        <f t="shared" si="35"/>
        <v>1269.3600000000006</v>
      </c>
      <c r="Y48" s="1"/>
      <c r="Z48" s="5">
        <f t="shared" si="36"/>
        <v>0.10832879602241408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>
        <v>1690.45</v>
      </c>
      <c r="E49" s="2"/>
      <c r="F49" s="7">
        <f t="shared" si="29"/>
        <v>3.9918917687142147E-2</v>
      </c>
      <c r="G49" s="2"/>
      <c r="H49" s="6">
        <v>1085.8900000000001</v>
      </c>
      <c r="I49" s="2"/>
      <c r="J49" s="7">
        <f t="shared" si="30"/>
        <v>2.7083880490622072E-2</v>
      </c>
      <c r="K49" s="2"/>
      <c r="L49" s="6">
        <f t="shared" si="31"/>
        <v>604.55999999999995</v>
      </c>
      <c r="M49" s="2"/>
      <c r="N49" s="7">
        <f t="shared" si="32"/>
        <v>0.5567414747350099</v>
      </c>
      <c r="O49" s="11"/>
      <c r="P49" s="6">
        <v>12987.02</v>
      </c>
      <c r="Q49" s="2"/>
      <c r="R49" s="7">
        <f t="shared" si="33"/>
        <v>3.4183530770315614E-2</v>
      </c>
      <c r="S49" s="2"/>
      <c r="T49" s="6">
        <v>11717.66</v>
      </c>
      <c r="U49" s="2"/>
      <c r="V49" s="7">
        <f t="shared" si="34"/>
        <v>3.1760893112521768E-2</v>
      </c>
      <c r="W49" s="2"/>
      <c r="X49" s="6">
        <f t="shared" si="35"/>
        <v>1269.3600000000006</v>
      </c>
      <c r="Y49" s="2"/>
      <c r="Z49" s="7">
        <f t="shared" si="36"/>
        <v>0.10832879602241408</v>
      </c>
    </row>
    <row r="50" spans="1:26" s="26" customFormat="1" outlineLevel="1" collapsed="1" x14ac:dyDescent="0.25">
      <c r="A50" s="27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SUM(OSRRefD22_5x_0)</f>
        <v>31.78</v>
      </c>
      <c r="E50" s="1"/>
      <c r="F50" s="5">
        <f t="shared" si="29"/>
        <v>7.5046478990646137E-4</v>
      </c>
      <c r="G50" s="1"/>
      <c r="H50" s="1">
        <f>SUM(OSRRefH22_5x_0)</f>
        <v>17.170000000000002</v>
      </c>
      <c r="I50" s="1"/>
      <c r="J50" s="5">
        <f t="shared" si="30"/>
        <v>4.2824800672626228E-4</v>
      </c>
      <c r="K50" s="1"/>
      <c r="L50" s="1">
        <f t="shared" si="31"/>
        <v>14.61</v>
      </c>
      <c r="M50" s="1"/>
      <c r="N50" s="5">
        <f t="shared" si="32"/>
        <v>0.85090273733255661</v>
      </c>
      <c r="O50" s="13"/>
      <c r="P50" s="1">
        <f>SUM(OSRRefP22_5x_0)</f>
        <v>108.15</v>
      </c>
      <c r="Q50" s="1"/>
      <c r="R50" s="5">
        <f t="shared" si="33"/>
        <v>2.8466490794729147E-4</v>
      </c>
      <c r="S50" s="1"/>
      <c r="T50" s="1">
        <f>SUM(OSRRefT22_5x_0)</f>
        <v>90.07</v>
      </c>
      <c r="U50" s="1"/>
      <c r="V50" s="5">
        <f t="shared" si="34"/>
        <v>2.4413608541678421E-4</v>
      </c>
      <c r="W50" s="1"/>
      <c r="X50" s="1">
        <f t="shared" si="35"/>
        <v>18.080000000000013</v>
      </c>
      <c r="Y50" s="1"/>
      <c r="Z50" s="5">
        <f t="shared" si="36"/>
        <v>0.20073276340623974</v>
      </c>
    </row>
    <row r="51" spans="1:26" s="24" customFormat="1" hidden="1" outlineLevel="2" x14ac:dyDescent="0.25">
      <c r="A51" s="25"/>
      <c r="B51" s="11" t="str">
        <f>CONCATENATE("          ", "6382", " - ", "DISCOUNTS/MARK DOWNS")</f>
        <v xml:space="preserve">          6382 - DISCOUNTS/MARK DOWNS</v>
      </c>
      <c r="C51" s="11"/>
      <c r="D51" s="6">
        <v>31.78</v>
      </c>
      <c r="E51" s="2"/>
      <c r="F51" s="7">
        <f t="shared" si="29"/>
        <v>7.5046478990646137E-4</v>
      </c>
      <c r="G51" s="2"/>
      <c r="H51" s="6">
        <v>17.170000000000002</v>
      </c>
      <c r="I51" s="2"/>
      <c r="J51" s="7">
        <f t="shared" si="30"/>
        <v>4.2824800672626228E-4</v>
      </c>
      <c r="K51" s="2"/>
      <c r="L51" s="6">
        <f t="shared" si="31"/>
        <v>14.61</v>
      </c>
      <c r="M51" s="2"/>
      <c r="N51" s="7">
        <f t="shared" si="32"/>
        <v>0.85090273733255661</v>
      </c>
      <c r="O51" s="11"/>
      <c r="P51" s="6">
        <v>108.15</v>
      </c>
      <c r="Q51" s="2"/>
      <c r="R51" s="7">
        <f t="shared" si="33"/>
        <v>2.8466490794729147E-4</v>
      </c>
      <c r="S51" s="2"/>
      <c r="T51" s="6">
        <v>90.07</v>
      </c>
      <c r="U51" s="2"/>
      <c r="V51" s="7">
        <f t="shared" si="34"/>
        <v>2.4413608541678421E-4</v>
      </c>
      <c r="W51" s="2"/>
      <c r="X51" s="6">
        <f t="shared" si="35"/>
        <v>18.080000000000013</v>
      </c>
      <c r="Y51" s="2"/>
      <c r="Z51" s="7">
        <f t="shared" si="36"/>
        <v>0.20073276340623974</v>
      </c>
    </row>
    <row r="52" spans="1:26" s="26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48.37</v>
      </c>
      <c r="I52" s="1"/>
      <c r="J52" s="5">
        <f t="shared" si="30"/>
        <v>1.2064272618141703E-3</v>
      </c>
      <c r="K52" s="1"/>
      <c r="L52" s="1">
        <f t="shared" si="31"/>
        <v>-48.37</v>
      </c>
      <c r="M52" s="1"/>
      <c r="N52" s="5">
        <f t="shared" si="32"/>
        <v>-1</v>
      </c>
      <c r="O52" s="13"/>
      <c r="P52" s="1">
        <f>SUM(OSRRefP22_6x_0)</f>
        <v>0</v>
      </c>
      <c r="Q52" s="1"/>
      <c r="R52" s="5">
        <f t="shared" si="33"/>
        <v>0</v>
      </c>
      <c r="S52" s="1"/>
      <c r="T52" s="1">
        <f>SUM(OSRRefT22_6x_0)</f>
        <v>142.80000000000001</v>
      </c>
      <c r="U52" s="1"/>
      <c r="V52" s="5">
        <f t="shared" si="34"/>
        <v>3.8706154099607851E-4</v>
      </c>
      <c r="W52" s="1"/>
      <c r="X52" s="1">
        <f t="shared" si="35"/>
        <v>-142.80000000000001</v>
      </c>
      <c r="Y52" s="1"/>
      <c r="Z52" s="5">
        <f t="shared" si="36"/>
        <v>-1</v>
      </c>
    </row>
    <row r="53" spans="1:26" s="24" customFormat="1" hidden="1" outlineLevel="2" x14ac:dyDescent="0.25">
      <c r="A53" s="25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29"/>
        <v>0</v>
      </c>
      <c r="G53" s="2"/>
      <c r="H53" s="6">
        <v>48.37</v>
      </c>
      <c r="I53" s="2"/>
      <c r="J53" s="7">
        <f t="shared" si="30"/>
        <v>1.2064272618141703E-3</v>
      </c>
      <c r="K53" s="2"/>
      <c r="L53" s="6">
        <f t="shared" si="31"/>
        <v>-48.37</v>
      </c>
      <c r="M53" s="2"/>
      <c r="N53" s="7">
        <f t="shared" si="32"/>
        <v>-1</v>
      </c>
      <c r="O53" s="11"/>
      <c r="P53" s="6"/>
      <c r="Q53" s="2"/>
      <c r="R53" s="7">
        <f t="shared" si="33"/>
        <v>0</v>
      </c>
      <c r="S53" s="2"/>
      <c r="T53" s="6">
        <v>142.80000000000001</v>
      </c>
      <c r="U53" s="2"/>
      <c r="V53" s="7">
        <f t="shared" si="34"/>
        <v>3.8706154099607851E-4</v>
      </c>
      <c r="W53" s="2"/>
      <c r="X53" s="6">
        <f t="shared" si="35"/>
        <v>-142.80000000000001</v>
      </c>
      <c r="Y53" s="2"/>
      <c r="Z53" s="7">
        <f t="shared" si="36"/>
        <v>-1</v>
      </c>
    </row>
    <row r="54" spans="1:26" s="26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SUM(OSRRefD22_7x_0)</f>
        <v>7.64</v>
      </c>
      <c r="E54" s="1"/>
      <c r="F54" s="5">
        <f t="shared" si="29"/>
        <v>1.8041381355838151E-4</v>
      </c>
      <c r="G54" s="1"/>
      <c r="H54" s="1">
        <f>SUM(OSRRefH22_7x_0)</f>
        <v>16.91</v>
      </c>
      <c r="I54" s="1"/>
      <c r="J54" s="5">
        <f t="shared" si="30"/>
        <v>4.2176317960052973E-4</v>
      </c>
      <c r="K54" s="1"/>
      <c r="L54" s="1">
        <f t="shared" si="31"/>
        <v>-9.27</v>
      </c>
      <c r="M54" s="1"/>
      <c r="N54" s="5">
        <f t="shared" si="32"/>
        <v>-0.54819633353045527</v>
      </c>
      <c r="O54" s="13"/>
      <c r="P54" s="1">
        <f>SUM(OSRRefP22_7x_0)</f>
        <v>233.63</v>
      </c>
      <c r="Q54" s="1"/>
      <c r="R54" s="5">
        <f t="shared" si="33"/>
        <v>6.1494463655779668E-4</v>
      </c>
      <c r="S54" s="1"/>
      <c r="T54" s="1">
        <f>SUM(OSRRefT22_7x_0)</f>
        <v>190.25</v>
      </c>
      <c r="U54" s="1"/>
      <c r="V54" s="5">
        <f t="shared" si="34"/>
        <v>5.1567547741249251E-4</v>
      </c>
      <c r="W54" s="1"/>
      <c r="X54" s="1">
        <f t="shared" si="35"/>
        <v>43.379999999999995</v>
      </c>
      <c r="Y54" s="1"/>
      <c r="Z54" s="5">
        <f t="shared" si="36"/>
        <v>0.22801576872536133</v>
      </c>
    </row>
    <row r="55" spans="1:26" s="24" customFormat="1" hidden="1" outlineLevel="2" x14ac:dyDescent="0.25">
      <c r="A55" s="25"/>
      <c r="B55" s="11" t="str">
        <f>CONCATENATE("          ", "6305", " - ", "FREIGHT OUT")</f>
        <v xml:space="preserve">          6305 - FREIGHT OUT</v>
      </c>
      <c r="C55" s="11"/>
      <c r="D55" s="6">
        <v>7.64</v>
      </c>
      <c r="E55" s="2"/>
      <c r="F55" s="7">
        <f t="shared" si="29"/>
        <v>1.8041381355838151E-4</v>
      </c>
      <c r="G55" s="2"/>
      <c r="H55" s="6">
        <v>16.91</v>
      </c>
      <c r="I55" s="2"/>
      <c r="J55" s="7">
        <f t="shared" si="30"/>
        <v>4.2176317960052973E-4</v>
      </c>
      <c r="K55" s="2"/>
      <c r="L55" s="6">
        <f t="shared" si="31"/>
        <v>-9.27</v>
      </c>
      <c r="M55" s="2"/>
      <c r="N55" s="7">
        <f t="shared" si="32"/>
        <v>-0.54819633353045527</v>
      </c>
      <c r="O55" s="11"/>
      <c r="P55" s="6">
        <v>233.63</v>
      </c>
      <c r="Q55" s="2"/>
      <c r="R55" s="7">
        <f t="shared" si="33"/>
        <v>6.1494463655779668E-4</v>
      </c>
      <c r="S55" s="2"/>
      <c r="T55" s="6">
        <v>190.25</v>
      </c>
      <c r="U55" s="2"/>
      <c r="V55" s="7">
        <f t="shared" si="34"/>
        <v>5.1567547741249251E-4</v>
      </c>
      <c r="W55" s="2"/>
      <c r="X55" s="6">
        <f t="shared" si="35"/>
        <v>43.379999999999995</v>
      </c>
      <c r="Y55" s="2"/>
      <c r="Z55" s="7">
        <f t="shared" si="36"/>
        <v>0.22801576872536133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SUM(OSRRefD22_8x_0)</f>
        <v>20.9</v>
      </c>
      <c r="E56" s="1"/>
      <c r="F56" s="5">
        <f t="shared" si="29"/>
        <v>4.9354040620028445E-4</v>
      </c>
      <c r="G56" s="1"/>
      <c r="H56" s="1">
        <f>SUM(OSRRefH22_8x_0)</f>
        <v>48.35</v>
      </c>
      <c r="I56" s="1"/>
      <c r="J56" s="5">
        <f t="shared" si="30"/>
        <v>1.2059284289583447E-3</v>
      </c>
      <c r="K56" s="1"/>
      <c r="L56" s="1">
        <f t="shared" si="31"/>
        <v>-27.450000000000003</v>
      </c>
      <c r="M56" s="1"/>
      <c r="N56" s="5">
        <f t="shared" si="32"/>
        <v>-0.56773526370217176</v>
      </c>
      <c r="O56" s="13"/>
      <c r="P56" s="1">
        <f>SUM(OSRRefP22_8x_0)</f>
        <v>1143.05</v>
      </c>
      <c r="Q56" s="1"/>
      <c r="R56" s="5">
        <f t="shared" si="33"/>
        <v>3.0086567085450904E-3</v>
      </c>
      <c r="S56" s="1"/>
      <c r="T56" s="1">
        <f>SUM(OSRRefT22_8x_0)</f>
        <v>1157.43</v>
      </c>
      <c r="U56" s="1"/>
      <c r="V56" s="5">
        <f t="shared" si="34"/>
        <v>3.1372313683129629E-3</v>
      </c>
      <c r="W56" s="1"/>
      <c r="X56" s="1">
        <f t="shared" si="35"/>
        <v>-14.380000000000109</v>
      </c>
      <c r="Y56" s="1"/>
      <c r="Z56" s="5">
        <f t="shared" si="36"/>
        <v>-1.2424077482007644E-2</v>
      </c>
    </row>
    <row r="57" spans="1:26" s="24" customFormat="1" hidden="1" outlineLevel="2" x14ac:dyDescent="0.25">
      <c r="A57" s="25"/>
      <c r="B57" s="11" t="str">
        <f>CONCATENATE("          ", "6279", " - ", "GENERAL EXPENSE")</f>
        <v xml:space="preserve">          6279 - GENERAL EXPENSE</v>
      </c>
      <c r="C57" s="11"/>
      <c r="D57" s="6">
        <v>20.9</v>
      </c>
      <c r="E57" s="2"/>
      <c r="F57" s="7">
        <f t="shared" si="29"/>
        <v>4.9354040620028445E-4</v>
      </c>
      <c r="G57" s="2"/>
      <c r="H57" s="6">
        <v>48.35</v>
      </c>
      <c r="I57" s="2"/>
      <c r="J57" s="7">
        <f t="shared" si="30"/>
        <v>1.2059284289583447E-3</v>
      </c>
      <c r="K57" s="2"/>
      <c r="L57" s="6">
        <f t="shared" si="31"/>
        <v>-27.450000000000003</v>
      </c>
      <c r="M57" s="2"/>
      <c r="N57" s="7">
        <f t="shared" si="32"/>
        <v>-0.56773526370217176</v>
      </c>
      <c r="O57" s="11"/>
      <c r="P57" s="6">
        <v>1143.05</v>
      </c>
      <c r="Q57" s="2"/>
      <c r="R57" s="7">
        <f t="shared" si="33"/>
        <v>3.0086567085450904E-3</v>
      </c>
      <c r="S57" s="2"/>
      <c r="T57" s="6">
        <v>1157.43</v>
      </c>
      <c r="U57" s="2"/>
      <c r="V57" s="7">
        <f t="shared" si="34"/>
        <v>3.1372313683129629E-3</v>
      </c>
      <c r="W57" s="2"/>
      <c r="X57" s="6">
        <f t="shared" si="35"/>
        <v>-14.380000000000109</v>
      </c>
      <c r="Y57" s="2"/>
      <c r="Z57" s="7">
        <f t="shared" si="36"/>
        <v>-1.2424077482007644E-2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SUM(OSRRefD22_9x_0)</f>
        <v>0</v>
      </c>
      <c r="E58" s="1"/>
      <c r="F58" s="5">
        <f t="shared" si="29"/>
        <v>0</v>
      </c>
      <c r="G58" s="1"/>
      <c r="H58" s="1">
        <f>SUM(OSRRefH22_9x_0)</f>
        <v>237.56</v>
      </c>
      <c r="I58" s="1"/>
      <c r="J58" s="5">
        <f t="shared" si="30"/>
        <v>5.925136661496265E-3</v>
      </c>
      <c r="K58" s="1"/>
      <c r="L58" s="1">
        <f t="shared" si="31"/>
        <v>-237.56</v>
      </c>
      <c r="M58" s="1"/>
      <c r="N58" s="5">
        <f t="shared" si="32"/>
        <v>-1</v>
      </c>
      <c r="O58" s="13"/>
      <c r="P58" s="1">
        <f>SUM(OSRRefP22_9x_0)</f>
        <v>1064.5</v>
      </c>
      <c r="Q58" s="1"/>
      <c r="R58" s="5">
        <f t="shared" si="33"/>
        <v>2.8019028618575291E-3</v>
      </c>
      <c r="S58" s="1"/>
      <c r="T58" s="1">
        <f>SUM(OSRRefT22_9x_0)</f>
        <v>518.53</v>
      </c>
      <c r="U58" s="1"/>
      <c r="V58" s="5">
        <f t="shared" si="34"/>
        <v>1.4054833393045978E-3</v>
      </c>
      <c r="W58" s="1"/>
      <c r="X58" s="1">
        <f t="shared" si="35"/>
        <v>545.97</v>
      </c>
      <c r="Y58" s="1"/>
      <c r="Z58" s="5">
        <f t="shared" si="36"/>
        <v>1.0529188282259465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437.31</v>
      </c>
      <c r="Q59" s="2"/>
      <c r="R59" s="7">
        <f t="shared" si="33"/>
        <v>1.1510569661990757E-3</v>
      </c>
      <c r="S59" s="2"/>
      <c r="T59" s="6"/>
      <c r="U59" s="2"/>
      <c r="V59" s="7">
        <f t="shared" si="34"/>
        <v>0</v>
      </c>
      <c r="W59" s="2"/>
      <c r="X59" s="6">
        <f t="shared" si="35"/>
        <v>437.31</v>
      </c>
      <c r="Y59" s="2"/>
      <c r="Z59" s="7">
        <f t="shared" si="36"/>
        <v>0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46.61</v>
      </c>
      <c r="Q60" s="2"/>
      <c r="R60" s="7">
        <f t="shared" si="33"/>
        <v>1.2268360017959553E-4</v>
      </c>
      <c r="S60" s="2"/>
      <c r="T60" s="6">
        <v>44.98</v>
      </c>
      <c r="U60" s="2"/>
      <c r="V60" s="7">
        <f t="shared" si="34"/>
        <v>1.2191896438377877E-4</v>
      </c>
      <c r="W60" s="2"/>
      <c r="X60" s="6">
        <f t="shared" si="35"/>
        <v>1.6300000000000026</v>
      </c>
      <c r="Y60" s="2"/>
      <c r="Z60" s="7">
        <f t="shared" si="36"/>
        <v>3.6238328145842658E-2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9"/>
        <v>0</v>
      </c>
      <c r="G61" s="2"/>
      <c r="H61" s="6">
        <v>237.56</v>
      </c>
      <c r="I61" s="2"/>
      <c r="J61" s="7">
        <f t="shared" si="30"/>
        <v>5.925136661496265E-3</v>
      </c>
      <c r="K61" s="2"/>
      <c r="L61" s="6">
        <f t="shared" si="31"/>
        <v>-237.56</v>
      </c>
      <c r="M61" s="2"/>
      <c r="N61" s="7">
        <f t="shared" si="32"/>
        <v>-1</v>
      </c>
      <c r="O61" s="11"/>
      <c r="P61" s="6">
        <v>580.58000000000004</v>
      </c>
      <c r="Q61" s="2"/>
      <c r="R61" s="7">
        <f t="shared" si="33"/>
        <v>1.528162295478858E-3</v>
      </c>
      <c r="S61" s="2"/>
      <c r="T61" s="6">
        <v>473.55</v>
      </c>
      <c r="U61" s="2"/>
      <c r="V61" s="7">
        <f t="shared" si="34"/>
        <v>1.2835643749208191E-3</v>
      </c>
      <c r="W61" s="2"/>
      <c r="X61" s="6">
        <f t="shared" si="35"/>
        <v>107.03000000000003</v>
      </c>
      <c r="Y61" s="2"/>
      <c r="Z61" s="7">
        <f t="shared" si="36"/>
        <v>0.22601626016260168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SUM(OSRRefD22_10x_0)</f>
        <v>137.80000000000001</v>
      </c>
      <c r="E62" s="1"/>
      <c r="F62" s="5">
        <f t="shared" ref="F62:F64" si="37">IF(D$12=0,0,D62/D$12)</f>
        <v>3.2540606686315412E-3</v>
      </c>
      <c r="G62" s="1"/>
      <c r="H62" s="1">
        <f>SUM(OSRRefH22_10x_0)</f>
        <v>183.28</v>
      </c>
      <c r="I62" s="1"/>
      <c r="J62" s="5">
        <f t="shared" ref="J62:J64" si="38">IF(H$12=0,0,H62/H$12)</f>
        <v>4.5713042907856351E-3</v>
      </c>
      <c r="K62" s="1"/>
      <c r="L62" s="1">
        <f t="shared" ref="L62:L64" si="39">+D62-H62</f>
        <v>-45.47999999999999</v>
      </c>
      <c r="M62" s="1"/>
      <c r="N62" s="5">
        <f t="shared" ref="N62:N64" si="40">IF(H62=0,0,L62/H62)</f>
        <v>-0.24814491488432994</v>
      </c>
      <c r="O62" s="13"/>
      <c r="P62" s="1">
        <f>SUM(OSRRefP22_10x_0)</f>
        <v>973.61</v>
      </c>
      <c r="Q62" s="1"/>
      <c r="R62" s="5">
        <f t="shared" ref="R62:R64" si="41">IF(P$12=0,0,P62/P$12)</f>
        <v>2.5626685254420941E-3</v>
      </c>
      <c r="S62" s="1"/>
      <c r="T62" s="1">
        <f>SUM(OSRRefT22_10x_0)</f>
        <v>965.03</v>
      </c>
      <c r="U62" s="1"/>
      <c r="V62" s="5">
        <f t="shared" ref="V62:V64" si="42">IF(T$12=0,0,T62/T$12)</f>
        <v>2.6157282836655853E-3</v>
      </c>
      <c r="W62" s="1"/>
      <c r="X62" s="1">
        <f t="shared" ref="X62:X64" si="43">+P62-T62</f>
        <v>8.5800000000000409</v>
      </c>
      <c r="Y62" s="1"/>
      <c r="Z62" s="5">
        <f t="shared" ref="Z62:Z64" si="44">IF(T62=0,0,X62/T62)</f>
        <v>8.8909153083324265E-3</v>
      </c>
    </row>
    <row r="63" spans="1:26" s="24" customFormat="1" hidden="1" outlineLevel="2" x14ac:dyDescent="0.25">
      <c r="A63" s="25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37"/>
        <v>0</v>
      </c>
      <c r="G63" s="2"/>
      <c r="H63" s="6">
        <v>26.93</v>
      </c>
      <c r="I63" s="2"/>
      <c r="J63" s="7">
        <f t="shared" si="38"/>
        <v>6.716784403691463E-4</v>
      </c>
      <c r="K63" s="2"/>
      <c r="L63" s="6">
        <f t="shared" si="39"/>
        <v>-26.93</v>
      </c>
      <c r="M63" s="2"/>
      <c r="N63" s="7">
        <f t="shared" si="40"/>
        <v>-1</v>
      </c>
      <c r="O63" s="11"/>
      <c r="P63" s="6"/>
      <c r="Q63" s="2"/>
      <c r="R63" s="7">
        <f t="shared" si="41"/>
        <v>0</v>
      </c>
      <c r="S63" s="2"/>
      <c r="T63" s="6">
        <v>26.93</v>
      </c>
      <c r="U63" s="2"/>
      <c r="V63" s="7">
        <f t="shared" si="42"/>
        <v>7.2994168760675017E-5</v>
      </c>
      <c r="W63" s="2"/>
      <c r="X63" s="6">
        <f t="shared" si="43"/>
        <v>-26.93</v>
      </c>
      <c r="Y63" s="2"/>
      <c r="Z63" s="7">
        <f t="shared" si="44"/>
        <v>-1</v>
      </c>
    </row>
    <row r="64" spans="1:26" s="24" customFormat="1" hidden="1" outlineLevel="2" x14ac:dyDescent="0.25">
      <c r="A64" s="25"/>
      <c r="B64" s="11" t="str">
        <f>CONCATENATE("          ", "6286", " - ", "LAUNDRY EXPENSE")</f>
        <v xml:space="preserve">          6286 - LAUNDRY EXPENSE</v>
      </c>
      <c r="C64" s="11"/>
      <c r="D64" s="6">
        <v>137.80000000000001</v>
      </c>
      <c r="E64" s="2"/>
      <c r="F64" s="7">
        <f t="shared" si="37"/>
        <v>3.2540606686315412E-3</v>
      </c>
      <c r="G64" s="2"/>
      <c r="H64" s="6">
        <v>156.35</v>
      </c>
      <c r="I64" s="2"/>
      <c r="J64" s="7">
        <f t="shared" si="38"/>
        <v>3.8996258504164884E-3</v>
      </c>
      <c r="K64" s="2"/>
      <c r="L64" s="6">
        <f t="shared" si="39"/>
        <v>-18.549999999999983</v>
      </c>
      <c r="M64" s="2"/>
      <c r="N64" s="7">
        <f t="shared" si="40"/>
        <v>-0.11864406779661006</v>
      </c>
      <c r="O64" s="11"/>
      <c r="P64" s="6">
        <v>973.61</v>
      </c>
      <c r="Q64" s="2"/>
      <c r="R64" s="7">
        <f t="shared" si="41"/>
        <v>2.5626685254420941E-3</v>
      </c>
      <c r="S64" s="2"/>
      <c r="T64" s="6">
        <v>938.1</v>
      </c>
      <c r="U64" s="2"/>
      <c r="V64" s="7">
        <f t="shared" si="42"/>
        <v>2.5427341149049103E-3</v>
      </c>
      <c r="W64" s="2"/>
      <c r="X64" s="6">
        <f t="shared" si="43"/>
        <v>35.509999999999991</v>
      </c>
      <c r="Y64" s="2"/>
      <c r="Z64" s="7">
        <f t="shared" si="44"/>
        <v>3.7853107344632757E-2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SUM(OSRRefD22_11x_0)</f>
        <v>0</v>
      </c>
      <c r="E65" s="1"/>
      <c r="F65" s="5">
        <f t="shared" ref="F65:F67" si="45">IF(D$12=0,0,D65/D$12)</f>
        <v>0</v>
      </c>
      <c r="G65" s="1"/>
      <c r="H65" s="1">
        <f>SUM(OSRRefH22_11x_0)</f>
        <v>0</v>
      </c>
      <c r="I65" s="1"/>
      <c r="J65" s="5">
        <f t="shared" ref="J65:J67" si="46">IF(H$12=0,0,H65/H$12)</f>
        <v>0</v>
      </c>
      <c r="K65" s="1"/>
      <c r="L65" s="1">
        <f t="shared" ref="L65:L67" si="47">+D65-H65</f>
        <v>0</v>
      </c>
      <c r="M65" s="1"/>
      <c r="N65" s="5">
        <f t="shared" ref="N65:N67" si="48">IF(H65=0,0,L65/H65)</f>
        <v>0</v>
      </c>
      <c r="O65" s="13"/>
      <c r="P65" s="1">
        <f>SUM(OSRRefP22_11x_0)</f>
        <v>0</v>
      </c>
      <c r="Q65" s="1"/>
      <c r="R65" s="5">
        <f t="shared" ref="R65:R67" si="49">IF(P$12=0,0,P65/P$12)</f>
        <v>0</v>
      </c>
      <c r="S65" s="1"/>
      <c r="T65" s="1">
        <f>SUM(OSRRefT22_11x_0)</f>
        <v>43.18</v>
      </c>
      <c r="U65" s="1"/>
      <c r="V65" s="5">
        <f t="shared" ref="V65:V67" si="50">IF(T$12=0,0,T65/T$12)</f>
        <v>1.1704003739643324E-4</v>
      </c>
      <c r="W65" s="1"/>
      <c r="X65" s="1">
        <f t="shared" ref="X65:X67" si="51">+P65-T65</f>
        <v>-43.18</v>
      </c>
      <c r="Y65" s="1"/>
      <c r="Z65" s="5">
        <f t="shared" ref="Z65:Z67" si="52">IF(T65=0,0,X65/T65)</f>
        <v>-1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50</v>
      </c>
      <c r="U66" s="2"/>
      <c r="V66" s="7">
        <f t="shared" si="50"/>
        <v>1.3552574964848687E-4</v>
      </c>
      <c r="W66" s="2"/>
      <c r="X66" s="6">
        <f t="shared" si="51"/>
        <v>-50</v>
      </c>
      <c r="Y66" s="2"/>
      <c r="Z66" s="7">
        <f t="shared" si="52"/>
        <v>-1</v>
      </c>
    </row>
    <row r="67" spans="1:26" s="24" customFormat="1" hidden="1" outlineLevel="2" x14ac:dyDescent="0.25">
      <c r="A67" s="25"/>
      <c r="B67" s="11" t="str">
        <f>CONCATENATE("          ", "6275", " - ", "SUBSCRIPTIONS")</f>
        <v xml:space="preserve">          6275 - SUBSCRIPTIONS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/>
      <c r="Q67" s="2"/>
      <c r="R67" s="7">
        <f t="shared" si="49"/>
        <v>0</v>
      </c>
      <c r="S67" s="2"/>
      <c r="T67" s="6">
        <v>-6.82</v>
      </c>
      <c r="U67" s="2"/>
      <c r="V67" s="7">
        <f t="shared" si="50"/>
        <v>-1.8485712252053608E-5</v>
      </c>
      <c r="W67" s="2"/>
      <c r="X67" s="6">
        <f t="shared" si="51"/>
        <v>6.82</v>
      </c>
      <c r="Y67" s="2"/>
      <c r="Z67" s="7">
        <f t="shared" si="52"/>
        <v>-1</v>
      </c>
    </row>
    <row r="68" spans="1:26" s="26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SUM(OSRRefD22_12x_0)</f>
        <v>195.73</v>
      </c>
      <c r="E68" s="1"/>
      <c r="F68" s="5">
        <f t="shared" ref="F68:F74" si="53">IF(D$12=0,0,D68/D$12)</f>
        <v>4.6220413256259172E-3</v>
      </c>
      <c r="G68" s="1"/>
      <c r="H68" s="1">
        <f>SUM(OSRRefH22_12x_0)</f>
        <v>428.84000000000003</v>
      </c>
      <c r="I68" s="1"/>
      <c r="J68" s="5">
        <f t="shared" ref="J68:J74" si="54">IF(H$12=0,0,H68/H$12)</f>
        <v>1.0695974094612133E-2</v>
      </c>
      <c r="K68" s="1"/>
      <c r="L68" s="1">
        <f t="shared" ref="L68:L74" si="55">+D68-H68</f>
        <v>-233.11000000000004</v>
      </c>
      <c r="M68" s="1"/>
      <c r="N68" s="5">
        <f t="shared" ref="N68:N74" si="56">IF(H68=0,0,L68/H68)</f>
        <v>-0.54358268818207267</v>
      </c>
      <c r="O68" s="13"/>
      <c r="P68" s="1">
        <f>SUM(OSRRefP22_12x_0)</f>
        <v>3704.31</v>
      </c>
      <c r="Q68" s="1"/>
      <c r="R68" s="5">
        <f t="shared" ref="R68:R74" si="57">IF(P$12=0,0,P68/P$12)</f>
        <v>9.7502271396970076E-3</v>
      </c>
      <c r="S68" s="1"/>
      <c r="T68" s="1">
        <f>SUM(OSRRefT22_12x_0)</f>
        <v>1927.3899999999999</v>
      </c>
      <c r="U68" s="1"/>
      <c r="V68" s="5">
        <f t="shared" ref="V68:V74" si="58">IF(T$12=0,0,T68/T$12)</f>
        <v>5.2242194922999417E-3</v>
      </c>
      <c r="W68" s="1"/>
      <c r="X68" s="1">
        <f t="shared" ref="X68:X74" si="59">+P68-T68</f>
        <v>1776.92</v>
      </c>
      <c r="Y68" s="1"/>
      <c r="Z68" s="5">
        <f t="shared" ref="Z68:Z74" si="60">IF(T68=0,0,X68/T68)</f>
        <v>0.92193069383985604</v>
      </c>
    </row>
    <row r="69" spans="1:26" s="24" customFormat="1" hidden="1" outlineLevel="2" x14ac:dyDescent="0.25">
      <c r="A69" s="25"/>
      <c r="B69" s="11" t="str">
        <f>CONCATENATE("          ", "6234", " - ", "EXPENDABLE SUPPLIES &amp; EQUIPMEN")</f>
        <v xml:space="preserve">          6234 - EXPENDABLE SUPPLIES &amp; EQUIPMEN</v>
      </c>
      <c r="C69" s="11"/>
      <c r="D69" s="6"/>
      <c r="E69" s="2"/>
      <c r="F69" s="7">
        <f t="shared" si="53"/>
        <v>0</v>
      </c>
      <c r="G69" s="2"/>
      <c r="H69" s="6"/>
      <c r="I69" s="2"/>
      <c r="J69" s="7">
        <f t="shared" si="54"/>
        <v>0</v>
      </c>
      <c r="K69" s="2"/>
      <c r="L69" s="6">
        <f t="shared" si="55"/>
        <v>0</v>
      </c>
      <c r="M69" s="2"/>
      <c r="N69" s="7">
        <f t="shared" si="56"/>
        <v>0</v>
      </c>
      <c r="O69" s="11"/>
      <c r="P69" s="6">
        <v>354.82</v>
      </c>
      <c r="Q69" s="2"/>
      <c r="R69" s="7">
        <f t="shared" si="57"/>
        <v>9.339325255465369E-4</v>
      </c>
      <c r="S69" s="2"/>
      <c r="T69" s="6"/>
      <c r="U69" s="2"/>
      <c r="V69" s="7">
        <f t="shared" si="58"/>
        <v>0</v>
      </c>
      <c r="W69" s="2"/>
      <c r="X69" s="6">
        <f t="shared" si="59"/>
        <v>354.82</v>
      </c>
      <c r="Y69" s="2"/>
      <c r="Z69" s="7">
        <f t="shared" si="60"/>
        <v>0</v>
      </c>
    </row>
    <row r="70" spans="1:26" s="24" customFormat="1" hidden="1" outlineLevel="2" x14ac:dyDescent="0.25">
      <c r="A70" s="25"/>
      <c r="B70" s="11" t="str">
        <f>CONCATENATE("          ", "6237", " - ", "JANITORIAL SUPPLIES")</f>
        <v xml:space="preserve">          6237 - JANITORIAL SUPPLIES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151.25</v>
      </c>
      <c r="Q70" s="2"/>
      <c r="R70" s="7">
        <f t="shared" si="57"/>
        <v>3.9810973025453388E-4</v>
      </c>
      <c r="S70" s="2"/>
      <c r="T70" s="6">
        <v>93.07</v>
      </c>
      <c r="U70" s="2"/>
      <c r="V70" s="7">
        <f t="shared" si="58"/>
        <v>2.5226763039569341E-4</v>
      </c>
      <c r="W70" s="2"/>
      <c r="X70" s="6">
        <f t="shared" si="59"/>
        <v>58.180000000000007</v>
      </c>
      <c r="Y70" s="2"/>
      <c r="Z70" s="7">
        <f t="shared" si="60"/>
        <v>0.62512087675942851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3"/>
        <v>0</v>
      </c>
      <c r="G71" s="2"/>
      <c r="H71" s="6">
        <v>135.77000000000001</v>
      </c>
      <c r="I71" s="2"/>
      <c r="J71" s="7">
        <f t="shared" si="54"/>
        <v>3.3863268417719645E-3</v>
      </c>
      <c r="K71" s="2"/>
      <c r="L71" s="6">
        <f t="shared" si="55"/>
        <v>-135.77000000000001</v>
      </c>
      <c r="M71" s="2"/>
      <c r="N71" s="7">
        <f t="shared" si="56"/>
        <v>-1</v>
      </c>
      <c r="O71" s="11"/>
      <c r="P71" s="6">
        <v>328.56</v>
      </c>
      <c r="Q71" s="2"/>
      <c r="R71" s="7">
        <f t="shared" si="57"/>
        <v>8.6481277998300588E-4</v>
      </c>
      <c r="S71" s="2"/>
      <c r="T71" s="6">
        <v>272.7</v>
      </c>
      <c r="U71" s="2"/>
      <c r="V71" s="7">
        <f t="shared" si="58"/>
        <v>7.3915743858284728E-4</v>
      </c>
      <c r="W71" s="2"/>
      <c r="X71" s="6">
        <f t="shared" si="59"/>
        <v>55.860000000000014</v>
      </c>
      <c r="Y71" s="2"/>
      <c r="Z71" s="7">
        <f t="shared" si="60"/>
        <v>0.20484048404840491</v>
      </c>
    </row>
    <row r="72" spans="1:26" s="24" customFormat="1" hidden="1" outlineLevel="2" x14ac:dyDescent="0.25">
      <c r="A72" s="25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81.739999999999995</v>
      </c>
      <c r="Q72" s="2"/>
      <c r="R72" s="7">
        <f t="shared" si="57"/>
        <v>2.151503428165659E-4</v>
      </c>
      <c r="S72" s="2"/>
      <c r="T72" s="6"/>
      <c r="U72" s="2"/>
      <c r="V72" s="7">
        <f t="shared" si="58"/>
        <v>0</v>
      </c>
      <c r="W72" s="2"/>
      <c r="X72" s="6">
        <f t="shared" si="59"/>
        <v>81.739999999999995</v>
      </c>
      <c r="Y72" s="2"/>
      <c r="Z72" s="7">
        <f t="shared" si="60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6">
        <v>195.73</v>
      </c>
      <c r="E73" s="2"/>
      <c r="F73" s="7">
        <f t="shared" si="53"/>
        <v>4.6220413256259172E-3</v>
      </c>
      <c r="G73" s="2"/>
      <c r="H73" s="6">
        <v>293.07</v>
      </c>
      <c r="I73" s="2"/>
      <c r="J73" s="7">
        <f t="shared" si="54"/>
        <v>7.3096472528401679E-3</v>
      </c>
      <c r="K73" s="2"/>
      <c r="L73" s="6">
        <f t="shared" si="55"/>
        <v>-97.34</v>
      </c>
      <c r="M73" s="2"/>
      <c r="N73" s="7">
        <f t="shared" si="56"/>
        <v>-0.33213907940082577</v>
      </c>
      <c r="O73" s="11"/>
      <c r="P73" s="6">
        <v>2787.94</v>
      </c>
      <c r="Q73" s="2"/>
      <c r="R73" s="7">
        <f t="shared" si="57"/>
        <v>7.3382217610963646E-3</v>
      </c>
      <c r="S73" s="2"/>
      <c r="T73" s="6">
        <v>1373.75</v>
      </c>
      <c r="U73" s="2"/>
      <c r="V73" s="7">
        <f t="shared" si="58"/>
        <v>3.7235699715921764E-3</v>
      </c>
      <c r="W73" s="2"/>
      <c r="X73" s="6">
        <f t="shared" si="59"/>
        <v>1414.19</v>
      </c>
      <c r="Y73" s="2"/>
      <c r="Z73" s="7">
        <f t="shared" si="60"/>
        <v>1.0294376706096451</v>
      </c>
    </row>
    <row r="74" spans="1:26" s="24" customFormat="1" hidden="1" outlineLevel="2" x14ac:dyDescent="0.25">
      <c r="A74" s="25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/>
      <c r="Q74" s="2"/>
      <c r="R74" s="7">
        <f t="shared" si="57"/>
        <v>0</v>
      </c>
      <c r="S74" s="2"/>
      <c r="T74" s="6">
        <v>187.87</v>
      </c>
      <c r="U74" s="2"/>
      <c r="V74" s="7">
        <f t="shared" si="58"/>
        <v>5.0922445172922452E-4</v>
      </c>
      <c r="W74" s="2"/>
      <c r="X74" s="6">
        <f t="shared" si="59"/>
        <v>-187.87</v>
      </c>
      <c r="Y74" s="2"/>
      <c r="Z74" s="7">
        <f t="shared" si="60"/>
        <v>-1</v>
      </c>
    </row>
    <row r="75" spans="1:26" s="26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126.1</v>
      </c>
      <c r="E75" s="1"/>
      <c r="F75" s="5">
        <f t="shared" ref="F75:F78" si="61">IF(D$12=0,0,D75/D$12)</f>
        <v>2.9777724986533908E-3</v>
      </c>
      <c r="G75" s="1"/>
      <c r="H75" s="1">
        <f>SUM(OSRRefH22_13x_0)</f>
        <v>-12.95</v>
      </c>
      <c r="I75" s="1"/>
      <c r="J75" s="5">
        <f t="shared" ref="J75:J78" si="62">IF(H$12=0,0,H75/H$12)</f>
        <v>-3.2299427414706443E-4</v>
      </c>
      <c r="K75" s="1"/>
      <c r="L75" s="1">
        <f t="shared" ref="L75:L78" si="63">+D75-H75</f>
        <v>139.04999999999998</v>
      </c>
      <c r="M75" s="1"/>
      <c r="N75" s="5">
        <f t="shared" ref="N75:N78" si="64">IF(H75=0,0,L75/H75)</f>
        <v>-10.737451737451737</v>
      </c>
      <c r="O75" s="13"/>
      <c r="P75" s="1">
        <f>SUM(OSRRefP22_13x_0)</f>
        <v>831.7</v>
      </c>
      <c r="Q75" s="1"/>
      <c r="R75" s="5">
        <f t="shared" ref="R75:R78" si="65">IF(P$12=0,0,P75/P$12)</f>
        <v>2.1891428935715425E-3</v>
      </c>
      <c r="S75" s="1"/>
      <c r="T75" s="1">
        <f>SUM(OSRRefT22_13x_0)</f>
        <v>824.9</v>
      </c>
      <c r="U75" s="1"/>
      <c r="V75" s="5">
        <f t="shared" ref="V75:V78" si="66">IF(T$12=0,0,T75/T$12)</f>
        <v>2.2359038177007361E-3</v>
      </c>
      <c r="W75" s="1"/>
      <c r="X75" s="1">
        <f t="shared" ref="X75:X78" si="67">+P75-T75</f>
        <v>6.8000000000000682</v>
      </c>
      <c r="Y75" s="1"/>
      <c r="Z75" s="5">
        <f t="shared" ref="Z75:Z78" si="68">IF(T75=0,0,X75/T75)</f>
        <v>8.2434234452661761E-3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126.1</v>
      </c>
      <c r="E76" s="2"/>
      <c r="F76" s="7">
        <f t="shared" si="61"/>
        <v>2.9777724986533908E-3</v>
      </c>
      <c r="G76" s="2"/>
      <c r="H76" s="6">
        <v>-12.95</v>
      </c>
      <c r="I76" s="2"/>
      <c r="J76" s="7">
        <f t="shared" si="62"/>
        <v>-3.2299427414706443E-4</v>
      </c>
      <c r="K76" s="2"/>
      <c r="L76" s="6">
        <f t="shared" si="63"/>
        <v>139.04999999999998</v>
      </c>
      <c r="M76" s="2"/>
      <c r="N76" s="7">
        <f t="shared" si="64"/>
        <v>-10.737451737451737</v>
      </c>
      <c r="O76" s="11"/>
      <c r="P76" s="6">
        <v>831.7</v>
      </c>
      <c r="Q76" s="2"/>
      <c r="R76" s="7">
        <f t="shared" si="65"/>
        <v>2.1891428935715425E-3</v>
      </c>
      <c r="S76" s="2"/>
      <c r="T76" s="6">
        <v>824.9</v>
      </c>
      <c r="U76" s="2"/>
      <c r="V76" s="7">
        <f t="shared" si="66"/>
        <v>2.2359038177007361E-3</v>
      </c>
      <c r="W76" s="2"/>
      <c r="X76" s="6">
        <f t="shared" si="67"/>
        <v>6.8000000000000682</v>
      </c>
      <c r="Y76" s="2"/>
      <c r="Z76" s="7">
        <f t="shared" si="68"/>
        <v>8.2434234452661761E-3</v>
      </c>
    </row>
    <row r="77" spans="1:26" s="26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0</v>
      </c>
      <c r="E77" s="1"/>
      <c r="F77" s="5">
        <f t="shared" si="61"/>
        <v>0</v>
      </c>
      <c r="G77" s="1"/>
      <c r="H77" s="1">
        <f>SUM(OSRRefH22_14x_0)</f>
        <v>0</v>
      </c>
      <c r="I77" s="1"/>
      <c r="J77" s="5">
        <f t="shared" si="62"/>
        <v>0</v>
      </c>
      <c r="K77" s="1"/>
      <c r="L77" s="1">
        <f t="shared" si="63"/>
        <v>0</v>
      </c>
      <c r="M77" s="1"/>
      <c r="N77" s="5">
        <f t="shared" si="64"/>
        <v>0</v>
      </c>
      <c r="O77" s="13"/>
      <c r="P77" s="1">
        <f>SUM(OSRRefP22_14x_0)</f>
        <v>96</v>
      </c>
      <c r="Q77" s="1"/>
      <c r="R77" s="5">
        <f t="shared" si="65"/>
        <v>2.5268452300453056E-4</v>
      </c>
      <c r="S77" s="1"/>
      <c r="T77" s="1">
        <f>SUM(OSRRefT22_14x_0)</f>
        <v>98.82</v>
      </c>
      <c r="U77" s="1"/>
      <c r="V77" s="5">
        <f t="shared" si="66"/>
        <v>2.678530916052694E-4</v>
      </c>
      <c r="W77" s="1"/>
      <c r="X77" s="1">
        <f t="shared" si="67"/>
        <v>-2.8199999999999932</v>
      </c>
      <c r="Y77" s="1"/>
      <c r="Z77" s="5">
        <f t="shared" si="68"/>
        <v>-2.8536733454766174E-2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96</v>
      </c>
      <c r="Q78" s="2"/>
      <c r="R78" s="7">
        <f t="shared" si="65"/>
        <v>2.5268452300453056E-4</v>
      </c>
      <c r="S78" s="2"/>
      <c r="T78" s="6">
        <v>98.82</v>
      </c>
      <c r="U78" s="2"/>
      <c r="V78" s="7">
        <f t="shared" si="66"/>
        <v>2.678530916052694E-4</v>
      </c>
      <c r="W78" s="2"/>
      <c r="X78" s="6">
        <f t="shared" si="67"/>
        <v>-2.8199999999999932</v>
      </c>
      <c r="Y78" s="2"/>
      <c r="Z78" s="7">
        <f t="shared" si="68"/>
        <v>-2.8536733454766174E-2</v>
      </c>
    </row>
    <row r="79" spans="1:26" s="59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1">
        <f>+D26-D28+D80</f>
        <v>3048.4599999999919</v>
      </c>
      <c r="E82" s="14"/>
      <c r="F82" s="22">
        <f>IF(D$12=0,0,D82/D$12)</f>
        <v>7.1987473047144271E-2</v>
      </c>
      <c r="G82" s="14"/>
      <c r="H82" s="21">
        <f>+H26-H28+H80</f>
        <v>-6957.9399999999987</v>
      </c>
      <c r="I82" s="14"/>
      <c r="J82" s="22">
        <f>IF(H$12=0,0,H82/H$12)</f>
        <v>-0.17354245404315252</v>
      </c>
      <c r="K82" s="16"/>
      <c r="L82" s="21">
        <f>+D82-H82</f>
        <v>10006.399999999991</v>
      </c>
      <c r="M82" s="16"/>
      <c r="N82" s="22">
        <f>IF(H82=0,0,L82/H82)</f>
        <v>-1.4381268018982618</v>
      </c>
      <c r="O82" s="29"/>
      <c r="P82" s="21">
        <f>+P26-P28+P80</f>
        <v>67822.979999999981</v>
      </c>
      <c r="Q82" s="14"/>
      <c r="R82" s="22">
        <f>IF(P$12=0,0,P82/P$12)</f>
        <v>0.17851893072964389</v>
      </c>
      <c r="S82" s="14"/>
      <c r="T82" s="21">
        <f>+T26-T28+T80</f>
        <v>44735.160000000033</v>
      </c>
      <c r="U82" s="14"/>
      <c r="V82" s="22">
        <f>IF(T$12=0,0,T82/T$12)</f>
        <v>0.12125532189290016</v>
      </c>
      <c r="W82" s="16"/>
      <c r="X82" s="21">
        <f>+P82-T82</f>
        <v>23087.819999999949</v>
      </c>
      <c r="Y82" s="16"/>
      <c r="Z82" s="22">
        <f>IF(T82=0,0,X82/T82)</f>
        <v>0.51610008771623783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3159.79</v>
      </c>
      <c r="E84" s="4"/>
      <c r="F84" s="12">
        <f>IF(D$12=0,0,D84/D$12)</f>
        <v>7.4616461249167321E-2</v>
      </c>
      <c r="G84" s="4"/>
      <c r="H84" s="4">
        <v>2052.36</v>
      </c>
      <c r="I84" s="4"/>
      <c r="J84" s="12">
        <f>IF(H$12=0,0,H84/H$12)</f>
        <v>5.1189229999109589E-2</v>
      </c>
      <c r="K84" s="4"/>
      <c r="L84" s="4">
        <f>+D84-H84</f>
        <v>1107.4299999999998</v>
      </c>
      <c r="M84" s="4"/>
      <c r="N84" s="12">
        <f>IF(H84=0,0,L84/H84)</f>
        <v>0.53958857120583126</v>
      </c>
      <c r="O84" s="10"/>
      <c r="P84" s="4">
        <v>39620.310000000005</v>
      </c>
      <c r="Q84" s="4"/>
      <c r="R84" s="12">
        <f>IF(P$12=0,0,P84/P$12)</f>
        <v>0.10428582430876703</v>
      </c>
      <c r="S84" s="4"/>
      <c r="T84" s="4">
        <v>37539.17</v>
      </c>
      <c r="U84" s="4"/>
      <c r="V84" s="12">
        <f>IF(T$12=0,0,T84/T$12)</f>
        <v>0.10175048310863977</v>
      </c>
      <c r="W84" s="4"/>
      <c r="X84" s="4">
        <f>+P84-T84</f>
        <v>2081.1400000000067</v>
      </c>
      <c r="Y84" s="4"/>
      <c r="Z84" s="12">
        <f>IF(T84=0,0,X84/T84)</f>
        <v>5.5439158617518892E-2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4">
        <f>+D82-D84</f>
        <v>-111.33000000000811</v>
      </c>
      <c r="E86" s="14"/>
      <c r="F86" s="31">
        <f>IF(D$12=0,0,D86/D$12)</f>
        <v>-2.6289882020230468E-3</v>
      </c>
      <c r="G86" s="14"/>
      <c r="H86" s="34">
        <f>+H82-H84</f>
        <v>-9010.2999999999993</v>
      </c>
      <c r="I86" s="14"/>
      <c r="J86" s="31">
        <f>IF(H$12=0,0,H86/H$12)</f>
        <v>-0.22473168404226213</v>
      </c>
      <c r="K86" s="16"/>
      <c r="L86" s="34">
        <f>D86-H86</f>
        <v>8898.9699999999903</v>
      </c>
      <c r="M86" s="16"/>
      <c r="N86" s="31">
        <f>IF(H86=0,0,L86/H86)</f>
        <v>-0.98764414059465178</v>
      </c>
      <c r="O86" s="29"/>
      <c r="P86" s="34">
        <f>+P82-P84</f>
        <v>28202.669999999976</v>
      </c>
      <c r="Q86" s="14"/>
      <c r="R86" s="31">
        <f>IF(P$12=0,0,P86/P$12)</f>
        <v>7.4233106420876854E-2</v>
      </c>
      <c r="S86" s="14"/>
      <c r="T86" s="34">
        <f>+T82-T84</f>
        <v>7195.9900000000343</v>
      </c>
      <c r="U86" s="14"/>
      <c r="V86" s="31">
        <f>IF(T$12=0,0,T86/T$12)</f>
        <v>1.9504838784260393E-2</v>
      </c>
      <c r="W86" s="16"/>
      <c r="X86" s="34">
        <f>P86-T86</f>
        <v>21006.679999999942</v>
      </c>
      <c r="Y86" s="16"/>
      <c r="Z86" s="31">
        <f>IF(T86=0,0,X86/T86)</f>
        <v>2.9192202879659148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0">
        <f>SUM(D86:D88)</f>
        <v>-111.33000000000811</v>
      </c>
      <c r="E89" s="14"/>
      <c r="F89" s="33">
        <f>IF(D$12=0,0,D89/D$12)</f>
        <v>-2.6289882020230468E-3</v>
      </c>
      <c r="G89" s="14"/>
      <c r="H89" s="30">
        <f>SUM(H86:H88)</f>
        <v>-9010.2999999999993</v>
      </c>
      <c r="I89" s="14"/>
      <c r="J89" s="33">
        <f>IF(H$12=0,0,H89/H$12)</f>
        <v>-0.22473168404226213</v>
      </c>
      <c r="K89" s="16"/>
      <c r="L89" s="30">
        <f>+D89-H89</f>
        <v>8898.9699999999903</v>
      </c>
      <c r="M89" s="16"/>
      <c r="N89" s="33">
        <f>IF(H89=0,0,L89/H89)</f>
        <v>-0.98764414059465178</v>
      </c>
      <c r="O89" s="29"/>
      <c r="P89" s="30">
        <f>SUM(P86:P88)</f>
        <v>28202.669999999976</v>
      </c>
      <c r="Q89" s="14"/>
      <c r="R89" s="33">
        <f>IF(P$12=0,0,P89/P$12)</f>
        <v>7.4233106420876854E-2</v>
      </c>
      <c r="S89" s="14"/>
      <c r="T89" s="30">
        <f>SUM(T86:T88)</f>
        <v>7195.9900000000343</v>
      </c>
      <c r="U89" s="14"/>
      <c r="V89" s="33">
        <f>IF(T$12=0,0,T89/T$12)</f>
        <v>1.9504838784260393E-2</v>
      </c>
      <c r="W89" s="16"/>
      <c r="X89" s="30">
        <f>+P89-T89</f>
        <v>21006.679999999942</v>
      </c>
      <c r="Y89" s="16"/>
      <c r="Z89" s="33">
        <f>IF(T89=0,0,X89/T89)</f>
        <v>2.9192202879659148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61">
        <v>43879.553852511577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5" t="s">
        <v>313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8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","321", " - ", "Student Union C-Store")</f>
        <v>Department 321 - Student Union C-Store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21076.5</v>
      </c>
      <c r="E12" s="4"/>
      <c r="F12" s="12"/>
      <c r="G12" s="4"/>
      <c r="H12" s="4">
        <f>SUM(OSRRefH13x_0)</f>
        <v>18587.669999999998</v>
      </c>
      <c r="I12" s="4"/>
      <c r="J12" s="12"/>
      <c r="K12" s="4"/>
      <c r="L12" s="4">
        <f t="shared" ref="L12:L14" si="0">+D12-H12</f>
        <v>2488.8300000000017</v>
      </c>
      <c r="M12" s="4"/>
      <c r="N12" s="12">
        <f t="shared" ref="N12:N14" si="1">IF(H12=0,0,L12/H12)</f>
        <v>0.13389682515344861</v>
      </c>
      <c r="O12" s="10"/>
      <c r="P12" s="4">
        <f>SUM(OSRRefP13x_0)</f>
        <v>213250.18</v>
      </c>
      <c r="Q12" s="4"/>
      <c r="R12" s="12"/>
      <c r="S12" s="4"/>
      <c r="T12" s="4">
        <f>SUM(OSRRefT13x_0)</f>
        <v>186922.48</v>
      </c>
      <c r="U12" s="4"/>
      <c r="V12" s="12"/>
      <c r="W12" s="4"/>
      <c r="X12" s="4">
        <f t="shared" ref="X12:X14" si="2">+P12-T12</f>
        <v>26327.699999999983</v>
      </c>
      <c r="Y12" s="4"/>
      <c r="Z12" s="12">
        <f t="shared" ref="Z12:Z14" si="3">IF(T12=0,0,X12/T12)</f>
        <v>0.14084822756471016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--4612.21</f>
        <v>4612.21</v>
      </c>
      <c r="E13" s="2"/>
      <c r="F13" s="19"/>
      <c r="G13" s="2"/>
      <c r="H13" s="2">
        <f>--4840.29</f>
        <v>4840.29</v>
      </c>
      <c r="I13" s="2"/>
      <c r="J13" s="19"/>
      <c r="K13" s="2"/>
      <c r="L13" s="2">
        <f t="shared" si="0"/>
        <v>-228.07999999999993</v>
      </c>
      <c r="M13" s="2"/>
      <c r="N13" s="19">
        <f t="shared" si="1"/>
        <v>-4.7121143567844061E-2</v>
      </c>
      <c r="O13" s="11"/>
      <c r="P13" s="2">
        <f>--49434.02</f>
        <v>49434.02</v>
      </c>
      <c r="Q13" s="2"/>
      <c r="R13" s="19"/>
      <c r="S13" s="2"/>
      <c r="T13" s="2">
        <f>--47478.97</f>
        <v>47478.97</v>
      </c>
      <c r="U13" s="2"/>
      <c r="V13" s="19"/>
      <c r="W13" s="2"/>
      <c r="X13" s="2">
        <f t="shared" si="2"/>
        <v>1955.0499999999956</v>
      </c>
      <c r="Y13" s="2"/>
      <c r="Z13" s="19">
        <f t="shared" si="3"/>
        <v>4.1177178022185311E-2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--16464.29</f>
        <v>16464.29</v>
      </c>
      <c r="E14" s="2"/>
      <c r="F14" s="19"/>
      <c r="G14" s="2"/>
      <c r="H14" s="2">
        <f>--13747.38</f>
        <v>13747.38</v>
      </c>
      <c r="I14" s="2"/>
      <c r="J14" s="19"/>
      <c r="K14" s="2"/>
      <c r="L14" s="2">
        <f t="shared" si="0"/>
        <v>2716.9100000000017</v>
      </c>
      <c r="M14" s="2"/>
      <c r="N14" s="19">
        <f t="shared" si="1"/>
        <v>0.19763111225557173</v>
      </c>
      <c r="O14" s="11"/>
      <c r="P14" s="2">
        <f>--163816.16</f>
        <v>163816.16</v>
      </c>
      <c r="Q14" s="2"/>
      <c r="R14" s="19"/>
      <c r="S14" s="2"/>
      <c r="T14" s="2">
        <f>--139443.51</f>
        <v>139443.51</v>
      </c>
      <c r="U14" s="2"/>
      <c r="V14" s="19"/>
      <c r="W14" s="2"/>
      <c r="X14" s="2">
        <f t="shared" si="2"/>
        <v>24372.649999999994</v>
      </c>
      <c r="Y14" s="2"/>
      <c r="Z14" s="19">
        <f t="shared" si="3"/>
        <v>0.17478511549228784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10075.029999999997</v>
      </c>
      <c r="E16" s="4"/>
      <c r="F16" s="12">
        <f t="shared" ref="F16:F18" si="4">IF(D$12=0,0,D16/D$12)</f>
        <v>0.47802196759423987</v>
      </c>
      <c r="G16" s="4"/>
      <c r="H16" s="4">
        <f>SUM(OSRRefH16x_0)</f>
        <v>12318.45</v>
      </c>
      <c r="I16" s="4"/>
      <c r="J16" s="12">
        <f t="shared" ref="J16:J18" si="5">IF(H$12=0,0,H16/H$12)</f>
        <v>0.66272157833660716</v>
      </c>
      <c r="K16" s="4"/>
      <c r="L16" s="4">
        <f t="shared" ref="L16:L18" si="6">+D16-H16</f>
        <v>-2243.4200000000037</v>
      </c>
      <c r="M16" s="4"/>
      <c r="N16" s="12">
        <f t="shared" ref="N16:N18" si="7">IF(H16=0,0,L16/H16)</f>
        <v>-0.18211869188087815</v>
      </c>
      <c r="O16" s="10"/>
      <c r="P16" s="4">
        <f>SUM(OSRRefP16x_0)</f>
        <v>102261.2</v>
      </c>
      <c r="Q16" s="4"/>
      <c r="R16" s="12">
        <f t="shared" ref="R16:R18" si="8">IF(P$12=0,0,P16/P$12)</f>
        <v>0.47953628925424591</v>
      </c>
      <c r="S16" s="4"/>
      <c r="T16" s="4">
        <f>SUM(OSRRefT16x_0)</f>
        <v>90064.45</v>
      </c>
      <c r="U16" s="4"/>
      <c r="V16" s="12">
        <f t="shared" ref="V16:V18" si="9">IF(T$12=0,0,T16/T$12)</f>
        <v>0.4818278143966418</v>
      </c>
      <c r="W16" s="4"/>
      <c r="X16" s="4">
        <f t="shared" ref="X16:X18" si="10">+P16-T16</f>
        <v>12196.75</v>
      </c>
      <c r="Y16" s="4"/>
      <c r="Z16" s="12">
        <f t="shared" ref="Z16:Z18" si="11">IF(T16=0,0,X16/T16)</f>
        <v>0.13542246691119528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18605.609999999997</v>
      </c>
      <c r="E17" s="2"/>
      <c r="F17" s="19">
        <f t="shared" si="4"/>
        <v>0.88276563945626629</v>
      </c>
      <c r="G17" s="2"/>
      <c r="H17" s="2">
        <v>16769.5</v>
      </c>
      <c r="I17" s="2"/>
      <c r="J17" s="19">
        <f t="shared" si="5"/>
        <v>0.902184082243767</v>
      </c>
      <c r="K17" s="2"/>
      <c r="L17" s="2">
        <f t="shared" si="6"/>
        <v>1836.1099999999969</v>
      </c>
      <c r="M17" s="2"/>
      <c r="N17" s="19">
        <f t="shared" si="7"/>
        <v>0.10949104028146318</v>
      </c>
      <c r="O17" s="11"/>
      <c r="P17" s="2">
        <v>105194.95</v>
      </c>
      <c r="Q17" s="2"/>
      <c r="R17" s="19">
        <f t="shared" si="8"/>
        <v>0.49329360472286587</v>
      </c>
      <c r="S17" s="2"/>
      <c r="T17" s="2">
        <v>85641.19</v>
      </c>
      <c r="U17" s="2"/>
      <c r="V17" s="19">
        <f t="shared" si="9"/>
        <v>0.45816420796471347</v>
      </c>
      <c r="W17" s="2"/>
      <c r="X17" s="2">
        <f t="shared" si="10"/>
        <v>19553.759999999995</v>
      </c>
      <c r="Y17" s="2"/>
      <c r="Z17" s="19">
        <f t="shared" si="11"/>
        <v>0.22832190911873124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-8530.58</v>
      </c>
      <c r="E18" s="2"/>
      <c r="F18" s="19">
        <f t="shared" si="4"/>
        <v>-0.40474367186202642</v>
      </c>
      <c r="G18" s="2"/>
      <c r="H18" s="2">
        <v>-4451.05</v>
      </c>
      <c r="I18" s="2"/>
      <c r="J18" s="19">
        <f t="shared" si="5"/>
        <v>-0.23946250390716001</v>
      </c>
      <c r="K18" s="2"/>
      <c r="L18" s="2">
        <f t="shared" si="6"/>
        <v>-4079.5299999999997</v>
      </c>
      <c r="M18" s="2"/>
      <c r="N18" s="19">
        <f t="shared" si="7"/>
        <v>0.91653205423439399</v>
      </c>
      <c r="O18" s="11"/>
      <c r="P18" s="2">
        <v>-2933.75</v>
      </c>
      <c r="Q18" s="2"/>
      <c r="R18" s="19">
        <f t="shared" si="8"/>
        <v>-1.3757315468620003E-2</v>
      </c>
      <c r="S18" s="2"/>
      <c r="T18" s="2">
        <v>4423.26</v>
      </c>
      <c r="U18" s="2"/>
      <c r="V18" s="19">
        <f t="shared" si="9"/>
        <v>2.3663606431928358E-2</v>
      </c>
      <c r="W18" s="2"/>
      <c r="X18" s="2">
        <f t="shared" si="10"/>
        <v>-7357.01</v>
      </c>
      <c r="Y18" s="2"/>
      <c r="Z18" s="19">
        <f t="shared" si="11"/>
        <v>-1.6632551556996422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11001.470000000003</v>
      </c>
      <c r="E20" s="14"/>
      <c r="F20" s="22">
        <f>IF(D$12=0,0,D20/D$12)</f>
        <v>0.52197803240576013</v>
      </c>
      <c r="G20" s="14"/>
      <c r="H20" s="21">
        <f>H12-H16</f>
        <v>6269.2199999999975</v>
      </c>
      <c r="I20" s="14"/>
      <c r="J20" s="22">
        <f>IF(H$12=0,0,H20/H$12)</f>
        <v>0.33727842166339289</v>
      </c>
      <c r="K20" s="16"/>
      <c r="L20" s="21">
        <f>+D20-H20</f>
        <v>4732.2500000000055</v>
      </c>
      <c r="M20" s="16"/>
      <c r="N20" s="22">
        <f>IF(H20=0,0,L20/H20)</f>
        <v>0.7548387199683545</v>
      </c>
      <c r="O20" s="29"/>
      <c r="P20" s="21">
        <f>P12-P16</f>
        <v>110988.98</v>
      </c>
      <c r="Q20" s="14"/>
      <c r="R20" s="22">
        <f>IF(P$12=0,0,P20/P$12)</f>
        <v>0.52046371074575415</v>
      </c>
      <c r="S20" s="14"/>
      <c r="T20" s="21">
        <f>T12-T16</f>
        <v>96858.030000000013</v>
      </c>
      <c r="U20" s="14"/>
      <c r="V20" s="22">
        <f>IF(T$12=0,0,T20/T$12)</f>
        <v>0.5181721856033582</v>
      </c>
      <c r="W20" s="16"/>
      <c r="X20" s="21">
        <f>+P20-T20</f>
        <v>14130.949999999983</v>
      </c>
      <c r="Y20" s="16"/>
      <c r="Z20" s="22">
        <f>IF(T20=0,0,X20/T20)</f>
        <v>0.14589342773128858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8518.6999999999989</v>
      </c>
      <c r="E22" s="20"/>
      <c r="F22" s="32">
        <f t="shared" ref="F22:F30" si="12">IF(D$12=0,0,D22/D$12)</f>
        <v>0.40418001091262773</v>
      </c>
      <c r="G22" s="20"/>
      <c r="H22" s="20">
        <f>SUM(OSRRefH22x_0)</f>
        <v>4792.6200000000008</v>
      </c>
      <c r="I22" s="20"/>
      <c r="J22" s="32">
        <f t="shared" ref="J22:J30" si="13">IF(H$12=0,0,H22/H$12)</f>
        <v>0.25783866401759881</v>
      </c>
      <c r="K22" s="4"/>
      <c r="L22" s="20">
        <f t="shared" ref="L22:L30" si="14">+D22-H22</f>
        <v>3726.0799999999981</v>
      </c>
      <c r="M22" s="4"/>
      <c r="N22" s="32">
        <f t="shared" ref="N22:N30" si="15">IF(H22=0,0,L22/H22)</f>
        <v>0.77746201451398134</v>
      </c>
      <c r="O22" s="10"/>
      <c r="P22" s="20">
        <f>SUM(OSRRefP22x_0)</f>
        <v>89343.419999999984</v>
      </c>
      <c r="Q22" s="20"/>
      <c r="R22" s="32">
        <f t="shared" ref="R22:R30" si="16">IF(P$12=0,0,P22/P$12)</f>
        <v>0.41896058423022192</v>
      </c>
      <c r="S22" s="20"/>
      <c r="T22" s="20">
        <f>SUM(OSRRefT22x_0)</f>
        <v>54388.409999999996</v>
      </c>
      <c r="U22" s="20"/>
      <c r="V22" s="32">
        <f t="shared" ref="V22:V30" si="17">IF(T$12=0,0,T22/T$12)</f>
        <v>0.29096773165004014</v>
      </c>
      <c r="W22" s="4"/>
      <c r="X22" s="20">
        <f t="shared" ref="X22:X30" si="18">+P22-T22</f>
        <v>34955.009999999987</v>
      </c>
      <c r="Y22" s="4"/>
      <c r="Z22" s="32">
        <f t="shared" ref="Z22:Z30" si="19">IF(T22=0,0,X22/T22)</f>
        <v>0.64269225741293023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176.35</v>
      </c>
      <c r="E23" s="1"/>
      <c r="F23" s="5">
        <f t="shared" si="12"/>
        <v>8.3671387564348918E-3</v>
      </c>
      <c r="G23" s="1"/>
      <c r="H23" s="1">
        <f>SUM(OSRRefH22_0x_0)</f>
        <v>46.84</v>
      </c>
      <c r="I23" s="1"/>
      <c r="J23" s="5">
        <f t="shared" si="13"/>
        <v>2.5199500529114196E-3</v>
      </c>
      <c r="K23" s="1"/>
      <c r="L23" s="1">
        <f t="shared" si="14"/>
        <v>129.51</v>
      </c>
      <c r="M23" s="1"/>
      <c r="N23" s="5">
        <f t="shared" si="15"/>
        <v>2.7649444918872756</v>
      </c>
      <c r="O23" s="13"/>
      <c r="P23" s="1">
        <f>SUM(OSRRefP22_0x_0)</f>
        <v>9418.08</v>
      </c>
      <c r="Q23" s="1"/>
      <c r="R23" s="5">
        <f t="shared" si="16"/>
        <v>4.4164464480170661E-2</v>
      </c>
      <c r="S23" s="1"/>
      <c r="T23" s="1">
        <f>SUM(OSRRefT22_0x_0)</f>
        <v>479.29</v>
      </c>
      <c r="U23" s="1"/>
      <c r="V23" s="5">
        <f t="shared" si="17"/>
        <v>2.5641110689308211E-3</v>
      </c>
      <c r="W23" s="1"/>
      <c r="X23" s="1">
        <f t="shared" si="18"/>
        <v>8938.7899999999991</v>
      </c>
      <c r="Y23" s="1"/>
      <c r="Z23" s="5">
        <f t="shared" si="19"/>
        <v>18.650065722214105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156.59</v>
      </c>
      <c r="E24" s="2"/>
      <c r="F24" s="7">
        <f t="shared" si="12"/>
        <v>7.4296016890850001E-3</v>
      </c>
      <c r="G24" s="2"/>
      <c r="H24" s="6">
        <v>14.24</v>
      </c>
      <c r="I24" s="2"/>
      <c r="J24" s="7">
        <f t="shared" si="13"/>
        <v>7.6609924751192601E-4</v>
      </c>
      <c r="K24" s="2"/>
      <c r="L24" s="6">
        <f t="shared" si="14"/>
        <v>142.35</v>
      </c>
      <c r="M24" s="2"/>
      <c r="N24" s="7">
        <f t="shared" si="15"/>
        <v>9.996488764044944</v>
      </c>
      <c r="O24" s="11"/>
      <c r="P24" s="6">
        <v>1837.57</v>
      </c>
      <c r="Q24" s="2"/>
      <c r="R24" s="7">
        <f t="shared" si="16"/>
        <v>8.6169681076001901E-3</v>
      </c>
      <c r="S24" s="2"/>
      <c r="T24" s="6">
        <v>195.97</v>
      </c>
      <c r="U24" s="2"/>
      <c r="V24" s="7">
        <f t="shared" si="17"/>
        <v>1.0484025249397504E-3</v>
      </c>
      <c r="W24" s="2"/>
      <c r="X24" s="6">
        <f t="shared" si="18"/>
        <v>1641.6</v>
      </c>
      <c r="Y24" s="2"/>
      <c r="Z24" s="7">
        <f t="shared" si="19"/>
        <v>8.3767923661784955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17.38</v>
      </c>
      <c r="E25" s="2"/>
      <c r="F25" s="7">
        <f t="shared" si="12"/>
        <v>8.2461509263872081E-4</v>
      </c>
      <c r="G25" s="2"/>
      <c r="H25" s="6">
        <v>26.75</v>
      </c>
      <c r="I25" s="2"/>
      <c r="J25" s="7">
        <f t="shared" si="13"/>
        <v>1.4391260443078666E-3</v>
      </c>
      <c r="K25" s="2"/>
      <c r="L25" s="6">
        <f t="shared" si="14"/>
        <v>-9.370000000000001</v>
      </c>
      <c r="M25" s="2"/>
      <c r="N25" s="7">
        <f t="shared" si="15"/>
        <v>-0.35028037383177574</v>
      </c>
      <c r="O25" s="11"/>
      <c r="P25" s="6">
        <v>642.36</v>
      </c>
      <c r="Q25" s="2"/>
      <c r="R25" s="7">
        <f t="shared" si="16"/>
        <v>3.0122366133524484E-3</v>
      </c>
      <c r="S25" s="2"/>
      <c r="T25" s="6">
        <v>232.51</v>
      </c>
      <c r="U25" s="2"/>
      <c r="V25" s="7">
        <f t="shared" si="17"/>
        <v>1.2438846306768452E-3</v>
      </c>
      <c r="W25" s="2"/>
      <c r="X25" s="6">
        <f t="shared" si="18"/>
        <v>409.85</v>
      </c>
      <c r="Y25" s="2"/>
      <c r="Z25" s="7">
        <f t="shared" si="19"/>
        <v>1.7627198830157844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4676.5</v>
      </c>
      <c r="Q26" s="2"/>
      <c r="R26" s="7">
        <f t="shared" si="16"/>
        <v>2.1929641513081022E-2</v>
      </c>
      <c r="S26" s="2"/>
      <c r="T26" s="6"/>
      <c r="U26" s="2"/>
      <c r="V26" s="7">
        <f t="shared" si="17"/>
        <v>0</v>
      </c>
      <c r="W26" s="2"/>
      <c r="X26" s="6">
        <f t="shared" si="18"/>
        <v>4676.5</v>
      </c>
      <c r="Y26" s="2"/>
      <c r="Z26" s="7">
        <f t="shared" si="19"/>
        <v>0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2.38</v>
      </c>
      <c r="E27" s="2"/>
      <c r="F27" s="7">
        <f t="shared" si="12"/>
        <v>1.129219747111712E-4</v>
      </c>
      <c r="G27" s="2"/>
      <c r="H27" s="6">
        <v>5.85</v>
      </c>
      <c r="I27" s="2"/>
      <c r="J27" s="7">
        <f t="shared" si="13"/>
        <v>3.147247610916269E-4</v>
      </c>
      <c r="K27" s="2"/>
      <c r="L27" s="6">
        <f t="shared" si="14"/>
        <v>-3.4699999999999998</v>
      </c>
      <c r="M27" s="2"/>
      <c r="N27" s="7">
        <f t="shared" si="15"/>
        <v>-0.59316239316239316</v>
      </c>
      <c r="O27" s="11"/>
      <c r="P27" s="6">
        <v>93.78</v>
      </c>
      <c r="Q27" s="2"/>
      <c r="R27" s="7">
        <f t="shared" si="16"/>
        <v>4.3976516221463447E-4</v>
      </c>
      <c r="S27" s="2"/>
      <c r="T27" s="6">
        <v>50.81</v>
      </c>
      <c r="U27" s="2"/>
      <c r="V27" s="7">
        <f t="shared" si="17"/>
        <v>2.7182391331422522E-4</v>
      </c>
      <c r="W27" s="2"/>
      <c r="X27" s="6">
        <f t="shared" si="18"/>
        <v>42.97</v>
      </c>
      <c r="Y27" s="2"/>
      <c r="Z27" s="7">
        <f t="shared" si="19"/>
        <v>0.84569966542019281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670.55</v>
      </c>
      <c r="Q28" s="2"/>
      <c r="R28" s="7">
        <f t="shared" si="16"/>
        <v>3.1444287643743137E-3</v>
      </c>
      <c r="S28" s="2"/>
      <c r="T28" s="6"/>
      <c r="U28" s="2"/>
      <c r="V28" s="7">
        <f t="shared" si="17"/>
        <v>0</v>
      </c>
      <c r="W28" s="2"/>
      <c r="X28" s="6">
        <f t="shared" si="18"/>
        <v>670.55</v>
      </c>
      <c r="Y28" s="2"/>
      <c r="Z28" s="7">
        <f t="shared" si="19"/>
        <v>0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/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1098.8</v>
      </c>
      <c r="Q29" s="2"/>
      <c r="R29" s="7">
        <f t="shared" si="16"/>
        <v>5.1526333998873994E-3</v>
      </c>
      <c r="S29" s="2"/>
      <c r="T29" s="6"/>
      <c r="U29" s="2"/>
      <c r="V29" s="7">
        <f t="shared" si="17"/>
        <v>0</v>
      </c>
      <c r="W29" s="2"/>
      <c r="X29" s="6">
        <f t="shared" si="18"/>
        <v>1098.8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/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398.52</v>
      </c>
      <c r="Q30" s="2"/>
      <c r="R30" s="7">
        <f t="shared" si="16"/>
        <v>1.868790919660654E-3</v>
      </c>
      <c r="S30" s="2"/>
      <c r="T30" s="6"/>
      <c r="U30" s="2"/>
      <c r="V30" s="7">
        <f t="shared" si="17"/>
        <v>0</v>
      </c>
      <c r="W30" s="2"/>
      <c r="X30" s="6">
        <f t="shared" si="18"/>
        <v>398.52</v>
      </c>
      <c r="Y30" s="2"/>
      <c r="Z30" s="7">
        <f t="shared" si="19"/>
        <v>0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4789.1099999999997</v>
      </c>
      <c r="E31" s="1"/>
      <c r="F31" s="5">
        <f t="shared" ref="F31:F36" si="20">IF(D$12=0,0,D31/D$12)</f>
        <v>0.22722510853320046</v>
      </c>
      <c r="G31" s="1"/>
      <c r="H31" s="1">
        <f>SUM(OSRRefH22_1x_0)</f>
        <v>2406.5700000000002</v>
      </c>
      <c r="I31" s="1"/>
      <c r="J31" s="5">
        <f t="shared" ref="J31:J36" si="21">IF(H$12=0,0,H31/H$12)</f>
        <v>0.1294713108205601</v>
      </c>
      <c r="K31" s="1"/>
      <c r="L31" s="1">
        <f t="shared" ref="L31:L36" si="22">+D31-H31</f>
        <v>2382.5399999999995</v>
      </c>
      <c r="M31" s="1"/>
      <c r="N31" s="5">
        <f t="shared" ref="N31:N36" si="23">IF(H31=0,0,L31/H31)</f>
        <v>0.9900148343908548</v>
      </c>
      <c r="O31" s="13"/>
      <c r="P31" s="1">
        <f>SUM(OSRRefP22_1x_0)</f>
        <v>39609.589999999997</v>
      </c>
      <c r="Q31" s="1"/>
      <c r="R31" s="5">
        <f t="shared" ref="R31:R36" si="24">IF(P$12=0,0,P31/P$12)</f>
        <v>0.18574235201114483</v>
      </c>
      <c r="S31" s="1"/>
      <c r="T31" s="1">
        <f>SUM(OSRRefT22_1x_0)</f>
        <v>20709.710000000003</v>
      </c>
      <c r="U31" s="1"/>
      <c r="V31" s="5">
        <f t="shared" ref="V31:V36" si="25">IF(T$12=0,0,T31/T$12)</f>
        <v>0.11079304105102822</v>
      </c>
      <c r="W31" s="1"/>
      <c r="X31" s="1">
        <f t="shared" ref="X31:X36" si="26">+P31-T31</f>
        <v>18899.879999999994</v>
      </c>
      <c r="Y31" s="1"/>
      <c r="Z31" s="5">
        <f t="shared" ref="Z31:Z36" si="27">IF(T31=0,0,X31/T31)</f>
        <v>0.91260959231201166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800</v>
      </c>
      <c r="E32" s="2"/>
      <c r="F32" s="7">
        <f t="shared" si="20"/>
        <v>3.7956966289469311E-2</v>
      </c>
      <c r="G32" s="2"/>
      <c r="H32" s="6"/>
      <c r="I32" s="2"/>
      <c r="J32" s="7">
        <f t="shared" si="21"/>
        <v>0</v>
      </c>
      <c r="K32" s="2"/>
      <c r="L32" s="6">
        <f t="shared" si="22"/>
        <v>800</v>
      </c>
      <c r="M32" s="2"/>
      <c r="N32" s="7">
        <f t="shared" si="23"/>
        <v>0</v>
      </c>
      <c r="O32" s="11"/>
      <c r="P32" s="6">
        <v>11072</v>
      </c>
      <c r="Q32" s="2"/>
      <c r="R32" s="7">
        <f t="shared" si="24"/>
        <v>5.1920237535086726E-2</v>
      </c>
      <c r="S32" s="2"/>
      <c r="T32" s="6"/>
      <c r="U32" s="2"/>
      <c r="V32" s="7">
        <f t="shared" si="25"/>
        <v>0</v>
      </c>
      <c r="W32" s="2"/>
      <c r="X32" s="6">
        <f t="shared" si="26"/>
        <v>11072</v>
      </c>
      <c r="Y32" s="2"/>
      <c r="Z32" s="7">
        <f t="shared" si="27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644.49</v>
      </c>
      <c r="E33" s="2"/>
      <c r="F33" s="7">
        <f t="shared" si="20"/>
        <v>3.0578606504875098E-2</v>
      </c>
      <c r="G33" s="2"/>
      <c r="H33" s="6">
        <v>185.99</v>
      </c>
      <c r="I33" s="2"/>
      <c r="J33" s="7">
        <f t="shared" si="21"/>
        <v>1.0006095438535331E-2</v>
      </c>
      <c r="K33" s="2"/>
      <c r="L33" s="6">
        <f t="shared" si="22"/>
        <v>458.5</v>
      </c>
      <c r="M33" s="2"/>
      <c r="N33" s="7">
        <f t="shared" si="23"/>
        <v>2.4651863003387278</v>
      </c>
      <c r="O33" s="11"/>
      <c r="P33" s="6">
        <v>2353.27</v>
      </c>
      <c r="Q33" s="2"/>
      <c r="R33" s="7">
        <f t="shared" si="24"/>
        <v>1.1035254460277595E-2</v>
      </c>
      <c r="S33" s="2"/>
      <c r="T33" s="6">
        <v>185.99</v>
      </c>
      <c r="U33" s="2"/>
      <c r="V33" s="7">
        <f t="shared" si="25"/>
        <v>9.9501140793766484E-4</v>
      </c>
      <c r="W33" s="2"/>
      <c r="X33" s="6">
        <f t="shared" si="26"/>
        <v>2167.2799999999997</v>
      </c>
      <c r="Y33" s="2"/>
      <c r="Z33" s="7">
        <f t="shared" si="27"/>
        <v>11.652669498360124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>
        <v>602.55999999999995</v>
      </c>
      <c r="E34" s="2"/>
      <c r="F34" s="7">
        <f t="shared" si="20"/>
        <v>2.8589187009228283E-2</v>
      </c>
      <c r="G34" s="2"/>
      <c r="H34" s="6"/>
      <c r="I34" s="2"/>
      <c r="J34" s="7">
        <f t="shared" si="21"/>
        <v>0</v>
      </c>
      <c r="K34" s="2"/>
      <c r="L34" s="6">
        <f t="shared" si="22"/>
        <v>602.55999999999995</v>
      </c>
      <c r="M34" s="2"/>
      <c r="N34" s="7">
        <f t="shared" si="23"/>
        <v>0</v>
      </c>
      <c r="O34" s="11"/>
      <c r="P34" s="6">
        <v>7304.3</v>
      </c>
      <c r="Q34" s="2"/>
      <c r="R34" s="7">
        <f t="shared" si="24"/>
        <v>3.4252257137602417E-2</v>
      </c>
      <c r="S34" s="2"/>
      <c r="T34" s="6">
        <v>625.26</v>
      </c>
      <c r="U34" s="2"/>
      <c r="V34" s="7">
        <f t="shared" si="25"/>
        <v>3.3450230277278577E-3</v>
      </c>
      <c r="W34" s="2"/>
      <c r="X34" s="6">
        <f t="shared" si="26"/>
        <v>6679.04</v>
      </c>
      <c r="Y34" s="2"/>
      <c r="Z34" s="7">
        <f t="shared" si="27"/>
        <v>10.682020279563702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2742.06</v>
      </c>
      <c r="E35" s="2"/>
      <c r="F35" s="7">
        <f t="shared" si="20"/>
        <v>0.13010034872962778</v>
      </c>
      <c r="G35" s="2"/>
      <c r="H35" s="6">
        <v>2147.27</v>
      </c>
      <c r="I35" s="2"/>
      <c r="J35" s="7">
        <f t="shared" si="21"/>
        <v>0.1155212030340543</v>
      </c>
      <c r="K35" s="2"/>
      <c r="L35" s="6">
        <f t="shared" si="22"/>
        <v>594.79</v>
      </c>
      <c r="M35" s="2"/>
      <c r="N35" s="7">
        <f t="shared" si="23"/>
        <v>0.27699823496812231</v>
      </c>
      <c r="O35" s="11"/>
      <c r="P35" s="6">
        <v>17825.710000000003</v>
      </c>
      <c r="Q35" s="2"/>
      <c r="R35" s="7">
        <f t="shared" si="24"/>
        <v>8.3590597672649106E-2</v>
      </c>
      <c r="S35" s="2"/>
      <c r="T35" s="6">
        <v>19825.150000000001</v>
      </c>
      <c r="U35" s="2"/>
      <c r="V35" s="7">
        <f t="shared" si="25"/>
        <v>0.10606081194728424</v>
      </c>
      <c r="W35" s="2"/>
      <c r="X35" s="6">
        <f t="shared" si="26"/>
        <v>-1999.4399999999987</v>
      </c>
      <c r="Y35" s="2"/>
      <c r="Z35" s="7">
        <f t="shared" si="27"/>
        <v>-0.10085371359106986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0"/>
        <v>0</v>
      </c>
      <c r="G36" s="2"/>
      <c r="H36" s="6">
        <v>73.31</v>
      </c>
      <c r="I36" s="2"/>
      <c r="J36" s="7">
        <f t="shared" si="21"/>
        <v>3.9440123479704565E-3</v>
      </c>
      <c r="K36" s="2"/>
      <c r="L36" s="6">
        <f t="shared" si="22"/>
        <v>-73.31</v>
      </c>
      <c r="M36" s="2"/>
      <c r="N36" s="7">
        <f t="shared" si="23"/>
        <v>-1</v>
      </c>
      <c r="O36" s="11"/>
      <c r="P36" s="6">
        <v>1054.31</v>
      </c>
      <c r="Q36" s="2"/>
      <c r="R36" s="7">
        <f t="shared" si="24"/>
        <v>4.9440052055290179E-3</v>
      </c>
      <c r="S36" s="2"/>
      <c r="T36" s="6">
        <v>73.31</v>
      </c>
      <c r="U36" s="2"/>
      <c r="V36" s="7">
        <f t="shared" si="25"/>
        <v>3.9219466807844619E-4</v>
      </c>
      <c r="W36" s="2"/>
      <c r="X36" s="6">
        <f t="shared" si="26"/>
        <v>981</v>
      </c>
      <c r="Y36" s="2"/>
      <c r="Z36" s="7">
        <f t="shared" si="27"/>
        <v>13.381530486973128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28">IF(D$12=0,0,D37/D$12)</f>
        <v>0</v>
      </c>
      <c r="G37" s="1"/>
      <c r="H37" s="1">
        <f>SUM(OSRRefH22_2x_0)</f>
        <v>269.5</v>
      </c>
      <c r="I37" s="1"/>
      <c r="J37" s="5">
        <f t="shared" ref="J37:J50" si="29">IF(H$12=0,0,H37/H$12)</f>
        <v>1.449885865199888E-2</v>
      </c>
      <c r="K37" s="1"/>
      <c r="L37" s="1">
        <f t="shared" ref="L37:L50" si="30">+D37-H37</f>
        <v>-269.5</v>
      </c>
      <c r="M37" s="1"/>
      <c r="N37" s="5">
        <f t="shared" ref="N37:N50" si="31">IF(H37=0,0,L37/H37)</f>
        <v>-1</v>
      </c>
      <c r="O37" s="13"/>
      <c r="P37" s="1">
        <f>SUM(OSRRefP22_2x_0)</f>
        <v>0</v>
      </c>
      <c r="Q37" s="1"/>
      <c r="R37" s="5">
        <f t="shared" ref="R37:R50" si="32">IF(P$12=0,0,P37/P$12)</f>
        <v>0</v>
      </c>
      <c r="S37" s="1"/>
      <c r="T37" s="1">
        <f>SUM(OSRRefT22_2x_0)</f>
        <v>269.5</v>
      </c>
      <c r="U37" s="1"/>
      <c r="V37" s="5">
        <f t="shared" ref="V37:V50" si="33">IF(T$12=0,0,T37/T$12)</f>
        <v>1.4417741515092245E-3</v>
      </c>
      <c r="W37" s="1"/>
      <c r="X37" s="1">
        <f t="shared" ref="X37:X50" si="34">+P37-T37</f>
        <v>-269.5</v>
      </c>
      <c r="Y37" s="1"/>
      <c r="Z37" s="5">
        <f t="shared" ref="Z37:Z50" si="35">IF(T37=0,0,X37/T37)</f>
        <v>-1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8"/>
        <v>0</v>
      </c>
      <c r="G38" s="2"/>
      <c r="H38" s="6">
        <v>269.5</v>
      </c>
      <c r="I38" s="2"/>
      <c r="J38" s="7">
        <f t="shared" si="29"/>
        <v>1.449885865199888E-2</v>
      </c>
      <c r="K38" s="2"/>
      <c r="L38" s="6">
        <f t="shared" si="30"/>
        <v>-269.5</v>
      </c>
      <c r="M38" s="2"/>
      <c r="N38" s="7">
        <f t="shared" si="31"/>
        <v>-1</v>
      </c>
      <c r="O38" s="11"/>
      <c r="P38" s="6"/>
      <c r="Q38" s="2"/>
      <c r="R38" s="7">
        <f t="shared" si="32"/>
        <v>0</v>
      </c>
      <c r="S38" s="2"/>
      <c r="T38" s="6">
        <v>269.5</v>
      </c>
      <c r="U38" s="2"/>
      <c r="V38" s="7">
        <f t="shared" si="33"/>
        <v>1.4417741515092245E-3</v>
      </c>
      <c r="W38" s="2"/>
      <c r="X38" s="6">
        <f t="shared" si="34"/>
        <v>-269.5</v>
      </c>
      <c r="Y38" s="2"/>
      <c r="Z38" s="7">
        <f t="shared" si="35"/>
        <v>-1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-5.26</v>
      </c>
      <c r="E39" s="1"/>
      <c r="F39" s="5">
        <f t="shared" si="28"/>
        <v>-2.4956705335326074E-4</v>
      </c>
      <c r="G39" s="1"/>
      <c r="H39" s="1">
        <f>SUM(OSRRefH22_3x_0)</f>
        <v>15.3</v>
      </c>
      <c r="I39" s="1"/>
      <c r="J39" s="5">
        <f t="shared" si="29"/>
        <v>8.2312629823963967E-4</v>
      </c>
      <c r="K39" s="1"/>
      <c r="L39" s="1">
        <f t="shared" si="30"/>
        <v>-20.560000000000002</v>
      </c>
      <c r="M39" s="1"/>
      <c r="N39" s="5">
        <f t="shared" si="31"/>
        <v>-1.3437908496732027</v>
      </c>
      <c r="O39" s="13"/>
      <c r="P39" s="1">
        <f>SUM(OSRRefP22_3x_0)</f>
        <v>-63.19</v>
      </c>
      <c r="Q39" s="1"/>
      <c r="R39" s="5">
        <f t="shared" si="32"/>
        <v>-2.9631862444383399E-4</v>
      </c>
      <c r="S39" s="1"/>
      <c r="T39" s="1">
        <f>SUM(OSRRefT22_3x_0)</f>
        <v>-59.14</v>
      </c>
      <c r="U39" s="1"/>
      <c r="V39" s="5">
        <f t="shared" si="33"/>
        <v>-3.1638784163360125E-4</v>
      </c>
      <c r="W39" s="1"/>
      <c r="X39" s="1">
        <f t="shared" si="34"/>
        <v>-4.0499999999999972</v>
      </c>
      <c r="Y39" s="1"/>
      <c r="Z39" s="5">
        <f t="shared" si="35"/>
        <v>6.8481569157930286E-2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>
        <v>-5.26</v>
      </c>
      <c r="E40" s="2"/>
      <c r="F40" s="7">
        <f t="shared" si="28"/>
        <v>-2.4956705335326074E-4</v>
      </c>
      <c r="G40" s="2"/>
      <c r="H40" s="6">
        <v>15.3</v>
      </c>
      <c r="I40" s="2"/>
      <c r="J40" s="7">
        <f t="shared" si="29"/>
        <v>8.2312629823963967E-4</v>
      </c>
      <c r="K40" s="2"/>
      <c r="L40" s="6">
        <f t="shared" si="30"/>
        <v>-20.560000000000002</v>
      </c>
      <c r="M40" s="2"/>
      <c r="N40" s="7">
        <f t="shared" si="31"/>
        <v>-1.3437908496732027</v>
      </c>
      <c r="O40" s="11"/>
      <c r="P40" s="6">
        <v>-63.19</v>
      </c>
      <c r="Q40" s="2"/>
      <c r="R40" s="7">
        <f t="shared" si="32"/>
        <v>-2.9631862444383399E-4</v>
      </c>
      <c r="S40" s="2"/>
      <c r="T40" s="6">
        <v>-59.14</v>
      </c>
      <c r="U40" s="2"/>
      <c r="V40" s="7">
        <f t="shared" si="33"/>
        <v>-3.1638784163360125E-4</v>
      </c>
      <c r="W40" s="2"/>
      <c r="X40" s="6">
        <f t="shared" si="34"/>
        <v>-4.0499999999999972</v>
      </c>
      <c r="Y40" s="2"/>
      <c r="Z40" s="7">
        <f t="shared" si="35"/>
        <v>6.8481569157930286E-2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888.27</v>
      </c>
      <c r="E41" s="1"/>
      <c r="F41" s="5">
        <f t="shared" si="28"/>
        <v>4.2145043057433634E-2</v>
      </c>
      <c r="G41" s="1"/>
      <c r="H41" s="1">
        <f>SUM(OSRRefH22_4x_0)</f>
        <v>522.35</v>
      </c>
      <c r="I41" s="1"/>
      <c r="J41" s="5">
        <f t="shared" si="29"/>
        <v>2.8101962214736976E-2</v>
      </c>
      <c r="K41" s="1"/>
      <c r="L41" s="1">
        <f t="shared" si="30"/>
        <v>365.91999999999996</v>
      </c>
      <c r="M41" s="1"/>
      <c r="N41" s="5">
        <f t="shared" si="31"/>
        <v>0.70052646692830467</v>
      </c>
      <c r="O41" s="13"/>
      <c r="P41" s="1">
        <f>SUM(OSRRefP22_4x_0)</f>
        <v>7606.38</v>
      </c>
      <c r="Q41" s="1"/>
      <c r="R41" s="5">
        <f t="shared" si="32"/>
        <v>3.566880928306837E-2</v>
      </c>
      <c r="S41" s="1"/>
      <c r="T41" s="1">
        <f>SUM(OSRRefT22_4x_0)</f>
        <v>5822.45</v>
      </c>
      <c r="U41" s="1"/>
      <c r="V41" s="5">
        <f t="shared" si="33"/>
        <v>3.1149008936752817E-2</v>
      </c>
      <c r="W41" s="1"/>
      <c r="X41" s="1">
        <f t="shared" si="34"/>
        <v>1783.9300000000003</v>
      </c>
      <c r="Y41" s="1"/>
      <c r="Z41" s="5">
        <f t="shared" si="35"/>
        <v>0.3063882042782678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888.27</v>
      </c>
      <c r="E42" s="2"/>
      <c r="F42" s="7">
        <f t="shared" si="28"/>
        <v>4.2145043057433634E-2</v>
      </c>
      <c r="G42" s="2"/>
      <c r="H42" s="6">
        <v>522.35</v>
      </c>
      <c r="I42" s="2"/>
      <c r="J42" s="7">
        <f t="shared" si="29"/>
        <v>2.8101962214736976E-2</v>
      </c>
      <c r="K42" s="2"/>
      <c r="L42" s="6">
        <f t="shared" si="30"/>
        <v>365.91999999999996</v>
      </c>
      <c r="M42" s="2"/>
      <c r="N42" s="7">
        <f t="shared" si="31"/>
        <v>0.70052646692830467</v>
      </c>
      <c r="O42" s="11"/>
      <c r="P42" s="6">
        <v>7606.38</v>
      </c>
      <c r="Q42" s="2"/>
      <c r="R42" s="7">
        <f t="shared" si="32"/>
        <v>3.566880928306837E-2</v>
      </c>
      <c r="S42" s="2"/>
      <c r="T42" s="6">
        <v>5822.45</v>
      </c>
      <c r="U42" s="2"/>
      <c r="V42" s="7">
        <f t="shared" si="33"/>
        <v>3.1149008936752817E-2</v>
      </c>
      <c r="W42" s="2"/>
      <c r="X42" s="6">
        <f t="shared" si="34"/>
        <v>1783.9300000000003</v>
      </c>
      <c r="Y42" s="2"/>
      <c r="Z42" s="7">
        <f t="shared" si="35"/>
        <v>0.3063882042782678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968.86</v>
      </c>
      <c r="E43" s="1"/>
      <c r="F43" s="5">
        <f t="shared" si="28"/>
        <v>4.5968732949019049E-2</v>
      </c>
      <c r="G43" s="1"/>
      <c r="H43" s="1">
        <f>SUM(OSRRefH22_5x_0)</f>
        <v>968.86</v>
      </c>
      <c r="I43" s="1"/>
      <c r="J43" s="5">
        <f t="shared" si="29"/>
        <v>5.2123800347219425E-2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SUM(OSRRefP22_5x_0)</f>
        <v>6782.02</v>
      </c>
      <c r="Q43" s="1"/>
      <c r="R43" s="5">
        <f t="shared" si="32"/>
        <v>3.1803115007921684E-2</v>
      </c>
      <c r="S43" s="1"/>
      <c r="T43" s="1">
        <f>SUM(OSRRefT22_5x_0)</f>
        <v>6782.02</v>
      </c>
      <c r="U43" s="1"/>
      <c r="V43" s="5">
        <f t="shared" si="33"/>
        <v>3.6282527387824087E-2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968.86</v>
      </c>
      <c r="E44" s="2"/>
      <c r="F44" s="7">
        <f t="shared" si="28"/>
        <v>4.5968732949019049E-2</v>
      </c>
      <c r="G44" s="2"/>
      <c r="H44" s="6">
        <v>968.86</v>
      </c>
      <c r="I44" s="2"/>
      <c r="J44" s="7">
        <f t="shared" si="29"/>
        <v>5.2123800347219425E-2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6782.02</v>
      </c>
      <c r="Q44" s="2"/>
      <c r="R44" s="7">
        <f t="shared" si="32"/>
        <v>3.1803115007921684E-2</v>
      </c>
      <c r="S44" s="2"/>
      <c r="T44" s="6">
        <v>6782.02</v>
      </c>
      <c r="U44" s="2"/>
      <c r="V44" s="7">
        <f t="shared" si="33"/>
        <v>3.6282527387824087E-2</v>
      </c>
      <c r="W44" s="2"/>
      <c r="X44" s="6">
        <f t="shared" si="34"/>
        <v>0</v>
      </c>
      <c r="Y44" s="2"/>
      <c r="Z44" s="7">
        <f t="shared" si="35"/>
        <v>0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13.5</v>
      </c>
      <c r="E45" s="1"/>
      <c r="F45" s="5">
        <f t="shared" si="28"/>
        <v>6.4052380613479471E-4</v>
      </c>
      <c r="G45" s="1"/>
      <c r="H45" s="1">
        <f>SUM(OSRRefH22_6x_0)</f>
        <v>31.5</v>
      </c>
      <c r="I45" s="1"/>
      <c r="J45" s="5">
        <f t="shared" si="29"/>
        <v>1.6946717904933756E-3</v>
      </c>
      <c r="K45" s="1"/>
      <c r="L45" s="1">
        <f t="shared" si="30"/>
        <v>-18</v>
      </c>
      <c r="M45" s="1"/>
      <c r="N45" s="5">
        <f t="shared" si="31"/>
        <v>-0.5714285714285714</v>
      </c>
      <c r="O45" s="13"/>
      <c r="P45" s="1">
        <f>SUM(OSRRefP22_6x_0)</f>
        <v>1204.69</v>
      </c>
      <c r="Q45" s="1"/>
      <c r="R45" s="5">
        <f t="shared" si="32"/>
        <v>5.6491863219060362E-3</v>
      </c>
      <c r="S45" s="1"/>
      <c r="T45" s="1">
        <f>SUM(OSRRefT22_6x_0)</f>
        <v>1238.04</v>
      </c>
      <c r="U45" s="1"/>
      <c r="V45" s="5">
        <f t="shared" si="33"/>
        <v>6.6232804101464945E-3</v>
      </c>
      <c r="W45" s="1"/>
      <c r="X45" s="1">
        <f t="shared" si="34"/>
        <v>-33.349999999999909</v>
      </c>
      <c r="Y45" s="1"/>
      <c r="Z45" s="5">
        <f t="shared" si="35"/>
        <v>-2.6937740299182507E-2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>
        <v>13.5</v>
      </c>
      <c r="E46" s="2"/>
      <c r="F46" s="7">
        <f t="shared" si="28"/>
        <v>6.4052380613479471E-4</v>
      </c>
      <c r="G46" s="2"/>
      <c r="H46" s="6">
        <v>31.5</v>
      </c>
      <c r="I46" s="2"/>
      <c r="J46" s="7">
        <f t="shared" si="29"/>
        <v>1.6946717904933756E-3</v>
      </c>
      <c r="K46" s="2"/>
      <c r="L46" s="6">
        <f t="shared" si="30"/>
        <v>-18</v>
      </c>
      <c r="M46" s="2"/>
      <c r="N46" s="7">
        <f t="shared" si="31"/>
        <v>-0.5714285714285714</v>
      </c>
      <c r="O46" s="11"/>
      <c r="P46" s="6">
        <v>1204.69</v>
      </c>
      <c r="Q46" s="2"/>
      <c r="R46" s="7">
        <f t="shared" si="32"/>
        <v>5.6491863219060362E-3</v>
      </c>
      <c r="S46" s="2"/>
      <c r="T46" s="6">
        <v>1238.04</v>
      </c>
      <c r="U46" s="2"/>
      <c r="V46" s="7">
        <f t="shared" si="33"/>
        <v>6.6232804101464945E-3</v>
      </c>
      <c r="W46" s="2"/>
      <c r="X46" s="6">
        <f t="shared" si="34"/>
        <v>-33.349999999999909</v>
      </c>
      <c r="Y46" s="2"/>
      <c r="Z46" s="7">
        <f t="shared" si="35"/>
        <v>-2.6937740299182507E-2</v>
      </c>
    </row>
    <row r="47" spans="1:26" s="26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0</v>
      </c>
      <c r="E47" s="1"/>
      <c r="F47" s="5">
        <f t="shared" si="28"/>
        <v>0</v>
      </c>
      <c r="G47" s="1"/>
      <c r="H47" s="1">
        <f>SUM(OSRRefH22_7x_0)</f>
        <v>353.06</v>
      </c>
      <c r="I47" s="1"/>
      <c r="J47" s="5">
        <f t="shared" si="29"/>
        <v>1.8994311820685436E-2</v>
      </c>
      <c r="K47" s="1"/>
      <c r="L47" s="1">
        <f t="shared" si="30"/>
        <v>-353.06</v>
      </c>
      <c r="M47" s="1"/>
      <c r="N47" s="5">
        <f t="shared" si="31"/>
        <v>-1</v>
      </c>
      <c r="O47" s="13"/>
      <c r="P47" s="1">
        <f>SUM(OSRRefP22_7x_0)</f>
        <v>887.48</v>
      </c>
      <c r="Q47" s="1"/>
      <c r="R47" s="5">
        <f t="shared" si="32"/>
        <v>4.1616846466436749E-3</v>
      </c>
      <c r="S47" s="1"/>
      <c r="T47" s="1">
        <f>SUM(OSRRefT22_7x_0)</f>
        <v>1215.07</v>
      </c>
      <c r="U47" s="1"/>
      <c r="V47" s="5">
        <f t="shared" si="33"/>
        <v>6.5003952440605322E-3</v>
      </c>
      <c r="W47" s="1"/>
      <c r="X47" s="1">
        <f t="shared" si="34"/>
        <v>-327.58999999999992</v>
      </c>
      <c r="Y47" s="1"/>
      <c r="Z47" s="5">
        <f t="shared" si="35"/>
        <v>-0.26960586632868883</v>
      </c>
    </row>
    <row r="48" spans="1:26" s="24" customFormat="1" hidden="1" outlineLevel="2" x14ac:dyDescent="0.25">
      <c r="A48" s="25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437.31</v>
      </c>
      <c r="Q48" s="2"/>
      <c r="R48" s="7">
        <f t="shared" si="32"/>
        <v>2.0506899454903159E-3</v>
      </c>
      <c r="S48" s="2"/>
      <c r="T48" s="6"/>
      <c r="U48" s="2"/>
      <c r="V48" s="7">
        <f t="shared" si="33"/>
        <v>0</v>
      </c>
      <c r="W48" s="2"/>
      <c r="X48" s="6">
        <f t="shared" si="34"/>
        <v>437.31</v>
      </c>
      <c r="Y48" s="2"/>
      <c r="Z48" s="7">
        <f t="shared" si="35"/>
        <v>0</v>
      </c>
    </row>
    <row r="49" spans="1:26" s="24" customFormat="1" hidden="1" outlineLevel="2" x14ac:dyDescent="0.25">
      <c r="A49" s="25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93.22</v>
      </c>
      <c r="Q49" s="2"/>
      <c r="R49" s="7">
        <f t="shared" si="32"/>
        <v>4.3713913863988301E-4</v>
      </c>
      <c r="S49" s="2"/>
      <c r="T49" s="6">
        <v>89.96</v>
      </c>
      <c r="U49" s="2"/>
      <c r="V49" s="7">
        <f t="shared" si="33"/>
        <v>4.8126902660396967E-4</v>
      </c>
      <c r="W49" s="2"/>
      <c r="X49" s="6">
        <f t="shared" si="34"/>
        <v>3.2600000000000051</v>
      </c>
      <c r="Y49" s="2"/>
      <c r="Z49" s="7">
        <f t="shared" si="35"/>
        <v>3.6238328145842658E-2</v>
      </c>
    </row>
    <row r="50" spans="1:26" s="24" customFormat="1" hidden="1" outlineLevel="2" x14ac:dyDescent="0.25">
      <c r="A50" s="25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>
        <v>353.06</v>
      </c>
      <c r="I50" s="2"/>
      <c r="J50" s="7">
        <f t="shared" si="29"/>
        <v>1.8994311820685436E-2</v>
      </c>
      <c r="K50" s="2"/>
      <c r="L50" s="6">
        <f t="shared" si="30"/>
        <v>-353.06</v>
      </c>
      <c r="M50" s="2"/>
      <c r="N50" s="7">
        <f t="shared" si="31"/>
        <v>-1</v>
      </c>
      <c r="O50" s="11"/>
      <c r="P50" s="6">
        <v>356.95</v>
      </c>
      <c r="Q50" s="2"/>
      <c r="R50" s="7">
        <f t="shared" si="32"/>
        <v>1.673855562513476E-3</v>
      </c>
      <c r="S50" s="2"/>
      <c r="T50" s="6">
        <v>1125.1099999999999</v>
      </c>
      <c r="U50" s="2"/>
      <c r="V50" s="7">
        <f t="shared" si="33"/>
        <v>6.0191262174565619E-3</v>
      </c>
      <c r="W50" s="2"/>
      <c r="X50" s="6">
        <f t="shared" si="34"/>
        <v>-768.15999999999985</v>
      </c>
      <c r="Y50" s="2"/>
      <c r="Z50" s="7">
        <f t="shared" si="35"/>
        <v>-0.68274213188043831</v>
      </c>
    </row>
    <row r="51" spans="1:26" s="26" customFormat="1" outlineLevel="1" collapsed="1" x14ac:dyDescent="0.25">
      <c r="A51" s="27"/>
      <c r="B51" s="13" t="str">
        <f>CONCATENATE("     ","Royalty &amp; Commissions                             ")</f>
        <v xml:space="preserve">     Royalty &amp; Commissions                             </v>
      </c>
      <c r="C51" s="13"/>
      <c r="D51" s="1">
        <f>SUM(OSRRefD22_8x_0)</f>
        <v>0</v>
      </c>
      <c r="E51" s="1"/>
      <c r="F51" s="5">
        <f t="shared" ref="F51:F56" si="36">IF(D$12=0,0,D51/D$12)</f>
        <v>0</v>
      </c>
      <c r="G51" s="1"/>
      <c r="H51" s="1">
        <f>SUM(OSRRefH22_8x_0)</f>
        <v>0</v>
      </c>
      <c r="I51" s="1"/>
      <c r="J51" s="5">
        <f t="shared" ref="J51:J56" si="37">IF(H$12=0,0,H51/H$12)</f>
        <v>0</v>
      </c>
      <c r="K51" s="1"/>
      <c r="L51" s="1">
        <f t="shared" ref="L51:L56" si="38">+D51-H51</f>
        <v>0</v>
      </c>
      <c r="M51" s="1"/>
      <c r="N51" s="5">
        <f t="shared" ref="N51:N56" si="39">IF(H51=0,0,L51/H51)</f>
        <v>0</v>
      </c>
      <c r="O51" s="13"/>
      <c r="P51" s="1">
        <f>SUM(OSRRefP22_8x_0)</f>
        <v>15334.79</v>
      </c>
      <c r="Q51" s="1"/>
      <c r="R51" s="5">
        <f t="shared" ref="R51:R56" si="40">IF(P$12=0,0,P51/P$12)</f>
        <v>7.190985723904196E-2</v>
      </c>
      <c r="S51" s="1"/>
      <c r="T51" s="1">
        <f>SUM(OSRRefT22_8x_0)</f>
        <v>13308.48</v>
      </c>
      <c r="U51" s="1"/>
      <c r="V51" s="5">
        <f t="shared" ref="V51:V56" si="41">IF(T$12=0,0,T51/T$12)</f>
        <v>7.1197856993979527E-2</v>
      </c>
      <c r="W51" s="1"/>
      <c r="X51" s="1">
        <f t="shared" ref="X51:X56" si="42">+P51-T51</f>
        <v>2026.3100000000013</v>
      </c>
      <c r="Y51" s="1"/>
      <c r="Z51" s="5">
        <f t="shared" ref="Z51:Z56" si="43">IF(T51=0,0,X51/T51)</f>
        <v>0.15225705715453616</v>
      </c>
    </row>
    <row r="52" spans="1:26" s="24" customFormat="1" hidden="1" outlineLevel="2" x14ac:dyDescent="0.25">
      <c r="A52" s="25"/>
      <c r="B52" s="11" t="str">
        <f>CONCATENATE("          ", "6254", " - ", "ROYALTY &amp; COMMISSIONS")</f>
        <v xml:space="preserve">          6254 - ROYALTY &amp; COMMISSIONS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>
        <v>15334.79</v>
      </c>
      <c r="Q52" s="2"/>
      <c r="R52" s="7">
        <f t="shared" si="40"/>
        <v>7.190985723904196E-2</v>
      </c>
      <c r="S52" s="2"/>
      <c r="T52" s="6">
        <v>13308.48</v>
      </c>
      <c r="U52" s="2"/>
      <c r="V52" s="7">
        <f t="shared" si="41"/>
        <v>7.1197856993979527E-2</v>
      </c>
      <c r="W52" s="2"/>
      <c r="X52" s="6">
        <f t="shared" si="42"/>
        <v>2026.3100000000013</v>
      </c>
      <c r="Y52" s="2"/>
      <c r="Z52" s="7">
        <f t="shared" si="43"/>
        <v>0.15225705715453616</v>
      </c>
    </row>
    <row r="53" spans="1:26" s="26" customFormat="1" outlineLevel="1" collapsed="1" x14ac:dyDescent="0.25">
      <c r="A53" s="27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286.82</v>
      </c>
      <c r="E53" s="1"/>
      <c r="F53" s="5">
        <f t="shared" si="36"/>
        <v>1.3608521338931985E-2</v>
      </c>
      <c r="G53" s="1"/>
      <c r="H53" s="1">
        <f>SUM(OSRRefH22_9x_0)</f>
        <v>124.05000000000001</v>
      </c>
      <c r="I53" s="1"/>
      <c r="J53" s="5">
        <f t="shared" si="37"/>
        <v>6.6737789082762945E-3</v>
      </c>
      <c r="K53" s="1"/>
      <c r="L53" s="1">
        <f t="shared" si="38"/>
        <v>162.76999999999998</v>
      </c>
      <c r="M53" s="1"/>
      <c r="N53" s="5">
        <f t="shared" si="39"/>
        <v>1.3121322047561466</v>
      </c>
      <c r="O53" s="13"/>
      <c r="P53" s="1">
        <f>SUM(OSRRefP22_9x_0)</f>
        <v>1443.42</v>
      </c>
      <c r="Q53" s="1"/>
      <c r="R53" s="5">
        <f t="shared" si="40"/>
        <v>6.7686695504782226E-3</v>
      </c>
      <c r="S53" s="1"/>
      <c r="T53" s="1">
        <f>SUM(OSRRefT22_9x_0)</f>
        <v>1084.6500000000001</v>
      </c>
      <c r="U53" s="1"/>
      <c r="V53" s="5">
        <f t="shared" si="41"/>
        <v>5.8026728513338793E-3</v>
      </c>
      <c r="W53" s="1"/>
      <c r="X53" s="1">
        <f t="shared" si="42"/>
        <v>358.77</v>
      </c>
      <c r="Y53" s="1"/>
      <c r="Z53" s="5">
        <f t="shared" si="43"/>
        <v>0.33077029456506701</v>
      </c>
    </row>
    <row r="54" spans="1:26" s="24" customFormat="1" hidden="1" outlineLevel="2" x14ac:dyDescent="0.25">
      <c r="A54" s="25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41</v>
      </c>
      <c r="E54" s="2"/>
      <c r="F54" s="7">
        <f t="shared" si="36"/>
        <v>1.9452945223353024E-3</v>
      </c>
      <c r="G54" s="2"/>
      <c r="H54" s="6">
        <v>38.5</v>
      </c>
      <c r="I54" s="2"/>
      <c r="J54" s="7">
        <f t="shared" si="37"/>
        <v>2.0712655217141255E-3</v>
      </c>
      <c r="K54" s="2"/>
      <c r="L54" s="6">
        <f t="shared" si="38"/>
        <v>2.5</v>
      </c>
      <c r="M54" s="2"/>
      <c r="N54" s="7">
        <f t="shared" si="39"/>
        <v>6.4935064935064929E-2</v>
      </c>
      <c r="O54" s="11"/>
      <c r="P54" s="6">
        <v>164</v>
      </c>
      <c r="Q54" s="2"/>
      <c r="R54" s="7">
        <f t="shared" si="40"/>
        <v>7.6904976117722385E-4</v>
      </c>
      <c r="S54" s="2"/>
      <c r="T54" s="6">
        <v>192.5</v>
      </c>
      <c r="U54" s="2"/>
      <c r="V54" s="7">
        <f t="shared" si="41"/>
        <v>1.029838679649446E-3</v>
      </c>
      <c r="W54" s="2"/>
      <c r="X54" s="6">
        <f t="shared" si="42"/>
        <v>-28.5</v>
      </c>
      <c r="Y54" s="2"/>
      <c r="Z54" s="7">
        <f t="shared" si="43"/>
        <v>-0.14805194805194805</v>
      </c>
    </row>
    <row r="55" spans="1:26" s="24" customFormat="1" hidden="1" outlineLevel="2" x14ac:dyDescent="0.25">
      <c r="A55" s="25"/>
      <c r="B55" s="11" t="str">
        <f>CONCATENATE("          ", "6285", " - ", "JANITORIAL SERVICES")</f>
        <v xml:space="preserve">          6285 - JANITORIAL SERVICES</v>
      </c>
      <c r="C55" s="11"/>
      <c r="D55" s="6">
        <v>24.22</v>
      </c>
      <c r="E55" s="2"/>
      <c r="F55" s="7">
        <f t="shared" si="36"/>
        <v>1.1491471544136833E-3</v>
      </c>
      <c r="G55" s="2"/>
      <c r="H55" s="6">
        <v>22.62</v>
      </c>
      <c r="I55" s="2"/>
      <c r="J55" s="7">
        <f t="shared" si="37"/>
        <v>1.216935742887624E-3</v>
      </c>
      <c r="K55" s="2"/>
      <c r="L55" s="6">
        <f t="shared" si="38"/>
        <v>1.5999999999999979</v>
      </c>
      <c r="M55" s="2"/>
      <c r="N55" s="7">
        <f t="shared" si="39"/>
        <v>7.0733863837312019E-2</v>
      </c>
      <c r="O55" s="11"/>
      <c r="P55" s="6">
        <v>159.94</v>
      </c>
      <c r="Q55" s="2"/>
      <c r="R55" s="7">
        <f t="shared" si="40"/>
        <v>7.5001109026027557E-4</v>
      </c>
      <c r="S55" s="2"/>
      <c r="T55" s="6">
        <v>148.62</v>
      </c>
      <c r="U55" s="2"/>
      <c r="V55" s="7">
        <f t="shared" si="41"/>
        <v>7.950889588026009E-4</v>
      </c>
      <c r="W55" s="2"/>
      <c r="X55" s="6">
        <f t="shared" si="42"/>
        <v>11.319999999999993</v>
      </c>
      <c r="Y55" s="2"/>
      <c r="Z55" s="7">
        <f t="shared" si="43"/>
        <v>7.6167406809312291E-2</v>
      </c>
    </row>
    <row r="56" spans="1:26" s="24" customFormat="1" hidden="1" outlineLevel="2" x14ac:dyDescent="0.25">
      <c r="A56" s="25"/>
      <c r="B56" s="11" t="str">
        <f>CONCATENATE("          ", "6286", " - ", "LAUNDRY EXPENSE")</f>
        <v xml:space="preserve">          6286 - LAUNDRY EXPENSE</v>
      </c>
      <c r="C56" s="11"/>
      <c r="D56" s="6">
        <v>221.6</v>
      </c>
      <c r="E56" s="2"/>
      <c r="F56" s="7">
        <f t="shared" si="36"/>
        <v>1.0514079662183E-2</v>
      </c>
      <c r="G56" s="2"/>
      <c r="H56" s="6">
        <v>62.93</v>
      </c>
      <c r="I56" s="2"/>
      <c r="J56" s="7">
        <f t="shared" si="37"/>
        <v>3.3855776436745436E-3</v>
      </c>
      <c r="K56" s="2"/>
      <c r="L56" s="6">
        <f t="shared" si="38"/>
        <v>158.66999999999999</v>
      </c>
      <c r="M56" s="2"/>
      <c r="N56" s="7">
        <f t="shared" si="39"/>
        <v>2.5213729540759573</v>
      </c>
      <c r="O56" s="11"/>
      <c r="P56" s="6">
        <v>1119.48</v>
      </c>
      <c r="Q56" s="2"/>
      <c r="R56" s="7">
        <f t="shared" si="40"/>
        <v>5.2496086990407231E-3</v>
      </c>
      <c r="S56" s="2"/>
      <c r="T56" s="6">
        <v>743.53</v>
      </c>
      <c r="U56" s="2"/>
      <c r="V56" s="7">
        <f t="shared" si="41"/>
        <v>3.9777452128818315E-3</v>
      </c>
      <c r="W56" s="2"/>
      <c r="X56" s="6">
        <f t="shared" si="42"/>
        <v>375.95000000000005</v>
      </c>
      <c r="Y56" s="2"/>
      <c r="Z56" s="7">
        <f t="shared" si="43"/>
        <v>0.50562855567361109</v>
      </c>
    </row>
    <row r="57" spans="1:26" s="26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1330.55</v>
      </c>
      <c r="E57" s="1"/>
      <c r="F57" s="5">
        <f t="shared" ref="F57:F62" si="44">IF(D$12=0,0,D57/D$12)</f>
        <v>6.312955187056675E-2</v>
      </c>
      <c r="G57" s="1"/>
      <c r="H57" s="1">
        <f>SUM(OSRRefH22_10x_0)</f>
        <v>14.090000000000003</v>
      </c>
      <c r="I57" s="1"/>
      <c r="J57" s="5">
        <f t="shared" ref="J57:J62" si="45">IF(H$12=0,0,H57/H$12)</f>
        <v>7.5802938184291006E-4</v>
      </c>
      <c r="K57" s="1"/>
      <c r="L57" s="1">
        <f t="shared" ref="L57:L62" si="46">+D57-H57</f>
        <v>1316.46</v>
      </c>
      <c r="M57" s="1"/>
      <c r="N57" s="5">
        <f t="shared" ref="N57:N62" si="47">IF(H57=0,0,L57/H57)</f>
        <v>93.432221433640862</v>
      </c>
      <c r="O57" s="13"/>
      <c r="P57" s="1">
        <f>SUM(OSRRefP22_10x_0)</f>
        <v>7470.54</v>
      </c>
      <c r="Q57" s="1"/>
      <c r="R57" s="5">
        <f t="shared" ref="R57:R62" si="48">IF(P$12=0,0,P57/P$12)</f>
        <v>3.5031810993078644E-2</v>
      </c>
      <c r="S57" s="1"/>
      <c r="T57" s="1">
        <f>SUM(OSRRefT22_10x_0)</f>
        <v>3025.73</v>
      </c>
      <c r="U57" s="1"/>
      <c r="V57" s="5">
        <f t="shared" ref="V57:V62" si="49">IF(T$12=0,0,T57/T$12)</f>
        <v>1.6187084613899835E-2</v>
      </c>
      <c r="W57" s="1"/>
      <c r="X57" s="1">
        <f t="shared" ref="X57:X62" si="50">+P57-T57</f>
        <v>4444.8099999999995</v>
      </c>
      <c r="Y57" s="1"/>
      <c r="Z57" s="5">
        <f t="shared" ref="Z57:Z62" si="51">IF(T57=0,0,X57/T57)</f>
        <v>1.4690041741992839</v>
      </c>
    </row>
    <row r="58" spans="1:26" s="24" customFormat="1" hidden="1" outlineLevel="2" x14ac:dyDescent="0.25">
      <c r="A58" s="25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>
        <v>354.71</v>
      </c>
      <c r="Q58" s="2"/>
      <c r="R58" s="7">
        <f t="shared" si="48"/>
        <v>1.66335146821447E-3</v>
      </c>
      <c r="S58" s="2"/>
      <c r="T58" s="6"/>
      <c r="U58" s="2"/>
      <c r="V58" s="7">
        <f t="shared" si="49"/>
        <v>0</v>
      </c>
      <c r="W58" s="2"/>
      <c r="X58" s="6">
        <f t="shared" si="50"/>
        <v>354.71</v>
      </c>
      <c r="Y58" s="2"/>
      <c r="Z58" s="7">
        <f t="shared" si="51"/>
        <v>0</v>
      </c>
    </row>
    <row r="59" spans="1:26" s="24" customFormat="1" hidden="1" outlineLevel="2" x14ac:dyDescent="0.25">
      <c r="A59" s="25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4"/>
        <v>0</v>
      </c>
      <c r="G59" s="2"/>
      <c r="H59" s="6">
        <v>44.09</v>
      </c>
      <c r="I59" s="2"/>
      <c r="J59" s="7">
        <f t="shared" si="45"/>
        <v>2.372002515646125E-3</v>
      </c>
      <c r="K59" s="2"/>
      <c r="L59" s="6">
        <f t="shared" si="46"/>
        <v>-44.09</v>
      </c>
      <c r="M59" s="2"/>
      <c r="N59" s="7">
        <f t="shared" si="47"/>
        <v>-1</v>
      </c>
      <c r="O59" s="11"/>
      <c r="P59" s="6">
        <v>20.93</v>
      </c>
      <c r="Q59" s="2"/>
      <c r="R59" s="7">
        <f t="shared" si="48"/>
        <v>9.8147631106337174E-5</v>
      </c>
      <c r="S59" s="2"/>
      <c r="T59" s="6">
        <v>405.13</v>
      </c>
      <c r="U59" s="2"/>
      <c r="V59" s="7">
        <f t="shared" si="49"/>
        <v>2.1673690612279486E-3</v>
      </c>
      <c r="W59" s="2"/>
      <c r="X59" s="6">
        <f t="shared" si="50"/>
        <v>-384.2</v>
      </c>
      <c r="Y59" s="2"/>
      <c r="Z59" s="7">
        <f t="shared" si="51"/>
        <v>-0.94833757065633251</v>
      </c>
    </row>
    <row r="60" spans="1:26" s="24" customFormat="1" hidden="1" outlineLevel="2" x14ac:dyDescent="0.25">
      <c r="A60" s="25"/>
      <c r="B60" s="11" t="str">
        <f>CONCATENATE("          ", "6243", " - ", "PAPER SUPPLIES")</f>
        <v xml:space="preserve">          6243 - PAPER SUPPLIES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45.85</v>
      </c>
      <c r="U60" s="2"/>
      <c r="V60" s="7">
        <f t="shared" si="49"/>
        <v>2.4528884915286806E-4</v>
      </c>
      <c r="W60" s="2"/>
      <c r="X60" s="6">
        <f t="shared" si="50"/>
        <v>-45.85</v>
      </c>
      <c r="Y60" s="2"/>
      <c r="Z60" s="7">
        <f t="shared" si="51"/>
        <v>-1</v>
      </c>
    </row>
    <row r="61" spans="1:26" s="24" customFormat="1" hidden="1" outlineLevel="2" x14ac:dyDescent="0.25">
      <c r="A61" s="25"/>
      <c r="B61" s="11" t="str">
        <f>CONCATENATE("          ", "6247", " - ", "STORE SUPPLIES")</f>
        <v xml:space="preserve">          6247 - STORE SUPPLIES</v>
      </c>
      <c r="C61" s="11"/>
      <c r="D61" s="6">
        <v>1330.55</v>
      </c>
      <c r="E61" s="2"/>
      <c r="F61" s="7">
        <f t="shared" si="44"/>
        <v>6.312955187056675E-2</v>
      </c>
      <c r="G61" s="2"/>
      <c r="H61" s="6">
        <v>-30</v>
      </c>
      <c r="I61" s="2"/>
      <c r="J61" s="7">
        <f t="shared" si="45"/>
        <v>-1.6139731338032149E-3</v>
      </c>
      <c r="K61" s="2"/>
      <c r="L61" s="6">
        <f t="shared" si="46"/>
        <v>1360.55</v>
      </c>
      <c r="M61" s="2"/>
      <c r="N61" s="7">
        <f t="shared" si="47"/>
        <v>-45.351666666666667</v>
      </c>
      <c r="O61" s="11"/>
      <c r="P61" s="6">
        <v>7094.9</v>
      </c>
      <c r="Q61" s="2"/>
      <c r="R61" s="7">
        <f t="shared" si="48"/>
        <v>3.3270311893757835E-2</v>
      </c>
      <c r="S61" s="2"/>
      <c r="T61" s="6">
        <v>2386.88</v>
      </c>
      <c r="U61" s="2"/>
      <c r="V61" s="7">
        <f t="shared" si="49"/>
        <v>1.276935765029439E-2</v>
      </c>
      <c r="W61" s="2"/>
      <c r="X61" s="6">
        <f t="shared" si="50"/>
        <v>4708.0199999999995</v>
      </c>
      <c r="Y61" s="2"/>
      <c r="Z61" s="7">
        <f t="shared" si="51"/>
        <v>1.9724577691379539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187.87</v>
      </c>
      <c r="U62" s="2"/>
      <c r="V62" s="7">
        <f t="shared" si="49"/>
        <v>1.0050690532246308E-3</v>
      </c>
      <c r="W62" s="2"/>
      <c r="X62" s="6">
        <f t="shared" si="50"/>
        <v>-187.87</v>
      </c>
      <c r="Y62" s="2"/>
      <c r="Z62" s="7">
        <f t="shared" si="51"/>
        <v>-1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SUM(OSRRefD22_11x_0)</f>
        <v>51.5</v>
      </c>
      <c r="E63" s="1"/>
      <c r="F63" s="5">
        <f t="shared" ref="F63:F68" si="52">IF(D$12=0,0,D63/D$12)</f>
        <v>2.443479704884587E-3</v>
      </c>
      <c r="G63" s="1"/>
      <c r="H63" s="1">
        <f>SUM(OSRRefH22_11x_0)</f>
        <v>-7.5</v>
      </c>
      <c r="I63" s="1"/>
      <c r="J63" s="5">
        <f t="shared" ref="J63:J68" si="53">IF(H$12=0,0,H63/H$12)</f>
        <v>-4.0349328345080373E-4</v>
      </c>
      <c r="K63" s="1"/>
      <c r="L63" s="1">
        <f t="shared" ref="L63:L68" si="54">+D63-H63</f>
        <v>59</v>
      </c>
      <c r="M63" s="1"/>
      <c r="N63" s="5">
        <f t="shared" ref="N63:N68" si="55">IF(H63=0,0,L63/H63)</f>
        <v>-7.8666666666666663</v>
      </c>
      <c r="O63" s="13"/>
      <c r="P63" s="1">
        <f>SUM(OSRRefP22_11x_0)</f>
        <v>381.5</v>
      </c>
      <c r="Q63" s="1"/>
      <c r="R63" s="5">
        <f t="shared" ref="R63:R68" si="56">IF(P$12=0,0,P63/P$12)</f>
        <v>1.7889785602994569E-3</v>
      </c>
      <c r="S63" s="1"/>
      <c r="T63" s="1">
        <f>SUM(OSRRefT22_11x_0)</f>
        <v>307.5</v>
      </c>
      <c r="U63" s="1"/>
      <c r="V63" s="5">
        <f t="shared" ref="V63:V68" si="57">IF(T$12=0,0,T63/T$12)</f>
        <v>1.6450669817776866E-3</v>
      </c>
      <c r="W63" s="1"/>
      <c r="X63" s="1">
        <f t="shared" ref="X63:X68" si="58">+P63-T63</f>
        <v>74</v>
      </c>
      <c r="Y63" s="1"/>
      <c r="Z63" s="5">
        <f t="shared" ref="Z63:Z68" si="59">IF(T63=0,0,X63/T63)</f>
        <v>0.24065040650406505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51.5</v>
      </c>
      <c r="E64" s="2"/>
      <c r="F64" s="7">
        <f t="shared" si="52"/>
        <v>2.443479704884587E-3</v>
      </c>
      <c r="G64" s="2"/>
      <c r="H64" s="6">
        <v>-7.5</v>
      </c>
      <c r="I64" s="2"/>
      <c r="J64" s="7">
        <f t="shared" si="53"/>
        <v>-4.0349328345080373E-4</v>
      </c>
      <c r="K64" s="2"/>
      <c r="L64" s="6">
        <f t="shared" si="54"/>
        <v>59</v>
      </c>
      <c r="M64" s="2"/>
      <c r="N64" s="7">
        <f t="shared" si="55"/>
        <v>-7.8666666666666663</v>
      </c>
      <c r="O64" s="11"/>
      <c r="P64" s="6">
        <v>381.5</v>
      </c>
      <c r="Q64" s="2"/>
      <c r="R64" s="7">
        <f t="shared" si="56"/>
        <v>1.7889785602994569E-3</v>
      </c>
      <c r="S64" s="2"/>
      <c r="T64" s="6">
        <v>307.5</v>
      </c>
      <c r="U64" s="2"/>
      <c r="V64" s="7">
        <f t="shared" si="57"/>
        <v>1.6450669817776866E-3</v>
      </c>
      <c r="W64" s="2"/>
      <c r="X64" s="6">
        <f t="shared" si="58"/>
        <v>74</v>
      </c>
      <c r="Y64" s="2"/>
      <c r="Z64" s="7">
        <f t="shared" si="59"/>
        <v>0.24065040650406505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SUM(OSRRefD22_12x_0)</f>
        <v>0</v>
      </c>
      <c r="E65" s="1"/>
      <c r="F65" s="5">
        <f t="shared" si="52"/>
        <v>0</v>
      </c>
      <c r="G65" s="1"/>
      <c r="H65" s="1">
        <f>SUM(OSRRefH22_12x_0)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3"/>
      <c r="P65" s="1">
        <f>SUM(OSRRefP22_12x_0)</f>
        <v>0</v>
      </c>
      <c r="Q65" s="1"/>
      <c r="R65" s="5">
        <f t="shared" si="56"/>
        <v>0</v>
      </c>
      <c r="S65" s="1"/>
      <c r="T65" s="1">
        <f>SUM(OSRRefT22_12x_0)</f>
        <v>60</v>
      </c>
      <c r="U65" s="1"/>
      <c r="V65" s="5">
        <f t="shared" si="57"/>
        <v>3.2098867937125589E-4</v>
      </c>
      <c r="W65" s="1"/>
      <c r="X65" s="1">
        <f t="shared" si="58"/>
        <v>-60</v>
      </c>
      <c r="Y65" s="1"/>
      <c r="Z65" s="5">
        <f t="shared" si="59"/>
        <v>-1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52"/>
        <v>0</v>
      </c>
      <c r="G66" s="2"/>
      <c r="H66" s="6"/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60</v>
      </c>
      <c r="U66" s="2"/>
      <c r="V66" s="7">
        <f t="shared" si="57"/>
        <v>3.2098867937125589E-4</v>
      </c>
      <c r="W66" s="2"/>
      <c r="X66" s="6">
        <f t="shared" si="58"/>
        <v>-60</v>
      </c>
      <c r="Y66" s="2"/>
      <c r="Z66" s="7">
        <f t="shared" si="59"/>
        <v>-1</v>
      </c>
    </row>
    <row r="67" spans="1:26" s="26" customFormat="1" outlineLevel="1" collapsed="1" x14ac:dyDescent="0.25">
      <c r="A67" s="27"/>
      <c r="B67" s="13" t="str">
        <f>CONCATENATE("     ","Utilities                                         ")</f>
        <v xml:space="preserve">     Utilities                                         </v>
      </c>
      <c r="C67" s="13"/>
      <c r="D67" s="1">
        <f>SUM(OSRRefD22_13x_0)</f>
        <v>19</v>
      </c>
      <c r="E67" s="1"/>
      <c r="F67" s="5">
        <f t="shared" si="52"/>
        <v>9.0147794937489622E-4</v>
      </c>
      <c r="G67" s="1"/>
      <c r="H67" s="1">
        <f>SUM(OSRRefH22_13x_0)</f>
        <v>48</v>
      </c>
      <c r="I67" s="1"/>
      <c r="J67" s="5">
        <f t="shared" si="53"/>
        <v>2.5823570140851436E-3</v>
      </c>
      <c r="K67" s="1"/>
      <c r="L67" s="1">
        <f t="shared" si="54"/>
        <v>-29</v>
      </c>
      <c r="M67" s="1"/>
      <c r="N67" s="5">
        <f t="shared" si="55"/>
        <v>-0.60416666666666663</v>
      </c>
      <c r="O67" s="13"/>
      <c r="P67" s="1">
        <f>SUM(OSRRefP22_13x_0)</f>
        <v>-731.88</v>
      </c>
      <c r="Q67" s="1"/>
      <c r="R67" s="5">
        <f t="shared" si="56"/>
        <v>-3.4320252390877232E-3</v>
      </c>
      <c r="S67" s="1"/>
      <c r="T67" s="1">
        <f>SUM(OSRRefT22_13x_0)</f>
        <v>145.11000000000001</v>
      </c>
      <c r="U67" s="1"/>
      <c r="V67" s="5">
        <f t="shared" si="57"/>
        <v>7.7631112105938248E-4</v>
      </c>
      <c r="W67" s="1"/>
      <c r="X67" s="1">
        <f t="shared" si="58"/>
        <v>-876.99</v>
      </c>
      <c r="Y67" s="1"/>
      <c r="Z67" s="5">
        <f t="shared" si="59"/>
        <v>-6.043622079801529</v>
      </c>
    </row>
    <row r="68" spans="1:26" s="24" customFormat="1" hidden="1" outlineLevel="2" x14ac:dyDescent="0.25">
      <c r="A68" s="25"/>
      <c r="B68" s="11" t="str">
        <f>CONCATENATE("          ", "6274", " - ", "UTILITIES")</f>
        <v xml:space="preserve">          6274 - UTILITIES</v>
      </c>
      <c r="C68" s="11"/>
      <c r="D68" s="6">
        <v>19</v>
      </c>
      <c r="E68" s="2"/>
      <c r="F68" s="7">
        <f t="shared" si="52"/>
        <v>9.0147794937489622E-4</v>
      </c>
      <c r="G68" s="2"/>
      <c r="H68" s="6">
        <v>48</v>
      </c>
      <c r="I68" s="2"/>
      <c r="J68" s="7">
        <f t="shared" si="53"/>
        <v>2.5823570140851436E-3</v>
      </c>
      <c r="K68" s="2"/>
      <c r="L68" s="6">
        <f t="shared" si="54"/>
        <v>-29</v>
      </c>
      <c r="M68" s="2"/>
      <c r="N68" s="7">
        <f t="shared" si="55"/>
        <v>-0.60416666666666663</v>
      </c>
      <c r="O68" s="11"/>
      <c r="P68" s="6">
        <v>-731.88</v>
      </c>
      <c r="Q68" s="2"/>
      <c r="R68" s="7">
        <f t="shared" si="56"/>
        <v>-3.4320252390877232E-3</v>
      </c>
      <c r="S68" s="2"/>
      <c r="T68" s="6">
        <v>145.11000000000001</v>
      </c>
      <c r="U68" s="2"/>
      <c r="V68" s="7">
        <f t="shared" si="57"/>
        <v>7.7631112105938248E-4</v>
      </c>
      <c r="W68" s="2"/>
      <c r="X68" s="6">
        <f t="shared" si="58"/>
        <v>-876.99</v>
      </c>
      <c r="Y68" s="2"/>
      <c r="Z68" s="7">
        <f t="shared" si="59"/>
        <v>-6.043622079801529</v>
      </c>
    </row>
    <row r="69" spans="1:26" s="59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1">
        <f>+D20-D22+D70</f>
        <v>2482.7700000000041</v>
      </c>
      <c r="E72" s="14"/>
      <c r="F72" s="22">
        <f>IF(D$12=0,0,D72/D$12)</f>
        <v>0.11779802149313236</v>
      </c>
      <c r="G72" s="14"/>
      <c r="H72" s="21">
        <f>+H20-H22+H70</f>
        <v>1476.5999999999967</v>
      </c>
      <c r="I72" s="14"/>
      <c r="J72" s="22">
        <f>IF(H$12=0,0,H72/H$12)</f>
        <v>7.9439757645794057E-2</v>
      </c>
      <c r="K72" s="16"/>
      <c r="L72" s="21">
        <f>+D72-H72</f>
        <v>1006.1700000000073</v>
      </c>
      <c r="M72" s="16"/>
      <c r="N72" s="22">
        <f>IF(H72=0,0,L72/H72)</f>
        <v>0.68140999593661766</v>
      </c>
      <c r="O72" s="29"/>
      <c r="P72" s="21">
        <f>+P20-P22+P70</f>
        <v>21645.560000000012</v>
      </c>
      <c r="Q72" s="14"/>
      <c r="R72" s="22">
        <f>IF(P$12=0,0,P72/P$12)</f>
        <v>0.1015031265155322</v>
      </c>
      <c r="S72" s="14"/>
      <c r="T72" s="21">
        <f>+T20-T22+T70</f>
        <v>42469.620000000017</v>
      </c>
      <c r="U72" s="14"/>
      <c r="V72" s="22">
        <f>IF(T$12=0,0,T72/T$12)</f>
        <v>0.22720445395331806</v>
      </c>
      <c r="W72" s="16"/>
      <c r="X72" s="21">
        <f>+P72-T72</f>
        <v>-20824.060000000005</v>
      </c>
      <c r="Y72" s="16"/>
      <c r="Z72" s="22">
        <f>IF(T72=0,0,X72/T72)</f>
        <v>-0.49032838061654416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>
        <v>1482.73</v>
      </c>
      <c r="E74" s="4"/>
      <c r="F74" s="12">
        <f>IF(D$12=0,0,D74/D$12)</f>
        <v>7.034991578298104E-2</v>
      </c>
      <c r="G74" s="4"/>
      <c r="H74" s="4">
        <v>853.58</v>
      </c>
      <c r="I74" s="4"/>
      <c r="J74" s="12">
        <f>IF(H$12=0,0,H74/H$12)</f>
        <v>4.5921839585058272E-2</v>
      </c>
      <c r="K74" s="4"/>
      <c r="L74" s="4">
        <f>+D74-H74</f>
        <v>629.15</v>
      </c>
      <c r="M74" s="4"/>
      <c r="N74" s="12">
        <f>IF(H74=0,0,L74/H74)</f>
        <v>0.73707209634714954</v>
      </c>
      <c r="O74" s="10"/>
      <c r="P74" s="4">
        <v>22238.969999999998</v>
      </c>
      <c r="Q74" s="4"/>
      <c r="R74" s="12">
        <f>IF(P$12=0,0,P74/P$12)</f>
        <v>0.10428582053248442</v>
      </c>
      <c r="S74" s="4"/>
      <c r="T74" s="4">
        <v>19019.449999999997</v>
      </c>
      <c r="U74" s="4"/>
      <c r="V74" s="12">
        <f>IF(T$12=0,0,T74/T$12)</f>
        <v>0.10175046896446054</v>
      </c>
      <c r="W74" s="4"/>
      <c r="X74" s="4">
        <f>+P74-T74</f>
        <v>3219.5200000000004</v>
      </c>
      <c r="Y74" s="4"/>
      <c r="Z74" s="12">
        <f>IF(T74=0,0,X74/T74)</f>
        <v>0.16927513676788766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4">
        <f>+D72-D74</f>
        <v>1000.0400000000041</v>
      </c>
      <c r="E76" s="14"/>
      <c r="F76" s="31">
        <f>IF(D$12=0,0,D76/D$12)</f>
        <v>4.744810571015131E-2</v>
      </c>
      <c r="G76" s="14"/>
      <c r="H76" s="34">
        <f>+H72-H74</f>
        <v>623.01999999999668</v>
      </c>
      <c r="I76" s="14"/>
      <c r="J76" s="31">
        <f>IF(H$12=0,0,H76/H$12)</f>
        <v>3.3517918060735785E-2</v>
      </c>
      <c r="K76" s="16"/>
      <c r="L76" s="34">
        <f>D76-H76</f>
        <v>377.02000000000737</v>
      </c>
      <c r="M76" s="16"/>
      <c r="N76" s="31">
        <f>IF(H76=0,0,L76/H76)</f>
        <v>0.60514911238806035</v>
      </c>
      <c r="O76" s="29"/>
      <c r="P76" s="34">
        <f>+P72-P74</f>
        <v>-593.4099999999853</v>
      </c>
      <c r="Q76" s="14"/>
      <c r="R76" s="31">
        <f>IF(P$12=0,0,P76/P$12)</f>
        <v>-2.7826940169522266E-3</v>
      </c>
      <c r="S76" s="14"/>
      <c r="T76" s="34">
        <f>+T72-T74</f>
        <v>23450.17000000002</v>
      </c>
      <c r="U76" s="14"/>
      <c r="V76" s="31">
        <f>IF(T$12=0,0,T76/T$12)</f>
        <v>0.12545398498885751</v>
      </c>
      <c r="W76" s="16"/>
      <c r="X76" s="34">
        <f>P76-T76</f>
        <v>-24043.580000000005</v>
      </c>
      <c r="Y76" s="16"/>
      <c r="Z76" s="31">
        <f>IF(T76=0,0,X76/T76)</f>
        <v>-1.0253051470415773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0">
        <f>SUM(D76:D78)</f>
        <v>1000.0400000000041</v>
      </c>
      <c r="E79" s="14"/>
      <c r="F79" s="33">
        <f>IF(D$12=0,0,D79/D$12)</f>
        <v>4.744810571015131E-2</v>
      </c>
      <c r="G79" s="14"/>
      <c r="H79" s="30">
        <f>SUM(H76:H78)</f>
        <v>623.01999999999668</v>
      </c>
      <c r="I79" s="14"/>
      <c r="J79" s="33">
        <f>IF(H$12=0,0,H79/H$12)</f>
        <v>3.3517918060735785E-2</v>
      </c>
      <c r="K79" s="16"/>
      <c r="L79" s="30">
        <f>+D79-H79</f>
        <v>377.02000000000737</v>
      </c>
      <c r="M79" s="16"/>
      <c r="N79" s="33">
        <f>IF(H79=0,0,L79/H79)</f>
        <v>0.60514911238806035</v>
      </c>
      <c r="O79" s="29"/>
      <c r="P79" s="30">
        <f>SUM(P76:P78)</f>
        <v>-593.4099999999853</v>
      </c>
      <c r="Q79" s="14"/>
      <c r="R79" s="33">
        <f>IF(P$12=0,0,P79/P$12)</f>
        <v>-2.7826940169522266E-3</v>
      </c>
      <c r="S79" s="14"/>
      <c r="T79" s="30">
        <f>SUM(T76:T78)</f>
        <v>23450.17000000002</v>
      </c>
      <c r="U79" s="14"/>
      <c r="V79" s="33">
        <f>IF(T$12=0,0,T79/T$12)</f>
        <v>0.12545398498885751</v>
      </c>
      <c r="W79" s="16"/>
      <c r="X79" s="30">
        <f>+P79-T79</f>
        <v>-24043.580000000005</v>
      </c>
      <c r="Y79" s="16"/>
      <c r="Z79" s="33">
        <f>IF(T79=0,0,X79/T79)</f>
        <v>-1.0253051470415773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1">
        <v>43879.553967673608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 t="s">
        <v>313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","322", " - ", "Beach Hut")</f>
        <v>Department 322 - Beach Hut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47485.21</v>
      </c>
      <c r="E12" s="4"/>
      <c r="F12" s="12"/>
      <c r="G12" s="4"/>
      <c r="H12" s="4">
        <f>SUM(OSRRefH13x_0)</f>
        <v>47053.41</v>
      </c>
      <c r="I12" s="4"/>
      <c r="J12" s="12"/>
      <c r="K12" s="4"/>
      <c r="L12" s="4">
        <f t="shared" ref="L12:L14" si="0">+D12-H12</f>
        <v>431.79999999999563</v>
      </c>
      <c r="M12" s="4"/>
      <c r="N12" s="12">
        <f t="shared" ref="N12:N14" si="1">IF(H12=0,0,L12/H12)</f>
        <v>9.1768056767829488E-3</v>
      </c>
      <c r="O12" s="10"/>
      <c r="P12" s="4">
        <f>SUM(OSRRefP13x_0)</f>
        <v>533100.18000000005</v>
      </c>
      <c r="Q12" s="4"/>
      <c r="R12" s="12"/>
      <c r="S12" s="4"/>
      <c r="T12" s="4">
        <f>SUM(OSRRefT13x_0)</f>
        <v>518848.70999999996</v>
      </c>
      <c r="U12" s="4"/>
      <c r="V12" s="12"/>
      <c r="W12" s="4"/>
      <c r="X12" s="4">
        <f t="shared" ref="X12:X14" si="2">+P12-T12</f>
        <v>14251.470000000088</v>
      </c>
      <c r="Y12" s="4"/>
      <c r="Z12" s="12">
        <f t="shared" ref="Z12:Z14" si="3">IF(T12=0,0,X12/T12)</f>
        <v>2.746748662052198E-2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--5141.06</f>
        <v>5141.0600000000004</v>
      </c>
      <c r="E13" s="2"/>
      <c r="F13" s="19"/>
      <c r="G13" s="2"/>
      <c r="H13" s="2">
        <f>--7102.83</f>
        <v>7102.83</v>
      </c>
      <c r="I13" s="2"/>
      <c r="J13" s="19"/>
      <c r="K13" s="2"/>
      <c r="L13" s="2">
        <f t="shared" si="0"/>
        <v>-1961.7699999999995</v>
      </c>
      <c r="M13" s="2"/>
      <c r="N13" s="19">
        <f t="shared" si="1"/>
        <v>-0.276195544592789</v>
      </c>
      <c r="O13" s="11"/>
      <c r="P13" s="2">
        <f>--68272.53</f>
        <v>68272.53</v>
      </c>
      <c r="Q13" s="2"/>
      <c r="R13" s="19"/>
      <c r="S13" s="2"/>
      <c r="T13" s="2">
        <f>--90707.23</f>
        <v>90707.23</v>
      </c>
      <c r="U13" s="2"/>
      <c r="V13" s="19"/>
      <c r="W13" s="2"/>
      <c r="X13" s="2">
        <f t="shared" si="2"/>
        <v>-22434.699999999997</v>
      </c>
      <c r="Y13" s="2"/>
      <c r="Z13" s="19">
        <f t="shared" si="3"/>
        <v>-0.24733089082314605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--42344.15</f>
        <v>42344.15</v>
      </c>
      <c r="E14" s="2"/>
      <c r="F14" s="19"/>
      <c r="G14" s="2"/>
      <c r="H14" s="2">
        <f>--39950.58</f>
        <v>39950.58</v>
      </c>
      <c r="I14" s="2"/>
      <c r="J14" s="19"/>
      <c r="K14" s="2"/>
      <c r="L14" s="2">
        <f t="shared" si="0"/>
        <v>2393.5699999999997</v>
      </c>
      <c r="M14" s="2"/>
      <c r="N14" s="19">
        <f t="shared" si="1"/>
        <v>5.991327284860444E-2</v>
      </c>
      <c r="O14" s="11"/>
      <c r="P14" s="2">
        <f>--464827.65</f>
        <v>464827.65</v>
      </c>
      <c r="Q14" s="2"/>
      <c r="R14" s="19"/>
      <c r="S14" s="2"/>
      <c r="T14" s="2">
        <f>--428141.48</f>
        <v>428141.48</v>
      </c>
      <c r="U14" s="2"/>
      <c r="V14" s="19"/>
      <c r="W14" s="2"/>
      <c r="X14" s="2">
        <f t="shared" si="2"/>
        <v>36686.170000000042</v>
      </c>
      <c r="Y14" s="2"/>
      <c r="Z14" s="19">
        <f t="shared" si="3"/>
        <v>8.5687025700009356E-2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22793.030000000002</v>
      </c>
      <c r="E16" s="4"/>
      <c r="F16" s="12">
        <f t="shared" ref="F16:F18" si="4">IF(D$12=0,0,D16/D$12)</f>
        <v>0.48000272084718593</v>
      </c>
      <c r="G16" s="4"/>
      <c r="H16" s="4">
        <f>SUM(OSRRefH16x_0)</f>
        <v>22649.34</v>
      </c>
      <c r="I16" s="4"/>
      <c r="J16" s="12">
        <f t="shared" ref="J16:J18" si="5">IF(H$12=0,0,H16/H$12)</f>
        <v>0.48135384874337478</v>
      </c>
      <c r="K16" s="4"/>
      <c r="L16" s="4">
        <f t="shared" ref="L16:L18" si="6">+D16-H16</f>
        <v>143.69000000000233</v>
      </c>
      <c r="M16" s="4"/>
      <c r="N16" s="12">
        <f t="shared" ref="N16:N18" si="7">IF(H16=0,0,L16/H16)</f>
        <v>6.3441142214299548E-3</v>
      </c>
      <c r="O16" s="10"/>
      <c r="P16" s="4">
        <f>SUM(OSRRefP16x_0)</f>
        <v>269829.16000000003</v>
      </c>
      <c r="Q16" s="4"/>
      <c r="R16" s="12">
        <f t="shared" ref="R16:R18" si="8">IF(P$12=0,0,P16/P$12)</f>
        <v>0.50615094521258652</v>
      </c>
      <c r="S16" s="4"/>
      <c r="T16" s="4">
        <f>SUM(OSRRefT16x_0)</f>
        <v>245538.68</v>
      </c>
      <c r="U16" s="4"/>
      <c r="V16" s="12">
        <f t="shared" ref="V16:V18" si="9">IF(T$12=0,0,T16/T$12)</f>
        <v>0.47323752621452986</v>
      </c>
      <c r="W16" s="4"/>
      <c r="X16" s="4">
        <f t="shared" ref="X16:X18" si="10">+P16-T16</f>
        <v>24290.48000000004</v>
      </c>
      <c r="Y16" s="4"/>
      <c r="Z16" s="12">
        <f t="shared" ref="Z16:Z18" si="11">IF(T16=0,0,X16/T16)</f>
        <v>9.8927305465680765E-2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32109.820000000003</v>
      </c>
      <c r="E17" s="2"/>
      <c r="F17" s="19">
        <f t="shared" si="4"/>
        <v>0.67620675995746893</v>
      </c>
      <c r="G17" s="2"/>
      <c r="H17" s="2">
        <v>35542.86</v>
      </c>
      <c r="I17" s="2"/>
      <c r="J17" s="19">
        <f t="shared" si="5"/>
        <v>0.75537267118366125</v>
      </c>
      <c r="K17" s="2"/>
      <c r="L17" s="2">
        <f t="shared" si="6"/>
        <v>-3433.0399999999972</v>
      </c>
      <c r="M17" s="2"/>
      <c r="N17" s="19">
        <f t="shared" si="7"/>
        <v>-9.6588738216339287E-2</v>
      </c>
      <c r="O17" s="11"/>
      <c r="P17" s="2">
        <v>285348.11000000004</v>
      </c>
      <c r="Q17" s="2"/>
      <c r="R17" s="19">
        <f t="shared" si="8"/>
        <v>0.53526170259406036</v>
      </c>
      <c r="S17" s="2"/>
      <c r="T17" s="2">
        <v>262869.09999999998</v>
      </c>
      <c r="U17" s="2"/>
      <c r="V17" s="19">
        <f t="shared" si="9"/>
        <v>0.50663920895168069</v>
      </c>
      <c r="W17" s="2"/>
      <c r="X17" s="2">
        <f t="shared" si="10"/>
        <v>22479.010000000068</v>
      </c>
      <c r="Y17" s="2"/>
      <c r="Z17" s="19">
        <f t="shared" si="11"/>
        <v>8.5514082864817778E-2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-9316.7900000000009</v>
      </c>
      <c r="E18" s="2"/>
      <c r="F18" s="19">
        <f t="shared" si="4"/>
        <v>-0.196204039110283</v>
      </c>
      <c r="G18" s="2"/>
      <c r="H18" s="2">
        <v>-12893.52</v>
      </c>
      <c r="I18" s="2"/>
      <c r="J18" s="19">
        <f t="shared" si="5"/>
        <v>-0.27401882244028647</v>
      </c>
      <c r="K18" s="2"/>
      <c r="L18" s="2">
        <f t="shared" si="6"/>
        <v>3576.7299999999996</v>
      </c>
      <c r="M18" s="2"/>
      <c r="N18" s="19">
        <f t="shared" si="7"/>
        <v>-0.27740523922094196</v>
      </c>
      <c r="O18" s="11"/>
      <c r="P18" s="2">
        <v>-15518.950000000003</v>
      </c>
      <c r="Q18" s="2"/>
      <c r="R18" s="19">
        <f t="shared" si="8"/>
        <v>-2.9110757381473781E-2</v>
      </c>
      <c r="S18" s="2"/>
      <c r="T18" s="2">
        <v>-17330.419999999998</v>
      </c>
      <c r="U18" s="2"/>
      <c r="V18" s="19">
        <f t="shared" si="9"/>
        <v>-3.340168273715087E-2</v>
      </c>
      <c r="W18" s="2"/>
      <c r="X18" s="2">
        <f t="shared" si="10"/>
        <v>1811.4699999999957</v>
      </c>
      <c r="Y18" s="2"/>
      <c r="Z18" s="19">
        <f t="shared" si="11"/>
        <v>-0.1045254529318964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24692.179999999997</v>
      </c>
      <c r="E20" s="14"/>
      <c r="F20" s="22">
        <f>IF(D$12=0,0,D20/D$12)</f>
        <v>0.51999727915281402</v>
      </c>
      <c r="G20" s="14"/>
      <c r="H20" s="21">
        <f>H12-H16</f>
        <v>24404.070000000003</v>
      </c>
      <c r="I20" s="14"/>
      <c r="J20" s="22">
        <f>IF(H$12=0,0,H20/H$12)</f>
        <v>0.51864615125662517</v>
      </c>
      <c r="K20" s="16"/>
      <c r="L20" s="21">
        <f>+D20-H20</f>
        <v>288.10999999999331</v>
      </c>
      <c r="M20" s="16"/>
      <c r="N20" s="22">
        <f>IF(H20=0,0,L20/H20)</f>
        <v>1.1805817636156317E-2</v>
      </c>
      <c r="O20" s="29"/>
      <c r="P20" s="21">
        <f>P12-P16</f>
        <v>263271.02</v>
      </c>
      <c r="Q20" s="14"/>
      <c r="R20" s="22">
        <f>IF(P$12=0,0,P20/P$12)</f>
        <v>0.49384905478741348</v>
      </c>
      <c r="S20" s="14"/>
      <c r="T20" s="21">
        <f>T12-T16</f>
        <v>273310.02999999997</v>
      </c>
      <c r="U20" s="14"/>
      <c r="V20" s="22">
        <f>IF(T$12=0,0,T20/T$12)</f>
        <v>0.52676247378547014</v>
      </c>
      <c r="W20" s="16"/>
      <c r="X20" s="21">
        <f>+P20-T20</f>
        <v>-10039.009999999951</v>
      </c>
      <c r="Y20" s="16"/>
      <c r="Z20" s="22">
        <f>IF(T20=0,0,X20/T20)</f>
        <v>-3.6731216926067269E-2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24954.720000000001</v>
      </c>
      <c r="E22" s="20"/>
      <c r="F22" s="32">
        <f t="shared" ref="F22:F31" si="12">IF(D$12=0,0,D22/D$12)</f>
        <v>0.52552615856600404</v>
      </c>
      <c r="G22" s="20"/>
      <c r="H22" s="20">
        <f>SUM(OSRRefH22x_0)</f>
        <v>27266.810000000009</v>
      </c>
      <c r="I22" s="20"/>
      <c r="J22" s="32">
        <f t="shared" ref="J22:J31" si="13">IF(H$12=0,0,H22/H$12)</f>
        <v>0.57948637516388302</v>
      </c>
      <c r="K22" s="4"/>
      <c r="L22" s="20">
        <f t="shared" ref="L22:L31" si="14">+D22-H22</f>
        <v>-2312.0900000000074</v>
      </c>
      <c r="M22" s="4"/>
      <c r="N22" s="32">
        <f t="shared" ref="N22:N31" si="15">IF(H22=0,0,L22/H22)</f>
        <v>-8.479503102856574E-2</v>
      </c>
      <c r="O22" s="10"/>
      <c r="P22" s="20">
        <f>SUM(OSRRefP22x_0)</f>
        <v>197926.69999999998</v>
      </c>
      <c r="Q22" s="20"/>
      <c r="R22" s="32">
        <f t="shared" ref="R22:R31" si="16">IF(P$12=0,0,P22/P$12)</f>
        <v>0.3712748699503346</v>
      </c>
      <c r="S22" s="20"/>
      <c r="T22" s="20">
        <f>SUM(OSRRefT22x_0)</f>
        <v>184839.68999999994</v>
      </c>
      <c r="U22" s="20"/>
      <c r="V22" s="32">
        <f t="shared" ref="V22:V31" si="17">IF(T$12=0,0,T22/T$12)</f>
        <v>0.35624968596337064</v>
      </c>
      <c r="W22" s="4"/>
      <c r="X22" s="20">
        <f t="shared" ref="X22:X31" si="18">+P22-T22</f>
        <v>13087.010000000038</v>
      </c>
      <c r="Y22" s="4"/>
      <c r="Z22" s="32">
        <f t="shared" ref="Z22:Z31" si="19">IF(T22=0,0,X22/T22)</f>
        <v>7.0801947352324826E-2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2342.9299999999998</v>
      </c>
      <c r="E23" s="1"/>
      <c r="F23" s="5">
        <f t="shared" si="12"/>
        <v>4.9340205087015511E-2</v>
      </c>
      <c r="G23" s="1"/>
      <c r="H23" s="1">
        <f>SUM(OSRRefH22_0x_0)</f>
        <v>2223.84</v>
      </c>
      <c r="I23" s="1"/>
      <c r="J23" s="5">
        <f t="shared" si="13"/>
        <v>4.7262036906570638E-2</v>
      </c>
      <c r="K23" s="1"/>
      <c r="L23" s="1">
        <f t="shared" si="14"/>
        <v>119.08999999999969</v>
      </c>
      <c r="M23" s="1"/>
      <c r="N23" s="5">
        <f t="shared" si="15"/>
        <v>5.3551514497445718E-2</v>
      </c>
      <c r="O23" s="13"/>
      <c r="P23" s="1">
        <f>SUM(OSRRefP22_0x_0)</f>
        <v>16787.210000000003</v>
      </c>
      <c r="Q23" s="1"/>
      <c r="R23" s="5">
        <f t="shared" si="16"/>
        <v>3.1489784903092698E-2</v>
      </c>
      <c r="S23" s="1"/>
      <c r="T23" s="1">
        <f>SUM(OSRRefT22_0x_0)</f>
        <v>16163.41</v>
      </c>
      <c r="U23" s="1"/>
      <c r="V23" s="5">
        <f t="shared" si="17"/>
        <v>3.1152452899034868E-2</v>
      </c>
      <c r="W23" s="1"/>
      <c r="X23" s="1">
        <f t="shared" si="18"/>
        <v>623.80000000000291</v>
      </c>
      <c r="Y23" s="1"/>
      <c r="Z23" s="5">
        <f t="shared" si="19"/>
        <v>3.8593341380315352E-2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355.22</v>
      </c>
      <c r="E24" s="2"/>
      <c r="F24" s="7">
        <f t="shared" si="12"/>
        <v>7.4806450261039178E-3</v>
      </c>
      <c r="G24" s="2"/>
      <c r="H24" s="6">
        <v>293.76</v>
      </c>
      <c r="I24" s="2"/>
      <c r="J24" s="7">
        <f t="shared" si="13"/>
        <v>6.2431181927090932E-3</v>
      </c>
      <c r="K24" s="2"/>
      <c r="L24" s="6">
        <f t="shared" si="14"/>
        <v>61.460000000000036</v>
      </c>
      <c r="M24" s="2"/>
      <c r="N24" s="7">
        <f t="shared" si="15"/>
        <v>0.20921840958605678</v>
      </c>
      <c r="O24" s="11"/>
      <c r="P24" s="6">
        <v>3910.88</v>
      </c>
      <c r="Q24" s="2"/>
      <c r="R24" s="7">
        <f t="shared" si="16"/>
        <v>7.3361070709073847E-3</v>
      </c>
      <c r="S24" s="2"/>
      <c r="T24" s="6">
        <v>4001.77</v>
      </c>
      <c r="U24" s="2"/>
      <c r="V24" s="7">
        <f t="shared" si="17"/>
        <v>7.7127877989713036E-3</v>
      </c>
      <c r="W24" s="2"/>
      <c r="X24" s="6">
        <f t="shared" si="18"/>
        <v>-90.889999999999873</v>
      </c>
      <c r="Y24" s="2"/>
      <c r="Z24" s="7">
        <f t="shared" si="19"/>
        <v>-2.2712449740989581E-2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241.62</v>
      </c>
      <c r="E25" s="2"/>
      <c r="F25" s="7">
        <f t="shared" si="12"/>
        <v>5.0883211846383331E-3</v>
      </c>
      <c r="G25" s="2"/>
      <c r="H25" s="6">
        <v>148.19</v>
      </c>
      <c r="I25" s="2"/>
      <c r="J25" s="7">
        <f t="shared" si="13"/>
        <v>3.1493997990793862E-3</v>
      </c>
      <c r="K25" s="2"/>
      <c r="L25" s="6">
        <f t="shared" si="14"/>
        <v>93.43</v>
      </c>
      <c r="M25" s="2"/>
      <c r="N25" s="7">
        <f t="shared" si="15"/>
        <v>0.63047439098454694</v>
      </c>
      <c r="O25" s="11"/>
      <c r="P25" s="6">
        <v>1979.07</v>
      </c>
      <c r="Q25" s="2"/>
      <c r="R25" s="7">
        <f t="shared" si="16"/>
        <v>3.7123791629558251E-3</v>
      </c>
      <c r="S25" s="2"/>
      <c r="T25" s="6">
        <v>1359.34</v>
      </c>
      <c r="U25" s="2"/>
      <c r="V25" s="7">
        <f t="shared" si="17"/>
        <v>2.61991592886489E-3</v>
      </c>
      <c r="W25" s="2"/>
      <c r="X25" s="6">
        <f t="shared" si="18"/>
        <v>619.73</v>
      </c>
      <c r="Y25" s="2"/>
      <c r="Z25" s="7">
        <f t="shared" si="19"/>
        <v>0.45590507157885446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683.68</v>
      </c>
      <c r="E26" s="2"/>
      <c r="F26" s="7">
        <f t="shared" si="12"/>
        <v>1.4397746161383724E-2</v>
      </c>
      <c r="G26" s="2"/>
      <c r="H26" s="6">
        <v>641.14</v>
      </c>
      <c r="I26" s="2"/>
      <c r="J26" s="7">
        <f t="shared" si="13"/>
        <v>1.3625792477102083E-2</v>
      </c>
      <c r="K26" s="2"/>
      <c r="L26" s="6">
        <f t="shared" si="14"/>
        <v>42.539999999999964</v>
      </c>
      <c r="M26" s="2"/>
      <c r="N26" s="7">
        <f t="shared" si="15"/>
        <v>6.6350563059550116E-2</v>
      </c>
      <c r="O26" s="11"/>
      <c r="P26" s="6">
        <v>4530.5200000000004</v>
      </c>
      <c r="Q26" s="2"/>
      <c r="R26" s="7">
        <f t="shared" si="16"/>
        <v>8.4984401993636535E-3</v>
      </c>
      <c r="S26" s="2"/>
      <c r="T26" s="6">
        <v>4364.0200000000004</v>
      </c>
      <c r="U26" s="2"/>
      <c r="V26" s="7">
        <f t="shared" si="17"/>
        <v>8.4109681991885472E-3</v>
      </c>
      <c r="W26" s="2"/>
      <c r="X26" s="6">
        <f t="shared" si="18"/>
        <v>166.5</v>
      </c>
      <c r="Y26" s="2"/>
      <c r="Z26" s="7">
        <f t="shared" si="19"/>
        <v>3.8152895724584211E-2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33.06</v>
      </c>
      <c r="E27" s="2"/>
      <c r="F27" s="7">
        <f t="shared" si="12"/>
        <v>6.9621677991947388E-4</v>
      </c>
      <c r="G27" s="2"/>
      <c r="H27" s="6">
        <v>32.380000000000003</v>
      </c>
      <c r="I27" s="2"/>
      <c r="J27" s="7">
        <f t="shared" si="13"/>
        <v>6.8815416353458763E-4</v>
      </c>
      <c r="K27" s="2"/>
      <c r="L27" s="6">
        <f t="shared" si="14"/>
        <v>0.67999999999999972</v>
      </c>
      <c r="M27" s="2"/>
      <c r="N27" s="7">
        <f t="shared" si="15"/>
        <v>2.1000617665225436E-2</v>
      </c>
      <c r="O27" s="11"/>
      <c r="P27" s="6">
        <v>315.99</v>
      </c>
      <c r="Q27" s="2"/>
      <c r="R27" s="7">
        <f t="shared" si="16"/>
        <v>5.9274037386368916E-4</v>
      </c>
      <c r="S27" s="2"/>
      <c r="T27" s="6">
        <v>296.99</v>
      </c>
      <c r="U27" s="2"/>
      <c r="V27" s="7">
        <f t="shared" si="17"/>
        <v>5.7240192425264008E-4</v>
      </c>
      <c r="W27" s="2"/>
      <c r="X27" s="6">
        <f t="shared" si="18"/>
        <v>19</v>
      </c>
      <c r="Y27" s="2"/>
      <c r="Z27" s="7">
        <f t="shared" si="19"/>
        <v>6.3975218020808786E-2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424.69</v>
      </c>
      <c r="E28" s="2"/>
      <c r="F28" s="7">
        <f t="shared" si="12"/>
        <v>8.9436268682396049E-3</v>
      </c>
      <c r="G28" s="2"/>
      <c r="H28" s="6">
        <v>386.76</v>
      </c>
      <c r="I28" s="2"/>
      <c r="J28" s="7">
        <f t="shared" si="13"/>
        <v>8.2195955617244305E-3</v>
      </c>
      <c r="K28" s="2"/>
      <c r="L28" s="6">
        <f t="shared" si="14"/>
        <v>37.930000000000007</v>
      </c>
      <c r="M28" s="2"/>
      <c r="N28" s="7">
        <f t="shared" si="15"/>
        <v>9.8071155238390759E-2</v>
      </c>
      <c r="O28" s="11"/>
      <c r="P28" s="6">
        <v>1899.9</v>
      </c>
      <c r="Q28" s="2"/>
      <c r="R28" s="7">
        <f t="shared" si="16"/>
        <v>3.5638704905333178E-3</v>
      </c>
      <c r="S28" s="2"/>
      <c r="T28" s="6">
        <v>1995.54</v>
      </c>
      <c r="U28" s="2"/>
      <c r="V28" s="7">
        <f t="shared" si="17"/>
        <v>3.8460922452712661E-3</v>
      </c>
      <c r="W28" s="2"/>
      <c r="X28" s="6">
        <f t="shared" si="18"/>
        <v>-95.639999999999873</v>
      </c>
      <c r="Y28" s="2"/>
      <c r="Z28" s="7">
        <f t="shared" si="19"/>
        <v>-4.792687693556625E-2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239.72</v>
      </c>
      <c r="E29" s="2"/>
      <c r="F29" s="7">
        <f t="shared" si="12"/>
        <v>5.0483087260222714E-3</v>
      </c>
      <c r="G29" s="2"/>
      <c r="H29" s="6">
        <v>262.66000000000003</v>
      </c>
      <c r="I29" s="2"/>
      <c r="J29" s="7">
        <f t="shared" si="13"/>
        <v>5.5821671585545027E-3</v>
      </c>
      <c r="K29" s="2"/>
      <c r="L29" s="6">
        <f t="shared" si="14"/>
        <v>-22.940000000000026</v>
      </c>
      <c r="M29" s="2"/>
      <c r="N29" s="7">
        <f t="shared" si="15"/>
        <v>-8.733724206198136E-2</v>
      </c>
      <c r="O29" s="11"/>
      <c r="P29" s="6">
        <v>1678.04</v>
      </c>
      <c r="Q29" s="2"/>
      <c r="R29" s="7">
        <f t="shared" si="16"/>
        <v>3.1477010568632707E-3</v>
      </c>
      <c r="S29" s="2"/>
      <c r="T29" s="6">
        <v>1654.27</v>
      </c>
      <c r="U29" s="2"/>
      <c r="V29" s="7">
        <f t="shared" si="17"/>
        <v>3.1883475242715743E-3</v>
      </c>
      <c r="W29" s="2"/>
      <c r="X29" s="6">
        <f t="shared" si="18"/>
        <v>23.769999999999982</v>
      </c>
      <c r="Y29" s="2"/>
      <c r="Z29" s="7">
        <f t="shared" si="19"/>
        <v>1.4368875697437529E-2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191.88</v>
      </c>
      <c r="E30" s="2"/>
      <c r="F30" s="7">
        <f t="shared" si="12"/>
        <v>4.0408371364473276E-3</v>
      </c>
      <c r="G30" s="2"/>
      <c r="H30" s="6">
        <v>308.95</v>
      </c>
      <c r="I30" s="2"/>
      <c r="J30" s="7">
        <f t="shared" si="13"/>
        <v>6.565942829648265E-3</v>
      </c>
      <c r="K30" s="2"/>
      <c r="L30" s="6">
        <f t="shared" si="14"/>
        <v>-117.07</v>
      </c>
      <c r="M30" s="2"/>
      <c r="N30" s="7">
        <f t="shared" si="15"/>
        <v>-0.37892862922803044</v>
      </c>
      <c r="O30" s="11"/>
      <c r="P30" s="6">
        <v>1343.16</v>
      </c>
      <c r="Q30" s="2"/>
      <c r="R30" s="7">
        <f t="shared" si="16"/>
        <v>2.51952644247841E-3</v>
      </c>
      <c r="S30" s="2"/>
      <c r="T30" s="6">
        <v>1443.8</v>
      </c>
      <c r="U30" s="2"/>
      <c r="V30" s="7">
        <f t="shared" si="17"/>
        <v>2.7826994115490817E-3</v>
      </c>
      <c r="W30" s="2"/>
      <c r="X30" s="6">
        <f t="shared" si="18"/>
        <v>-100.63999999999987</v>
      </c>
      <c r="Y30" s="2"/>
      <c r="Z30" s="7">
        <f t="shared" si="19"/>
        <v>-6.9704945283280154E-2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173.06</v>
      </c>
      <c r="E31" s="2"/>
      <c r="F31" s="7">
        <f t="shared" si="12"/>
        <v>3.6445032042608638E-3</v>
      </c>
      <c r="G31" s="2"/>
      <c r="H31" s="6">
        <v>150</v>
      </c>
      <c r="I31" s="2"/>
      <c r="J31" s="7">
        <f t="shared" si="13"/>
        <v>3.187866724218287E-3</v>
      </c>
      <c r="K31" s="2"/>
      <c r="L31" s="6">
        <f t="shared" si="14"/>
        <v>23.060000000000002</v>
      </c>
      <c r="M31" s="2"/>
      <c r="N31" s="7">
        <f t="shared" si="15"/>
        <v>0.15373333333333336</v>
      </c>
      <c r="O31" s="11"/>
      <c r="P31" s="6">
        <v>1129.6500000000001</v>
      </c>
      <c r="Q31" s="2"/>
      <c r="R31" s="7">
        <f t="shared" si="16"/>
        <v>2.1190201061271449E-3</v>
      </c>
      <c r="S31" s="2"/>
      <c r="T31" s="6">
        <v>1047.68</v>
      </c>
      <c r="U31" s="2"/>
      <c r="V31" s="7">
        <f t="shared" si="17"/>
        <v>2.0192398666655643E-3</v>
      </c>
      <c r="W31" s="2"/>
      <c r="X31" s="6">
        <f t="shared" si="18"/>
        <v>81.970000000000027</v>
      </c>
      <c r="Y31" s="2"/>
      <c r="Z31" s="7">
        <f t="shared" si="19"/>
        <v>7.8239538790470395E-2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15854.490000000002</v>
      </c>
      <c r="E32" s="1"/>
      <c r="F32" s="5">
        <f t="shared" ref="F32:F37" si="20">IF(D$12=0,0,D32/D$12)</f>
        <v>0.33388269737040233</v>
      </c>
      <c r="G32" s="1"/>
      <c r="H32" s="1">
        <f>SUM(OSRRefH22_1x_0)</f>
        <v>18723.86</v>
      </c>
      <c r="I32" s="1"/>
      <c r="J32" s="5">
        <f t="shared" ref="J32:J37" si="21">IF(H$12=0,0,H32/H$12)</f>
        <v>0.39792780161947877</v>
      </c>
      <c r="K32" s="1"/>
      <c r="L32" s="1">
        <f t="shared" ref="L32:L37" si="22">+D32-H32</f>
        <v>-2869.369999999999</v>
      </c>
      <c r="M32" s="1"/>
      <c r="N32" s="5">
        <f t="shared" ref="N32:N37" si="23">IF(H32=0,0,L32/H32)</f>
        <v>-0.15324671301750808</v>
      </c>
      <c r="O32" s="13"/>
      <c r="P32" s="1">
        <f>SUM(OSRRefP22_1x_0)</f>
        <v>116257.38</v>
      </c>
      <c r="Q32" s="1"/>
      <c r="R32" s="5">
        <f t="shared" ref="R32:R37" si="24">IF(P$12=0,0,P32/P$12)</f>
        <v>0.21807792299000911</v>
      </c>
      <c r="S32" s="1"/>
      <c r="T32" s="1">
        <f>SUM(OSRRefT22_1x_0)</f>
        <v>109437.56999999999</v>
      </c>
      <c r="U32" s="1"/>
      <c r="V32" s="5">
        <f t="shared" ref="V32:V37" si="25">IF(T$12=0,0,T32/T$12)</f>
        <v>0.21092385485549342</v>
      </c>
      <c r="W32" s="1"/>
      <c r="X32" s="1">
        <f t="shared" ref="X32:X37" si="26">+P32-T32</f>
        <v>6819.8100000000122</v>
      </c>
      <c r="Y32" s="1"/>
      <c r="Z32" s="5">
        <f t="shared" ref="Z32:Z37" si="27">IF(T32=0,0,X32/T32)</f>
        <v>6.231689903202358E-2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4576</v>
      </c>
      <c r="E33" s="2"/>
      <c r="F33" s="7">
        <f t="shared" si="20"/>
        <v>9.6366847698472854E-2</v>
      </c>
      <c r="G33" s="2"/>
      <c r="H33" s="6">
        <v>4608</v>
      </c>
      <c r="I33" s="2"/>
      <c r="J33" s="7">
        <f t="shared" si="21"/>
        <v>9.7931265767985776E-2</v>
      </c>
      <c r="K33" s="2"/>
      <c r="L33" s="6">
        <f t="shared" si="22"/>
        <v>-32</v>
      </c>
      <c r="M33" s="2"/>
      <c r="N33" s="7">
        <f t="shared" si="23"/>
        <v>-6.9444444444444441E-3</v>
      </c>
      <c r="O33" s="11"/>
      <c r="P33" s="6">
        <v>26656</v>
      </c>
      <c r="Q33" s="2"/>
      <c r="R33" s="7">
        <f t="shared" si="24"/>
        <v>5.000185893765783E-2</v>
      </c>
      <c r="S33" s="2"/>
      <c r="T33" s="6">
        <v>25863.08</v>
      </c>
      <c r="U33" s="2"/>
      <c r="V33" s="7">
        <f t="shared" si="25"/>
        <v>4.9847054645274155E-2</v>
      </c>
      <c r="W33" s="2"/>
      <c r="X33" s="6">
        <f t="shared" si="26"/>
        <v>792.91999999999825</v>
      </c>
      <c r="Y33" s="2"/>
      <c r="Z33" s="7">
        <f t="shared" si="27"/>
        <v>3.0658374795267933E-2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482.3</v>
      </c>
      <c r="E34" s="2"/>
      <c r="F34" s="7">
        <f t="shared" si="20"/>
        <v>1.0156846731856089E-2</v>
      </c>
      <c r="G34" s="2"/>
      <c r="H34" s="6"/>
      <c r="I34" s="2"/>
      <c r="J34" s="7">
        <f t="shared" si="21"/>
        <v>0</v>
      </c>
      <c r="K34" s="2"/>
      <c r="L34" s="6">
        <f t="shared" si="22"/>
        <v>482.3</v>
      </c>
      <c r="M34" s="2"/>
      <c r="N34" s="7">
        <f t="shared" si="23"/>
        <v>0</v>
      </c>
      <c r="O34" s="11"/>
      <c r="P34" s="6">
        <v>8406.2999999999993</v>
      </c>
      <c r="Q34" s="2"/>
      <c r="R34" s="7">
        <f t="shared" si="24"/>
        <v>1.576870598693101E-2</v>
      </c>
      <c r="S34" s="2"/>
      <c r="T34" s="6"/>
      <c r="U34" s="2"/>
      <c r="V34" s="7">
        <f t="shared" si="25"/>
        <v>0</v>
      </c>
      <c r="W34" s="2"/>
      <c r="X34" s="6">
        <f t="shared" si="26"/>
        <v>8406.2999999999993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15114.649999999998</v>
      </c>
      <c r="U35" s="2"/>
      <c r="V35" s="7">
        <f t="shared" si="25"/>
        <v>2.9131131500741321E-2</v>
      </c>
      <c r="W35" s="2"/>
      <c r="X35" s="6">
        <f t="shared" si="26"/>
        <v>-15114.649999999998</v>
      </c>
      <c r="Y35" s="2"/>
      <c r="Z35" s="7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10796.19</v>
      </c>
      <c r="E36" s="2"/>
      <c r="F36" s="7">
        <f t="shared" si="20"/>
        <v>0.22735900294007336</v>
      </c>
      <c r="G36" s="2"/>
      <c r="H36" s="6">
        <v>13911.86</v>
      </c>
      <c r="I36" s="2"/>
      <c r="J36" s="7">
        <f t="shared" si="21"/>
        <v>0.29566103710655611</v>
      </c>
      <c r="K36" s="2"/>
      <c r="L36" s="6">
        <f t="shared" si="22"/>
        <v>-3115.67</v>
      </c>
      <c r="M36" s="2"/>
      <c r="N36" s="7">
        <f t="shared" si="23"/>
        <v>-0.22395783166305583</v>
      </c>
      <c r="O36" s="11"/>
      <c r="P36" s="6">
        <v>79350.080000000002</v>
      </c>
      <c r="Q36" s="2"/>
      <c r="R36" s="7">
        <f t="shared" si="24"/>
        <v>0.14884647009498289</v>
      </c>
      <c r="S36" s="2"/>
      <c r="T36" s="6">
        <v>67604.09</v>
      </c>
      <c r="U36" s="2"/>
      <c r="V36" s="7">
        <f t="shared" si="25"/>
        <v>0.13029634399592127</v>
      </c>
      <c r="W36" s="2"/>
      <c r="X36" s="6">
        <f t="shared" si="26"/>
        <v>11745.990000000005</v>
      </c>
      <c r="Y36" s="2"/>
      <c r="Z36" s="7">
        <f t="shared" si="27"/>
        <v>0.17374673632911863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0"/>
        <v>0</v>
      </c>
      <c r="G37" s="2"/>
      <c r="H37" s="6">
        <v>204</v>
      </c>
      <c r="I37" s="2"/>
      <c r="J37" s="7">
        <f t="shared" si="21"/>
        <v>4.3354987449368701E-3</v>
      </c>
      <c r="K37" s="2"/>
      <c r="L37" s="6">
        <f t="shared" si="22"/>
        <v>-204</v>
      </c>
      <c r="M37" s="2"/>
      <c r="N37" s="7">
        <f t="shared" si="23"/>
        <v>-1</v>
      </c>
      <c r="O37" s="11"/>
      <c r="P37" s="6">
        <v>1845</v>
      </c>
      <c r="Q37" s="2"/>
      <c r="R37" s="7">
        <f t="shared" si="24"/>
        <v>3.460887970437376E-3</v>
      </c>
      <c r="S37" s="2"/>
      <c r="T37" s="6">
        <v>855.75</v>
      </c>
      <c r="U37" s="2"/>
      <c r="V37" s="7">
        <f t="shared" si="25"/>
        <v>1.6493247135566744E-3</v>
      </c>
      <c r="W37" s="2"/>
      <c r="X37" s="6">
        <f t="shared" si="26"/>
        <v>989.25</v>
      </c>
      <c r="Y37" s="2"/>
      <c r="Z37" s="7">
        <f t="shared" si="27"/>
        <v>1.1560035056967572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44.96</v>
      </c>
      <c r="E38" s="1"/>
      <c r="F38" s="5">
        <f t="shared" ref="F38:F56" si="28">IF(D$12=0,0,D38/D$12)</f>
        <v>9.4682112598849203E-4</v>
      </c>
      <c r="G38" s="1"/>
      <c r="H38" s="1">
        <f>SUM(OSRRefH22_2x_0)</f>
        <v>0</v>
      </c>
      <c r="I38" s="1"/>
      <c r="J38" s="5">
        <f t="shared" ref="J38:J56" si="29">IF(H$12=0,0,H38/H$12)</f>
        <v>0</v>
      </c>
      <c r="K38" s="1"/>
      <c r="L38" s="1">
        <f t="shared" ref="L38:L56" si="30">+D38-H38</f>
        <v>44.96</v>
      </c>
      <c r="M38" s="1"/>
      <c r="N38" s="5">
        <f t="shared" ref="N38:N56" si="31">IF(H38=0,0,L38/H38)</f>
        <v>0</v>
      </c>
      <c r="O38" s="13"/>
      <c r="P38" s="1">
        <f>SUM(OSRRefP22_2x_0)</f>
        <v>194.96</v>
      </c>
      <c r="Q38" s="1"/>
      <c r="R38" s="5">
        <f t="shared" ref="R38:R56" si="32">IF(P$12=0,0,P38/P$12)</f>
        <v>3.6570987464307366E-4</v>
      </c>
      <c r="S38" s="1"/>
      <c r="T38" s="1">
        <f>SUM(OSRRefT22_2x_0)</f>
        <v>216</v>
      </c>
      <c r="U38" s="1"/>
      <c r="V38" s="5">
        <f t="shared" ref="V38:V56" si="33">IF(T$12=0,0,T38/T$12)</f>
        <v>4.1630632559537447E-4</v>
      </c>
      <c r="W38" s="1"/>
      <c r="X38" s="1">
        <f t="shared" ref="X38:X56" si="34">+P38-T38</f>
        <v>-21.039999999999992</v>
      </c>
      <c r="Y38" s="1"/>
      <c r="Z38" s="5">
        <f t="shared" ref="Z38:Z56" si="35">IF(T38=0,0,X38/T38)</f>
        <v>-9.7407407407407373E-2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44.96</v>
      </c>
      <c r="E39" s="2"/>
      <c r="F39" s="7">
        <f t="shared" si="28"/>
        <v>9.4682112598849203E-4</v>
      </c>
      <c r="G39" s="2"/>
      <c r="H39" s="6"/>
      <c r="I39" s="2"/>
      <c r="J39" s="7">
        <f t="shared" si="29"/>
        <v>0</v>
      </c>
      <c r="K39" s="2"/>
      <c r="L39" s="6">
        <f t="shared" si="30"/>
        <v>44.96</v>
      </c>
      <c r="M39" s="2"/>
      <c r="N39" s="7">
        <f t="shared" si="31"/>
        <v>0</v>
      </c>
      <c r="O39" s="11"/>
      <c r="P39" s="6">
        <v>194.96</v>
      </c>
      <c r="Q39" s="2"/>
      <c r="R39" s="7">
        <f t="shared" si="32"/>
        <v>3.6570987464307366E-4</v>
      </c>
      <c r="S39" s="2"/>
      <c r="T39" s="6">
        <v>216</v>
      </c>
      <c r="U39" s="2"/>
      <c r="V39" s="7">
        <f t="shared" si="33"/>
        <v>4.1630632559537447E-4</v>
      </c>
      <c r="W39" s="2"/>
      <c r="X39" s="6">
        <f t="shared" si="34"/>
        <v>-21.039999999999992</v>
      </c>
      <c r="Y39" s="2"/>
      <c r="Z39" s="7">
        <f t="shared" si="35"/>
        <v>-9.7407407407407373E-2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8.16</v>
      </c>
      <c r="E40" s="1"/>
      <c r="F40" s="5">
        <f t="shared" si="28"/>
        <v>1.7184298016161242E-4</v>
      </c>
      <c r="G40" s="1"/>
      <c r="H40" s="1">
        <f>SUM(OSRRefH22_3x_0)</f>
        <v>-13.46</v>
      </c>
      <c r="I40" s="1"/>
      <c r="J40" s="5">
        <f t="shared" si="29"/>
        <v>-2.86057907386521E-4</v>
      </c>
      <c r="K40" s="1"/>
      <c r="L40" s="1">
        <f t="shared" si="30"/>
        <v>21.62</v>
      </c>
      <c r="M40" s="1"/>
      <c r="N40" s="5">
        <f t="shared" si="31"/>
        <v>-1.6062407132243686</v>
      </c>
      <c r="O40" s="13"/>
      <c r="P40" s="1">
        <f>SUM(OSRRefP22_3x_0)</f>
        <v>-13.74</v>
      </c>
      <c r="Q40" s="1"/>
      <c r="R40" s="5">
        <f t="shared" si="32"/>
        <v>-2.5773767324558021E-5</v>
      </c>
      <c r="S40" s="1"/>
      <c r="T40" s="1">
        <f>SUM(OSRRefT22_3x_0)</f>
        <v>-148.82</v>
      </c>
      <c r="U40" s="1"/>
      <c r="V40" s="5">
        <f t="shared" si="33"/>
        <v>-2.868273489588131E-4</v>
      </c>
      <c r="W40" s="1"/>
      <c r="X40" s="1">
        <f t="shared" si="34"/>
        <v>135.07999999999998</v>
      </c>
      <c r="Y40" s="1"/>
      <c r="Z40" s="5">
        <f t="shared" si="35"/>
        <v>-0.907673699771536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8.16</v>
      </c>
      <c r="E41" s="2"/>
      <c r="F41" s="7">
        <f t="shared" si="28"/>
        <v>1.7184298016161242E-4</v>
      </c>
      <c r="G41" s="2"/>
      <c r="H41" s="6">
        <v>-13.46</v>
      </c>
      <c r="I41" s="2"/>
      <c r="J41" s="7">
        <f t="shared" si="29"/>
        <v>-2.86057907386521E-4</v>
      </c>
      <c r="K41" s="2"/>
      <c r="L41" s="6">
        <f t="shared" si="30"/>
        <v>21.62</v>
      </c>
      <c r="M41" s="2"/>
      <c r="N41" s="7">
        <f t="shared" si="31"/>
        <v>-1.6062407132243686</v>
      </c>
      <c r="O41" s="11"/>
      <c r="P41" s="6">
        <v>-13.74</v>
      </c>
      <c r="Q41" s="2"/>
      <c r="R41" s="7">
        <f t="shared" si="32"/>
        <v>-2.5773767324558021E-5</v>
      </c>
      <c r="S41" s="2"/>
      <c r="T41" s="6">
        <v>-148.82</v>
      </c>
      <c r="U41" s="2"/>
      <c r="V41" s="7">
        <f t="shared" si="33"/>
        <v>-2.868273489588131E-4</v>
      </c>
      <c r="W41" s="2"/>
      <c r="X41" s="6">
        <f t="shared" si="34"/>
        <v>135.07999999999998</v>
      </c>
      <c r="Y41" s="2"/>
      <c r="Z41" s="7">
        <f t="shared" si="35"/>
        <v>-0.907673699771536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1924.78</v>
      </c>
      <c r="E42" s="1"/>
      <c r="F42" s="5">
        <f t="shared" si="28"/>
        <v>4.0534305313170142E-2</v>
      </c>
      <c r="G42" s="1"/>
      <c r="H42" s="1">
        <f>SUM(OSRRefH22_4x_0)</f>
        <v>1299.68</v>
      </c>
      <c r="I42" s="1"/>
      <c r="J42" s="5">
        <f t="shared" si="29"/>
        <v>2.7621377494213489E-2</v>
      </c>
      <c r="K42" s="1"/>
      <c r="L42" s="1">
        <f t="shared" si="30"/>
        <v>625.09999999999991</v>
      </c>
      <c r="M42" s="1"/>
      <c r="N42" s="5">
        <f t="shared" si="31"/>
        <v>0.48096454511879838</v>
      </c>
      <c r="O42" s="13"/>
      <c r="P42" s="1">
        <f>SUM(OSRRefP22_4x_0)</f>
        <v>18708.34</v>
      </c>
      <c r="Q42" s="1"/>
      <c r="R42" s="5">
        <f t="shared" si="32"/>
        <v>3.5093479053036523E-2</v>
      </c>
      <c r="S42" s="1"/>
      <c r="T42" s="1">
        <f>SUM(OSRRefT22_4x_0)</f>
        <v>17267.68</v>
      </c>
      <c r="U42" s="1"/>
      <c r="V42" s="5">
        <f t="shared" si="33"/>
        <v>3.3280761168318219E-2</v>
      </c>
      <c r="W42" s="1"/>
      <c r="X42" s="1">
        <f t="shared" si="34"/>
        <v>1440.6599999999999</v>
      </c>
      <c r="Y42" s="1"/>
      <c r="Z42" s="5">
        <f t="shared" si="35"/>
        <v>8.3431010998582314E-2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1924.78</v>
      </c>
      <c r="E43" s="2"/>
      <c r="F43" s="7">
        <f t="shared" si="28"/>
        <v>4.0534305313170142E-2</v>
      </c>
      <c r="G43" s="2"/>
      <c r="H43" s="6">
        <v>1299.68</v>
      </c>
      <c r="I43" s="2"/>
      <c r="J43" s="7">
        <f t="shared" si="29"/>
        <v>2.7621377494213489E-2</v>
      </c>
      <c r="K43" s="2"/>
      <c r="L43" s="6">
        <f t="shared" si="30"/>
        <v>625.09999999999991</v>
      </c>
      <c r="M43" s="2"/>
      <c r="N43" s="7">
        <f t="shared" si="31"/>
        <v>0.48096454511879838</v>
      </c>
      <c r="O43" s="11"/>
      <c r="P43" s="6">
        <v>18708.34</v>
      </c>
      <c r="Q43" s="2"/>
      <c r="R43" s="7">
        <f t="shared" si="32"/>
        <v>3.5093479053036523E-2</v>
      </c>
      <c r="S43" s="2"/>
      <c r="T43" s="6">
        <v>17267.68</v>
      </c>
      <c r="U43" s="2"/>
      <c r="V43" s="7">
        <f t="shared" si="33"/>
        <v>3.3280761168318219E-2</v>
      </c>
      <c r="W43" s="2"/>
      <c r="X43" s="6">
        <f t="shared" si="34"/>
        <v>1440.6599999999999</v>
      </c>
      <c r="Y43" s="2"/>
      <c r="Z43" s="7">
        <f t="shared" si="35"/>
        <v>8.3431010998582314E-2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1857.58</v>
      </c>
      <c r="E44" s="1"/>
      <c r="F44" s="5">
        <f t="shared" si="28"/>
        <v>3.9119127829486275E-2</v>
      </c>
      <c r="G44" s="1"/>
      <c r="H44" s="1">
        <f>SUM(OSRRefH22_5x_0)</f>
        <v>2114.62</v>
      </c>
      <c r="I44" s="1"/>
      <c r="J44" s="5">
        <f t="shared" si="29"/>
        <v>4.4940844882443161E-2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3"/>
      <c r="P44" s="1">
        <f>SUM(OSRRefP22_5x_0)</f>
        <v>13003.06</v>
      </c>
      <c r="Q44" s="1"/>
      <c r="R44" s="5">
        <f t="shared" si="32"/>
        <v>2.4391400505623537E-2</v>
      </c>
      <c r="S44" s="1"/>
      <c r="T44" s="1">
        <f>SUM(OSRRefT22_5x_0)</f>
        <v>14802.34</v>
      </c>
      <c r="U44" s="1"/>
      <c r="V44" s="5">
        <f t="shared" si="33"/>
        <v>2.8529202664877015E-2</v>
      </c>
      <c r="W44" s="1"/>
      <c r="X44" s="1">
        <f t="shared" si="34"/>
        <v>-1799.2800000000007</v>
      </c>
      <c r="Y44" s="1"/>
      <c r="Z44" s="5">
        <f t="shared" si="35"/>
        <v>-0.12155375433884107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1857.58</v>
      </c>
      <c r="E45" s="2"/>
      <c r="F45" s="7">
        <f t="shared" si="28"/>
        <v>3.9119127829486275E-2</v>
      </c>
      <c r="G45" s="2"/>
      <c r="H45" s="6">
        <v>2114.62</v>
      </c>
      <c r="I45" s="2"/>
      <c r="J45" s="7">
        <f t="shared" si="29"/>
        <v>4.4940844882443161E-2</v>
      </c>
      <c r="K45" s="2"/>
      <c r="L45" s="6">
        <f t="shared" si="30"/>
        <v>-257.03999999999996</v>
      </c>
      <c r="M45" s="2"/>
      <c r="N45" s="7">
        <f t="shared" si="31"/>
        <v>-0.12155375433884101</v>
      </c>
      <c r="O45" s="11"/>
      <c r="P45" s="6">
        <v>13003.06</v>
      </c>
      <c r="Q45" s="2"/>
      <c r="R45" s="7">
        <f t="shared" si="32"/>
        <v>2.4391400505623537E-2</v>
      </c>
      <c r="S45" s="2"/>
      <c r="T45" s="6">
        <v>14802.34</v>
      </c>
      <c r="U45" s="2"/>
      <c r="V45" s="7">
        <f t="shared" si="33"/>
        <v>2.8529202664877015E-2</v>
      </c>
      <c r="W45" s="2"/>
      <c r="X45" s="6">
        <f t="shared" si="34"/>
        <v>-1799.2800000000007</v>
      </c>
      <c r="Y45" s="2"/>
      <c r="Z45" s="7">
        <f t="shared" si="35"/>
        <v>-0.12155375433884107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1.1910986537867657E-4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/>
      <c r="Q47" s="2"/>
      <c r="R47" s="7">
        <f t="shared" si="32"/>
        <v>0</v>
      </c>
      <c r="S47" s="2"/>
      <c r="T47" s="6">
        <v>61.8</v>
      </c>
      <c r="U47" s="2"/>
      <c r="V47" s="7">
        <f t="shared" si="33"/>
        <v>1.1910986537867657E-4</v>
      </c>
      <c r="W47" s="2"/>
      <c r="X47" s="6">
        <f t="shared" si="34"/>
        <v>-61.8</v>
      </c>
      <c r="Y47" s="2"/>
      <c r="Z47" s="7">
        <f t="shared" si="35"/>
        <v>-1</v>
      </c>
    </row>
    <row r="48" spans="1:26" s="26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-39.549999999999997</v>
      </c>
      <c r="I48" s="1"/>
      <c r="J48" s="5">
        <f t="shared" si="29"/>
        <v>-8.4053419295222157E-4</v>
      </c>
      <c r="K48" s="1"/>
      <c r="L48" s="1">
        <f t="shared" si="30"/>
        <v>39.549999999999997</v>
      </c>
      <c r="M48" s="1"/>
      <c r="N48" s="5">
        <f t="shared" si="31"/>
        <v>-1</v>
      </c>
      <c r="O48" s="13"/>
      <c r="P48" s="1">
        <f>SUM(OSRRefP22_7x_0)</f>
        <v>0</v>
      </c>
      <c r="Q48" s="1"/>
      <c r="R48" s="5">
        <f t="shared" si="32"/>
        <v>0</v>
      </c>
      <c r="S48" s="1"/>
      <c r="T48" s="1">
        <f>SUM(OSRRefT22_7x_0)</f>
        <v>-39.549999999999997</v>
      </c>
      <c r="U48" s="1"/>
      <c r="V48" s="5">
        <f t="shared" si="33"/>
        <v>-7.6226459154153051E-5</v>
      </c>
      <c r="W48" s="1"/>
      <c r="X48" s="1">
        <f t="shared" si="34"/>
        <v>39.549999999999997</v>
      </c>
      <c r="Y48" s="1"/>
      <c r="Z48" s="5">
        <f t="shared" si="35"/>
        <v>-1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28"/>
        <v>0</v>
      </c>
      <c r="G49" s="2"/>
      <c r="H49" s="6">
        <v>-39.549999999999997</v>
      </c>
      <c r="I49" s="2"/>
      <c r="J49" s="7">
        <f t="shared" si="29"/>
        <v>-8.4053419295222157E-4</v>
      </c>
      <c r="K49" s="2"/>
      <c r="L49" s="6">
        <f t="shared" si="30"/>
        <v>39.549999999999997</v>
      </c>
      <c r="M49" s="2"/>
      <c r="N49" s="7">
        <f t="shared" si="31"/>
        <v>-1</v>
      </c>
      <c r="O49" s="11"/>
      <c r="P49" s="6"/>
      <c r="Q49" s="2"/>
      <c r="R49" s="7">
        <f t="shared" si="32"/>
        <v>0</v>
      </c>
      <c r="S49" s="2"/>
      <c r="T49" s="6">
        <v>-39.549999999999997</v>
      </c>
      <c r="U49" s="2"/>
      <c r="V49" s="7">
        <f t="shared" si="33"/>
        <v>-7.6226459154153051E-5</v>
      </c>
      <c r="W49" s="2"/>
      <c r="X49" s="6">
        <f t="shared" si="34"/>
        <v>39.549999999999997</v>
      </c>
      <c r="Y49" s="2"/>
      <c r="Z49" s="7">
        <f t="shared" si="35"/>
        <v>-1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24</v>
      </c>
      <c r="E50" s="1"/>
      <c r="F50" s="5">
        <f t="shared" si="28"/>
        <v>5.0542052988709538E-4</v>
      </c>
      <c r="G50" s="1"/>
      <c r="H50" s="1">
        <f>SUM(OSRRefH22_8x_0)</f>
        <v>53.75</v>
      </c>
      <c r="I50" s="1"/>
      <c r="J50" s="5">
        <f t="shared" si="29"/>
        <v>1.1423189095115529E-3</v>
      </c>
      <c r="K50" s="1"/>
      <c r="L50" s="1">
        <f t="shared" si="30"/>
        <v>-29.75</v>
      </c>
      <c r="M50" s="1"/>
      <c r="N50" s="5">
        <f t="shared" si="31"/>
        <v>-0.55348837209302326</v>
      </c>
      <c r="O50" s="13"/>
      <c r="P50" s="1">
        <f>SUM(OSRRefP22_8x_0)</f>
        <v>1217.53</v>
      </c>
      <c r="Q50" s="1"/>
      <c r="R50" s="5">
        <f t="shared" si="32"/>
        <v>2.2838671710821781E-3</v>
      </c>
      <c r="S50" s="1"/>
      <c r="T50" s="1">
        <f>SUM(OSRRefT22_8x_0)</f>
        <v>1418.26</v>
      </c>
      <c r="U50" s="1"/>
      <c r="V50" s="5">
        <f t="shared" si="33"/>
        <v>2.7334750432356286E-3</v>
      </c>
      <c r="W50" s="1"/>
      <c r="X50" s="1">
        <f t="shared" si="34"/>
        <v>-200.73000000000002</v>
      </c>
      <c r="Y50" s="1"/>
      <c r="Z50" s="5">
        <f t="shared" si="35"/>
        <v>-0.14153258217816198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24</v>
      </c>
      <c r="E51" s="2"/>
      <c r="F51" s="7">
        <f t="shared" si="28"/>
        <v>5.0542052988709538E-4</v>
      </c>
      <c r="G51" s="2"/>
      <c r="H51" s="6">
        <v>53.75</v>
      </c>
      <c r="I51" s="2"/>
      <c r="J51" s="7">
        <f t="shared" si="29"/>
        <v>1.1423189095115529E-3</v>
      </c>
      <c r="K51" s="2"/>
      <c r="L51" s="6">
        <f t="shared" si="30"/>
        <v>-29.75</v>
      </c>
      <c r="M51" s="2"/>
      <c r="N51" s="7">
        <f t="shared" si="31"/>
        <v>-0.55348837209302326</v>
      </c>
      <c r="O51" s="11"/>
      <c r="P51" s="6">
        <v>1217.53</v>
      </c>
      <c r="Q51" s="2"/>
      <c r="R51" s="7">
        <f t="shared" si="32"/>
        <v>2.2838671710821781E-3</v>
      </c>
      <c r="S51" s="2"/>
      <c r="T51" s="6">
        <v>1418.26</v>
      </c>
      <c r="U51" s="2"/>
      <c r="V51" s="7">
        <f t="shared" si="33"/>
        <v>2.7334750432356286E-3</v>
      </c>
      <c r="W51" s="2"/>
      <c r="X51" s="6">
        <f t="shared" si="34"/>
        <v>-200.73000000000002</v>
      </c>
      <c r="Y51" s="2"/>
      <c r="Z51" s="7">
        <f t="shared" si="35"/>
        <v>-0.14153258217816198</v>
      </c>
    </row>
    <row r="52" spans="1:26" s="26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1150</v>
      </c>
      <c r="E52" s="1"/>
      <c r="F52" s="5">
        <f t="shared" si="28"/>
        <v>2.4218067057089988E-2</v>
      </c>
      <c r="G52" s="1"/>
      <c r="H52" s="1">
        <f>SUM(OSRRefH22_9x_0)</f>
        <v>1150</v>
      </c>
      <c r="I52" s="1"/>
      <c r="J52" s="5">
        <f t="shared" si="29"/>
        <v>2.4440311552340201E-2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SUM(OSRRefP22_9x_0)</f>
        <v>8050</v>
      </c>
      <c r="Q52" s="1"/>
      <c r="R52" s="5">
        <f t="shared" si="32"/>
        <v>1.5100351307328388E-2</v>
      </c>
      <c r="S52" s="1"/>
      <c r="T52" s="1">
        <f>SUM(OSRRefT22_9x_0)</f>
        <v>8050</v>
      </c>
      <c r="U52" s="1"/>
      <c r="V52" s="5">
        <f t="shared" si="33"/>
        <v>1.5515120004827613E-2</v>
      </c>
      <c r="W52" s="1"/>
      <c r="X52" s="1">
        <f t="shared" si="34"/>
        <v>0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"6273", " - ", "RENT")</f>
        <v xml:space="preserve">          6273 - RENT</v>
      </c>
      <c r="C53" s="11"/>
      <c r="D53" s="6">
        <v>1150</v>
      </c>
      <c r="E53" s="2"/>
      <c r="F53" s="7">
        <f t="shared" si="28"/>
        <v>2.4218067057089988E-2</v>
      </c>
      <c r="G53" s="2"/>
      <c r="H53" s="6">
        <v>1150</v>
      </c>
      <c r="I53" s="2"/>
      <c r="J53" s="7">
        <f t="shared" si="29"/>
        <v>2.4440311552340201E-2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8050</v>
      </c>
      <c r="Q53" s="2"/>
      <c r="R53" s="7">
        <f t="shared" si="32"/>
        <v>1.5100351307328388E-2</v>
      </c>
      <c r="S53" s="2"/>
      <c r="T53" s="6">
        <v>8050</v>
      </c>
      <c r="U53" s="2"/>
      <c r="V53" s="7">
        <f t="shared" si="33"/>
        <v>1.5515120004827613E-2</v>
      </c>
      <c r="W53" s="2"/>
      <c r="X53" s="6">
        <f t="shared" si="34"/>
        <v>0</v>
      </c>
      <c r="Y53" s="2"/>
      <c r="Z53" s="7">
        <f t="shared" si="35"/>
        <v>0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312</v>
      </c>
      <c r="E54" s="1"/>
      <c r="F54" s="5">
        <f t="shared" si="28"/>
        <v>6.5704668885322396E-3</v>
      </c>
      <c r="G54" s="1"/>
      <c r="H54" s="1">
        <f>SUM(OSRRefH22_10x_0)</f>
        <v>266.11</v>
      </c>
      <c r="I54" s="1"/>
      <c r="J54" s="5">
        <f t="shared" si="29"/>
        <v>5.6554880932115229E-3</v>
      </c>
      <c r="K54" s="1"/>
      <c r="L54" s="1">
        <f t="shared" si="30"/>
        <v>45.889999999999986</v>
      </c>
      <c r="M54" s="1"/>
      <c r="N54" s="5">
        <f t="shared" si="31"/>
        <v>0.17244748412310693</v>
      </c>
      <c r="O54" s="13"/>
      <c r="P54" s="1">
        <f>SUM(OSRRefP22_10x_0)</f>
        <v>5873.64</v>
      </c>
      <c r="Q54" s="1"/>
      <c r="R54" s="5">
        <f t="shared" si="32"/>
        <v>1.1017891609040537E-2</v>
      </c>
      <c r="S54" s="1"/>
      <c r="T54" s="1">
        <f>SUM(OSRRefT22_10x_0)</f>
        <v>2340.59</v>
      </c>
      <c r="U54" s="1"/>
      <c r="V54" s="5">
        <f t="shared" si="33"/>
        <v>4.5111223269688775E-3</v>
      </c>
      <c r="W54" s="1"/>
      <c r="X54" s="1">
        <f t="shared" si="34"/>
        <v>3533.05</v>
      </c>
      <c r="Y54" s="1"/>
      <c r="Z54" s="5">
        <f t="shared" si="35"/>
        <v>1.5094698345289008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139.83000000000001</v>
      </c>
      <c r="Q55" s="2"/>
      <c r="R55" s="7">
        <f t="shared" si="32"/>
        <v>2.6229591593835138E-4</v>
      </c>
      <c r="S55" s="2"/>
      <c r="T55" s="6">
        <v>134.94</v>
      </c>
      <c r="U55" s="2"/>
      <c r="V55" s="7">
        <f t="shared" si="33"/>
        <v>2.6007581285111033E-4</v>
      </c>
      <c r="W55" s="2"/>
      <c r="X55" s="6">
        <f t="shared" si="34"/>
        <v>4.8900000000000148</v>
      </c>
      <c r="Y55" s="2"/>
      <c r="Z55" s="7">
        <f t="shared" si="35"/>
        <v>3.6238328145842706E-2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312</v>
      </c>
      <c r="E56" s="2"/>
      <c r="F56" s="7">
        <f t="shared" si="28"/>
        <v>6.5704668885322396E-3</v>
      </c>
      <c r="G56" s="2"/>
      <c r="H56" s="6">
        <v>266.11</v>
      </c>
      <c r="I56" s="2"/>
      <c r="J56" s="7">
        <f t="shared" si="29"/>
        <v>5.6554880932115229E-3</v>
      </c>
      <c r="K56" s="2"/>
      <c r="L56" s="6">
        <f t="shared" si="30"/>
        <v>45.889999999999986</v>
      </c>
      <c r="M56" s="2"/>
      <c r="N56" s="7">
        <f t="shared" si="31"/>
        <v>0.17244748412310693</v>
      </c>
      <c r="O56" s="11"/>
      <c r="P56" s="6">
        <v>5733.81</v>
      </c>
      <c r="Q56" s="2"/>
      <c r="R56" s="7">
        <f t="shared" si="32"/>
        <v>1.0755595693102185E-2</v>
      </c>
      <c r="S56" s="2"/>
      <c r="T56" s="6">
        <v>2205.65</v>
      </c>
      <c r="U56" s="2"/>
      <c r="V56" s="7">
        <f t="shared" si="33"/>
        <v>4.2510465141177671E-3</v>
      </c>
      <c r="W56" s="2"/>
      <c r="X56" s="6">
        <f t="shared" si="34"/>
        <v>3528.1600000000003</v>
      </c>
      <c r="Y56" s="2"/>
      <c r="Z56" s="7">
        <f t="shared" si="35"/>
        <v>1.5996010246412622</v>
      </c>
    </row>
    <row r="57" spans="1:26" s="26" customFormat="1" outlineLevel="1" collapsed="1" x14ac:dyDescent="0.25">
      <c r="A57" s="27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SUM(OSRRefD22_11x_0)</f>
        <v>585.79999999999995</v>
      </c>
      <c r="E57" s="1"/>
      <c r="F57" s="5">
        <f t="shared" ref="F57:F60" si="36">IF(D$12=0,0,D57/D$12)</f>
        <v>1.2336472766994186E-2</v>
      </c>
      <c r="G57" s="1"/>
      <c r="H57" s="1">
        <f>SUM(OSRRefH22_11x_0)</f>
        <v>490.14</v>
      </c>
      <c r="I57" s="1"/>
      <c r="J57" s="5">
        <f t="shared" ref="J57:J60" si="37">IF(H$12=0,0,H57/H$12)</f>
        <v>1.0416673308055674E-2</v>
      </c>
      <c r="K57" s="1"/>
      <c r="L57" s="1">
        <f t="shared" ref="L57:L60" si="38">+D57-H57</f>
        <v>95.659999999999968</v>
      </c>
      <c r="M57" s="1"/>
      <c r="N57" s="5">
        <f t="shared" ref="N57:N60" si="39">IF(H57=0,0,L57/H57)</f>
        <v>0.19516872730240334</v>
      </c>
      <c r="O57" s="13"/>
      <c r="P57" s="1">
        <f>SUM(OSRRefP22_11x_0)</f>
        <v>3513.66</v>
      </c>
      <c r="Q57" s="1"/>
      <c r="R57" s="5">
        <f t="shared" ref="R57:R60" si="40">IF(P$12=0,0,P57/P$12)</f>
        <v>6.5909938353425424E-3</v>
      </c>
      <c r="S57" s="1"/>
      <c r="T57" s="1">
        <f>SUM(OSRRefT22_11x_0)</f>
        <v>3259.3</v>
      </c>
      <c r="U57" s="1"/>
      <c r="V57" s="5">
        <f t="shared" ref="V57:V60" si="41">IF(T$12=0,0,T57/T$12)</f>
        <v>6.2817926250602037E-3</v>
      </c>
      <c r="W57" s="1"/>
      <c r="X57" s="1">
        <f t="shared" ref="X57:X60" si="42">+P57-T57</f>
        <v>254.35999999999967</v>
      </c>
      <c r="Y57" s="1"/>
      <c r="Z57" s="5">
        <f t="shared" ref="Z57:Z60" si="43">IF(T57=0,0,X57/T57)</f>
        <v>7.8041297211057487E-2</v>
      </c>
    </row>
    <row r="58" spans="1:26" s="24" customFormat="1" hidden="1" outlineLevel="2" x14ac:dyDescent="0.25">
      <c r="A58" s="25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116.81</v>
      </c>
      <c r="E58" s="2"/>
      <c r="F58" s="7">
        <f t="shared" si="36"/>
        <v>2.4599238373379838E-3</v>
      </c>
      <c r="G58" s="2"/>
      <c r="H58" s="6">
        <v>116.81</v>
      </c>
      <c r="I58" s="2"/>
      <c r="J58" s="7">
        <f t="shared" si="37"/>
        <v>2.4824980803729206E-3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934.48</v>
      </c>
      <c r="Q58" s="2"/>
      <c r="R58" s="7">
        <f t="shared" si="40"/>
        <v>1.7529163092760537E-3</v>
      </c>
      <c r="S58" s="2"/>
      <c r="T58" s="6">
        <v>700.86</v>
      </c>
      <c r="U58" s="2"/>
      <c r="V58" s="7">
        <f t="shared" si="41"/>
        <v>1.3507983859109914E-3</v>
      </c>
      <c r="W58" s="2"/>
      <c r="X58" s="6">
        <f t="shared" si="42"/>
        <v>233.62</v>
      </c>
      <c r="Y58" s="2"/>
      <c r="Z58" s="7">
        <f t="shared" si="43"/>
        <v>0.33333333333333331</v>
      </c>
    </row>
    <row r="59" spans="1:26" s="24" customFormat="1" hidden="1" outlineLevel="2" x14ac:dyDescent="0.25">
      <c r="A59" s="25"/>
      <c r="B59" s="11" t="str">
        <f>CONCATENATE("          ", "6285", " - ", "JANITORIAL SERVICES")</f>
        <v xml:space="preserve">          6285 - JANITORIAL SERVICES</v>
      </c>
      <c r="C59" s="11"/>
      <c r="D59" s="6">
        <v>81.040000000000006</v>
      </c>
      <c r="E59" s="2"/>
      <c r="F59" s="7">
        <f t="shared" si="36"/>
        <v>1.7066366559187589E-3</v>
      </c>
      <c r="G59" s="2"/>
      <c r="H59" s="6">
        <v>75.680000000000007</v>
      </c>
      <c r="I59" s="2"/>
      <c r="J59" s="7">
        <f t="shared" si="37"/>
        <v>1.6083850245922665E-3</v>
      </c>
      <c r="K59" s="2"/>
      <c r="L59" s="6">
        <f t="shared" si="38"/>
        <v>5.3599999999999994</v>
      </c>
      <c r="M59" s="2"/>
      <c r="N59" s="7">
        <f t="shared" si="39"/>
        <v>7.0824524312896389E-2</v>
      </c>
      <c r="O59" s="11"/>
      <c r="P59" s="6">
        <v>435.12</v>
      </c>
      <c r="Q59" s="2"/>
      <c r="R59" s="7">
        <f t="shared" si="40"/>
        <v>8.1620681501176748E-4</v>
      </c>
      <c r="S59" s="2"/>
      <c r="T59" s="6">
        <v>426.93</v>
      </c>
      <c r="U59" s="2"/>
      <c r="V59" s="7">
        <f t="shared" si="41"/>
        <v>8.2284101660385744E-4</v>
      </c>
      <c r="W59" s="2"/>
      <c r="X59" s="6">
        <f t="shared" si="42"/>
        <v>8.1899999999999977</v>
      </c>
      <c r="Y59" s="2"/>
      <c r="Z59" s="7">
        <f t="shared" si="43"/>
        <v>1.918347270044269E-2</v>
      </c>
    </row>
    <row r="60" spans="1:26" s="24" customFormat="1" hidden="1" outlineLevel="2" x14ac:dyDescent="0.25">
      <c r="A60" s="25"/>
      <c r="B60" s="11" t="str">
        <f>CONCATENATE("          ", "6286", " - ", "LAUNDRY EXPENSE")</f>
        <v xml:space="preserve">          6286 - LAUNDRY EXPENSE</v>
      </c>
      <c r="C60" s="11"/>
      <c r="D60" s="6">
        <v>387.95</v>
      </c>
      <c r="E60" s="2"/>
      <c r="F60" s="7">
        <f t="shared" si="36"/>
        <v>8.1699122737374438E-3</v>
      </c>
      <c r="G60" s="2"/>
      <c r="H60" s="6">
        <v>297.64999999999998</v>
      </c>
      <c r="I60" s="2"/>
      <c r="J60" s="7">
        <f t="shared" si="37"/>
        <v>6.3257902030904867E-3</v>
      </c>
      <c r="K60" s="2"/>
      <c r="L60" s="6">
        <f t="shared" si="38"/>
        <v>90.300000000000011</v>
      </c>
      <c r="M60" s="2"/>
      <c r="N60" s="7">
        <f t="shared" si="39"/>
        <v>0.30337644884931975</v>
      </c>
      <c r="O60" s="11"/>
      <c r="P60" s="6">
        <v>2144.06</v>
      </c>
      <c r="Q60" s="2"/>
      <c r="R60" s="7">
        <f t="shared" si="40"/>
        <v>4.0218707110547206E-3</v>
      </c>
      <c r="S60" s="2"/>
      <c r="T60" s="6">
        <v>2131.5100000000002</v>
      </c>
      <c r="U60" s="2"/>
      <c r="V60" s="7">
        <f t="shared" si="41"/>
        <v>4.1081532225453552E-3</v>
      </c>
      <c r="W60" s="2"/>
      <c r="X60" s="6">
        <f t="shared" si="42"/>
        <v>12.549999999999727</v>
      </c>
      <c r="Y60" s="2"/>
      <c r="Z60" s="7">
        <f t="shared" si="43"/>
        <v>5.8878447673244442E-3</v>
      </c>
    </row>
    <row r="61" spans="1:26" s="26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SUM(OSRRefD22_12x_0)</f>
        <v>0</v>
      </c>
      <c r="E61" s="1"/>
      <c r="F61" s="5">
        <f t="shared" ref="F61:F70" si="44">IF(D$12=0,0,D61/D$12)</f>
        <v>0</v>
      </c>
      <c r="G61" s="1"/>
      <c r="H61" s="1">
        <f>SUM(OSRRefH22_12x_0)</f>
        <v>0</v>
      </c>
      <c r="I61" s="1"/>
      <c r="J61" s="5">
        <f t="shared" ref="J61:J70" si="45">IF(H$12=0,0,H61/H$12)</f>
        <v>0</v>
      </c>
      <c r="K61" s="1"/>
      <c r="L61" s="1">
        <f t="shared" ref="L61:L70" si="46">+D61-H61</f>
        <v>0</v>
      </c>
      <c r="M61" s="1"/>
      <c r="N61" s="5">
        <f t="shared" ref="N61:N70" si="47">IF(H61=0,0,L61/H61)</f>
        <v>0</v>
      </c>
      <c r="O61" s="13"/>
      <c r="P61" s="1">
        <f>SUM(OSRRefP22_12x_0)</f>
        <v>0</v>
      </c>
      <c r="Q61" s="1"/>
      <c r="R61" s="5">
        <f t="shared" ref="R61:R70" si="48">IF(P$12=0,0,P61/P$12)</f>
        <v>0</v>
      </c>
      <c r="S61" s="1"/>
      <c r="T61" s="1">
        <f>SUM(OSRRefT22_12x_0)</f>
        <v>45</v>
      </c>
      <c r="U61" s="1"/>
      <c r="V61" s="5">
        <f t="shared" ref="V61:V70" si="49">IF(T$12=0,0,T61/T$12)</f>
        <v>8.6730484499036341E-5</v>
      </c>
      <c r="W61" s="1"/>
      <c r="X61" s="1">
        <f t="shared" ref="X61:X70" si="50">+P61-T61</f>
        <v>-45</v>
      </c>
      <c r="Y61" s="1"/>
      <c r="Z61" s="5">
        <f t="shared" ref="Z61:Z70" si="51">IF(T61=0,0,X61/T61)</f>
        <v>-1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45</v>
      </c>
      <c r="U62" s="2"/>
      <c r="V62" s="7">
        <f t="shared" si="49"/>
        <v>8.6730484499036341E-5</v>
      </c>
      <c r="W62" s="2"/>
      <c r="X62" s="6">
        <f t="shared" si="50"/>
        <v>-45</v>
      </c>
      <c r="Y62" s="2"/>
      <c r="Z62" s="7">
        <f t="shared" si="51"/>
        <v>-1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SUM(OSRRefD22_13x_0)</f>
        <v>556.02</v>
      </c>
      <c r="E63" s="1"/>
      <c r="F63" s="5">
        <f t="shared" si="44"/>
        <v>1.1709330126159281E-2</v>
      </c>
      <c r="G63" s="1"/>
      <c r="H63" s="1">
        <f>SUM(OSRRefH22_13x_0)</f>
        <v>839.81999999999994</v>
      </c>
      <c r="I63" s="1"/>
      <c r="J63" s="5">
        <f t="shared" si="45"/>
        <v>1.7848228215553343E-2</v>
      </c>
      <c r="K63" s="1"/>
      <c r="L63" s="1">
        <f t="shared" si="46"/>
        <v>-283.79999999999995</v>
      </c>
      <c r="M63" s="1"/>
      <c r="N63" s="5">
        <f t="shared" si="47"/>
        <v>-0.33792955633350003</v>
      </c>
      <c r="O63" s="13"/>
      <c r="P63" s="1">
        <f>SUM(OSRRefP22_13x_0)</f>
        <v>12624.66</v>
      </c>
      <c r="Q63" s="1"/>
      <c r="R63" s="5">
        <f t="shared" si="48"/>
        <v>2.3681590203177193E-2</v>
      </c>
      <c r="S63" s="1"/>
      <c r="T63" s="1">
        <f>SUM(OSRRefT22_13x_0)</f>
        <v>10825.43</v>
      </c>
      <c r="U63" s="1"/>
      <c r="V63" s="5">
        <f t="shared" si="49"/>
        <v>2.0864328640231179E-2</v>
      </c>
      <c r="W63" s="1"/>
      <c r="X63" s="1">
        <f t="shared" si="50"/>
        <v>1799.2299999999996</v>
      </c>
      <c r="Y63" s="1"/>
      <c r="Z63" s="5">
        <f t="shared" si="51"/>
        <v>0.16620402145688434</v>
      </c>
    </row>
    <row r="64" spans="1:26" s="24" customFormat="1" hidden="1" outlineLevel="2" x14ac:dyDescent="0.25">
      <c r="A64" s="25"/>
      <c r="B64" s="11" t="str">
        <f>CONCATENATE("          ", "6234", " - ", "EXPENDABLE SUPPLIES &amp; EQUIPMEN")</f>
        <v xml:space="preserve">          6234 - EXPENDABLE SUPPLIES &amp; EQUIPMEN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354.71</v>
      </c>
      <c r="Q64" s="2"/>
      <c r="R64" s="7">
        <f t="shared" si="48"/>
        <v>6.653721257419196E-4</v>
      </c>
      <c r="S64" s="2"/>
      <c r="T64" s="6"/>
      <c r="U64" s="2"/>
      <c r="V64" s="7">
        <f t="shared" si="49"/>
        <v>0</v>
      </c>
      <c r="W64" s="2"/>
      <c r="X64" s="6">
        <f t="shared" si="50"/>
        <v>354.71</v>
      </c>
      <c r="Y64" s="2"/>
      <c r="Z64" s="7">
        <f t="shared" si="51"/>
        <v>0</v>
      </c>
    </row>
    <row r="65" spans="1:26" s="24" customFormat="1" hidden="1" outlineLevel="2" x14ac:dyDescent="0.25">
      <c r="A65" s="25"/>
      <c r="B65" s="11" t="str">
        <f>CONCATENATE("          ", "6237", " - ", "JANITORIAL SUPPLIES")</f>
        <v xml:space="preserve">          6237 - JANITORIAL SUPPLIES</v>
      </c>
      <c r="C65" s="11"/>
      <c r="D65" s="6">
        <v>35.270000000000003</v>
      </c>
      <c r="E65" s="2"/>
      <c r="F65" s="7">
        <f t="shared" si="44"/>
        <v>7.4275758704657729E-4</v>
      </c>
      <c r="G65" s="2"/>
      <c r="H65" s="6">
        <v>494.63</v>
      </c>
      <c r="I65" s="2"/>
      <c r="J65" s="7">
        <f t="shared" si="45"/>
        <v>1.0512096785333942E-2</v>
      </c>
      <c r="K65" s="2"/>
      <c r="L65" s="6">
        <f t="shared" si="46"/>
        <v>-459.36</v>
      </c>
      <c r="M65" s="2"/>
      <c r="N65" s="7">
        <f t="shared" si="47"/>
        <v>-0.92869417544427146</v>
      </c>
      <c r="O65" s="11"/>
      <c r="P65" s="6">
        <v>1277.05</v>
      </c>
      <c r="Q65" s="2"/>
      <c r="R65" s="7">
        <f t="shared" si="48"/>
        <v>2.3955159797544993E-3</v>
      </c>
      <c r="S65" s="2"/>
      <c r="T65" s="6">
        <v>1356.57</v>
      </c>
      <c r="U65" s="2"/>
      <c r="V65" s="7">
        <f t="shared" si="49"/>
        <v>2.6145771857079493E-3</v>
      </c>
      <c r="W65" s="2"/>
      <c r="X65" s="6">
        <f t="shared" si="50"/>
        <v>-79.519999999999982</v>
      </c>
      <c r="Y65" s="2"/>
      <c r="Z65" s="7">
        <f t="shared" si="51"/>
        <v>-5.8618427357231828E-2</v>
      </c>
    </row>
    <row r="66" spans="1:26" s="24" customFormat="1" hidden="1" outlineLevel="2" x14ac:dyDescent="0.25">
      <c r="A66" s="25"/>
      <c r="B66" s="11" t="str">
        <f>CONCATENATE("          ", "6239", " - ", "KITCHEN SUPPLIES")</f>
        <v xml:space="preserve">          6239 - KITCHEN SUPPLIES</v>
      </c>
      <c r="C66" s="11"/>
      <c r="D66" s="6">
        <v>63.92</v>
      </c>
      <c r="E66" s="2"/>
      <c r="F66" s="7">
        <f t="shared" si="44"/>
        <v>1.3461033445992974E-3</v>
      </c>
      <c r="G66" s="2"/>
      <c r="H66" s="6">
        <v>21.52</v>
      </c>
      <c r="I66" s="2"/>
      <c r="J66" s="7">
        <f t="shared" si="45"/>
        <v>4.5735261270118358E-4</v>
      </c>
      <c r="K66" s="2"/>
      <c r="L66" s="6">
        <f t="shared" si="46"/>
        <v>42.400000000000006</v>
      </c>
      <c r="M66" s="2"/>
      <c r="N66" s="7">
        <f t="shared" si="47"/>
        <v>1.9702602230483275</v>
      </c>
      <c r="O66" s="11"/>
      <c r="P66" s="6">
        <v>63.92</v>
      </c>
      <c r="Q66" s="2"/>
      <c r="R66" s="7">
        <f t="shared" si="48"/>
        <v>1.1990241684030195E-4</v>
      </c>
      <c r="S66" s="2"/>
      <c r="T66" s="6">
        <v>21.52</v>
      </c>
      <c r="U66" s="2"/>
      <c r="V66" s="7">
        <f t="shared" si="49"/>
        <v>4.1476445031539155E-5</v>
      </c>
      <c r="W66" s="2"/>
      <c r="X66" s="6">
        <f t="shared" si="50"/>
        <v>42.400000000000006</v>
      </c>
      <c r="Y66" s="2"/>
      <c r="Z66" s="7">
        <f t="shared" si="51"/>
        <v>1.9702602230483275</v>
      </c>
    </row>
    <row r="67" spans="1:26" s="24" customFormat="1" hidden="1" outlineLevel="2" x14ac:dyDescent="0.25">
      <c r="A67" s="25"/>
      <c r="B67" s="11" t="str">
        <f>CONCATENATE("          ", "6241", " - ", "OFFICE EXPENSE")</f>
        <v xml:space="preserve">          6241 - OFFICE EXPENSE</v>
      </c>
      <c r="C67" s="11"/>
      <c r="D67" s="6">
        <v>245.34</v>
      </c>
      <c r="E67" s="2"/>
      <c r="F67" s="7">
        <f t="shared" si="44"/>
        <v>5.1666613667708328E-3</v>
      </c>
      <c r="G67" s="2"/>
      <c r="H67" s="6">
        <v>182.95</v>
      </c>
      <c r="I67" s="2"/>
      <c r="J67" s="7">
        <f t="shared" si="45"/>
        <v>3.8881347813049037E-3</v>
      </c>
      <c r="K67" s="2"/>
      <c r="L67" s="6">
        <f t="shared" si="46"/>
        <v>62.390000000000015</v>
      </c>
      <c r="M67" s="2"/>
      <c r="N67" s="7">
        <f t="shared" si="47"/>
        <v>0.34102213719595525</v>
      </c>
      <c r="O67" s="11"/>
      <c r="P67" s="6">
        <v>1347.59</v>
      </c>
      <c r="Q67" s="2"/>
      <c r="R67" s="7">
        <f t="shared" si="48"/>
        <v>2.5278363252475358E-3</v>
      </c>
      <c r="S67" s="2"/>
      <c r="T67" s="6">
        <v>2141.58</v>
      </c>
      <c r="U67" s="2"/>
      <c r="V67" s="7">
        <f t="shared" si="49"/>
        <v>4.1275615776321392E-3</v>
      </c>
      <c r="W67" s="2"/>
      <c r="X67" s="6">
        <f t="shared" si="50"/>
        <v>-793.99</v>
      </c>
      <c r="Y67" s="2"/>
      <c r="Z67" s="7">
        <f t="shared" si="51"/>
        <v>-0.37074963344820183</v>
      </c>
    </row>
    <row r="68" spans="1:26" s="24" customFormat="1" hidden="1" outlineLevel="2" x14ac:dyDescent="0.25">
      <c r="A68" s="25"/>
      <c r="B68" s="11" t="str">
        <f>CONCATENATE("          ", "6243", " - ", "PAPER SUPPLIES")</f>
        <v xml:space="preserve">          6243 - PAPER SUPPLIES</v>
      </c>
      <c r="C68" s="11"/>
      <c r="D68" s="6">
        <v>125.01</v>
      </c>
      <c r="E68" s="2"/>
      <c r="F68" s="7">
        <f t="shared" si="44"/>
        <v>2.6326091850494083E-3</v>
      </c>
      <c r="G68" s="2"/>
      <c r="H68" s="6"/>
      <c r="I68" s="2"/>
      <c r="J68" s="7">
        <f t="shared" si="45"/>
        <v>0</v>
      </c>
      <c r="K68" s="2"/>
      <c r="L68" s="6">
        <f t="shared" si="46"/>
        <v>125.01</v>
      </c>
      <c r="M68" s="2"/>
      <c r="N68" s="7">
        <f t="shared" si="47"/>
        <v>0</v>
      </c>
      <c r="O68" s="11"/>
      <c r="P68" s="6">
        <v>2096.3000000000002</v>
      </c>
      <c r="Q68" s="2"/>
      <c r="R68" s="7">
        <f t="shared" si="48"/>
        <v>3.932281546031367E-3</v>
      </c>
      <c r="S68" s="2"/>
      <c r="T68" s="6">
        <v>3784.83</v>
      </c>
      <c r="U68" s="2"/>
      <c r="V68" s="7">
        <f t="shared" si="49"/>
        <v>7.2946697699219493E-3</v>
      </c>
      <c r="W68" s="2"/>
      <c r="X68" s="6">
        <f t="shared" si="50"/>
        <v>-1688.5299999999997</v>
      </c>
      <c r="Y68" s="2"/>
      <c r="Z68" s="7">
        <f t="shared" si="51"/>
        <v>-0.446131001920826</v>
      </c>
    </row>
    <row r="69" spans="1:26" s="24" customFormat="1" hidden="1" outlineLevel="2" x14ac:dyDescent="0.25">
      <c r="A69" s="25"/>
      <c r="B69" s="11" t="str">
        <f>CONCATENATE("          ", "6247", " - ", "STORE SUPPLIES")</f>
        <v xml:space="preserve">          6247 - STORE SUPPLIES</v>
      </c>
      <c r="C69" s="11"/>
      <c r="D69" s="6">
        <v>86.48</v>
      </c>
      <c r="E69" s="2"/>
      <c r="F69" s="7">
        <f t="shared" si="44"/>
        <v>1.8211986426931671E-3</v>
      </c>
      <c r="G69" s="2"/>
      <c r="H69" s="6">
        <v>140.72</v>
      </c>
      <c r="I69" s="2"/>
      <c r="J69" s="7">
        <f t="shared" si="45"/>
        <v>2.9906440362133155E-3</v>
      </c>
      <c r="K69" s="2"/>
      <c r="L69" s="6">
        <f t="shared" si="46"/>
        <v>-54.239999999999995</v>
      </c>
      <c r="M69" s="2"/>
      <c r="N69" s="7">
        <f t="shared" si="47"/>
        <v>-0.38544627629334843</v>
      </c>
      <c r="O69" s="11"/>
      <c r="P69" s="6">
        <v>7485.09</v>
      </c>
      <c r="Q69" s="2"/>
      <c r="R69" s="7">
        <f t="shared" si="48"/>
        <v>1.4040681809561572E-2</v>
      </c>
      <c r="S69" s="2"/>
      <c r="T69" s="6">
        <v>3333.06</v>
      </c>
      <c r="U69" s="2"/>
      <c r="V69" s="7">
        <f t="shared" si="49"/>
        <v>6.4239535258746238E-3</v>
      </c>
      <c r="W69" s="2"/>
      <c r="X69" s="6">
        <f t="shared" si="50"/>
        <v>4152.0300000000007</v>
      </c>
      <c r="Y69" s="2"/>
      <c r="Z69" s="7">
        <f t="shared" si="51"/>
        <v>1.2457111483141621</v>
      </c>
    </row>
    <row r="70" spans="1:26" s="24" customFormat="1" hidden="1" outlineLevel="2" x14ac:dyDescent="0.25">
      <c r="A70" s="25"/>
      <c r="B70" s="11" t="str">
        <f>CONCATENATE("          ", "6248", " - ", "UNIFORMS")</f>
        <v xml:space="preserve">          6248 - UNIFORMS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/>
      <c r="Q70" s="2"/>
      <c r="R70" s="7">
        <f t="shared" si="48"/>
        <v>0</v>
      </c>
      <c r="S70" s="2"/>
      <c r="T70" s="6">
        <v>187.87</v>
      </c>
      <c r="U70" s="2"/>
      <c r="V70" s="7">
        <f t="shared" si="49"/>
        <v>3.6209013606297683E-4</v>
      </c>
      <c r="W70" s="2"/>
      <c r="X70" s="6">
        <f t="shared" si="50"/>
        <v>-187.87</v>
      </c>
      <c r="Y70" s="2"/>
      <c r="Z70" s="7">
        <f t="shared" si="51"/>
        <v>-1</v>
      </c>
    </row>
    <row r="71" spans="1:26" s="26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86</v>
      </c>
      <c r="E71" s="1"/>
      <c r="F71" s="5">
        <f t="shared" ref="F71:F74" si="52">IF(D$12=0,0,D71/D$12)</f>
        <v>1.8110902320954251E-3</v>
      </c>
      <c r="G71" s="1"/>
      <c r="H71" s="1">
        <f>SUM(OSRRefH22_14x_0)</f>
        <v>-24</v>
      </c>
      <c r="I71" s="1"/>
      <c r="J71" s="5">
        <f t="shared" ref="J71:J74" si="53">IF(H$12=0,0,H71/H$12)</f>
        <v>-5.1005867587492588E-4</v>
      </c>
      <c r="K71" s="1"/>
      <c r="L71" s="1">
        <f t="shared" ref="L71:L74" si="54">+D71-H71</f>
        <v>110</v>
      </c>
      <c r="M71" s="1"/>
      <c r="N71" s="5">
        <f t="shared" ref="N71:N74" si="55">IF(H71=0,0,L71/H71)</f>
        <v>-4.583333333333333</v>
      </c>
      <c r="O71" s="13"/>
      <c r="P71" s="1">
        <f>SUM(OSRRefP22_14x_0)</f>
        <v>317</v>
      </c>
      <c r="Q71" s="1"/>
      <c r="R71" s="5">
        <f t="shared" ref="R71:R74" si="56">IF(P$12=0,0,P71/P$12)</f>
        <v>5.946349521022483E-4</v>
      </c>
      <c r="S71" s="1"/>
      <c r="T71" s="1">
        <f>SUM(OSRRefT22_14x_0)</f>
        <v>192</v>
      </c>
      <c r="U71" s="1"/>
      <c r="V71" s="5">
        <f t="shared" ref="V71:V74" si="57">IF(T$12=0,0,T71/T$12)</f>
        <v>3.7005006719588842E-4</v>
      </c>
      <c r="W71" s="1"/>
      <c r="X71" s="1">
        <f t="shared" ref="X71:X74" si="58">+P71-T71</f>
        <v>125</v>
      </c>
      <c r="Y71" s="1"/>
      <c r="Z71" s="5">
        <f t="shared" ref="Z71:Z74" si="59">IF(T71=0,0,X71/T71)</f>
        <v>0.65104166666666663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86</v>
      </c>
      <c r="E72" s="2"/>
      <c r="F72" s="7">
        <f t="shared" si="52"/>
        <v>1.8110902320954251E-3</v>
      </c>
      <c r="G72" s="2"/>
      <c r="H72" s="6">
        <v>-24</v>
      </c>
      <c r="I72" s="2"/>
      <c r="J72" s="7">
        <f t="shared" si="53"/>
        <v>-5.1005867587492588E-4</v>
      </c>
      <c r="K72" s="2"/>
      <c r="L72" s="6">
        <f t="shared" si="54"/>
        <v>110</v>
      </c>
      <c r="M72" s="2"/>
      <c r="N72" s="7">
        <f t="shared" si="55"/>
        <v>-4.583333333333333</v>
      </c>
      <c r="O72" s="11"/>
      <c r="P72" s="6">
        <v>317</v>
      </c>
      <c r="Q72" s="2"/>
      <c r="R72" s="7">
        <f t="shared" si="56"/>
        <v>5.946349521022483E-4</v>
      </c>
      <c r="S72" s="2"/>
      <c r="T72" s="6">
        <v>192</v>
      </c>
      <c r="U72" s="2"/>
      <c r="V72" s="7">
        <f t="shared" si="57"/>
        <v>3.7005006719588842E-4</v>
      </c>
      <c r="W72" s="2"/>
      <c r="X72" s="6">
        <f t="shared" si="58"/>
        <v>125</v>
      </c>
      <c r="Y72" s="2"/>
      <c r="Z72" s="7">
        <f t="shared" si="59"/>
        <v>0.65104166666666663</v>
      </c>
    </row>
    <row r="73" spans="1:26" s="26" customFormat="1" outlineLevel="1" collapsed="1" x14ac:dyDescent="0.25">
      <c r="A73" s="27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SUM(OSRRefD22_15x_0)</f>
        <v>208</v>
      </c>
      <c r="E73" s="1"/>
      <c r="F73" s="5">
        <f t="shared" si="52"/>
        <v>4.3803112590214931E-3</v>
      </c>
      <c r="G73" s="1"/>
      <c r="H73" s="1">
        <f>SUM(OSRRefH22_15x_0)</f>
        <v>182</v>
      </c>
      <c r="I73" s="1"/>
      <c r="J73" s="5">
        <f t="shared" si="53"/>
        <v>3.8679449587181881E-3</v>
      </c>
      <c r="K73" s="1"/>
      <c r="L73" s="1">
        <f t="shared" si="54"/>
        <v>26</v>
      </c>
      <c r="M73" s="1"/>
      <c r="N73" s="5">
        <f t="shared" si="55"/>
        <v>0.14285714285714285</v>
      </c>
      <c r="O73" s="13"/>
      <c r="P73" s="1">
        <f>SUM(OSRRefP22_15x_0)</f>
        <v>1393</v>
      </c>
      <c r="Q73" s="1"/>
      <c r="R73" s="5">
        <f t="shared" si="56"/>
        <v>2.6130173131811733E-3</v>
      </c>
      <c r="S73" s="1"/>
      <c r="T73" s="1">
        <f>SUM(OSRRefT22_15x_0)</f>
        <v>948.68</v>
      </c>
      <c r="U73" s="1"/>
      <c r="V73" s="5">
        <f t="shared" si="57"/>
        <v>1.8284328007676842E-3</v>
      </c>
      <c r="W73" s="1"/>
      <c r="X73" s="1">
        <f t="shared" si="58"/>
        <v>444.32000000000005</v>
      </c>
      <c r="Y73" s="1"/>
      <c r="Z73" s="5">
        <f t="shared" si="59"/>
        <v>0.46835603153855893</v>
      </c>
    </row>
    <row r="74" spans="1:26" s="24" customFormat="1" hidden="1" outlineLevel="2" x14ac:dyDescent="0.25">
      <c r="A74" s="25"/>
      <c r="B74" s="11" t="str">
        <f>CONCATENATE("          ", "6274", " - ", "UTILITIES")</f>
        <v xml:space="preserve">          6274 - UTILITIES</v>
      </c>
      <c r="C74" s="11"/>
      <c r="D74" s="6">
        <v>208</v>
      </c>
      <c r="E74" s="2"/>
      <c r="F74" s="7">
        <f t="shared" si="52"/>
        <v>4.3803112590214931E-3</v>
      </c>
      <c r="G74" s="2"/>
      <c r="H74" s="6">
        <v>182</v>
      </c>
      <c r="I74" s="2"/>
      <c r="J74" s="7">
        <f t="shared" si="53"/>
        <v>3.8679449587181881E-3</v>
      </c>
      <c r="K74" s="2"/>
      <c r="L74" s="6">
        <f t="shared" si="54"/>
        <v>26</v>
      </c>
      <c r="M74" s="2"/>
      <c r="N74" s="7">
        <f t="shared" si="55"/>
        <v>0.14285714285714285</v>
      </c>
      <c r="O74" s="11"/>
      <c r="P74" s="6">
        <v>1393</v>
      </c>
      <c r="Q74" s="2"/>
      <c r="R74" s="7">
        <f t="shared" si="56"/>
        <v>2.6130173131811733E-3</v>
      </c>
      <c r="S74" s="2"/>
      <c r="T74" s="6">
        <v>948.68</v>
      </c>
      <c r="U74" s="2"/>
      <c r="V74" s="7">
        <f t="shared" si="57"/>
        <v>1.8284328007676842E-3</v>
      </c>
      <c r="W74" s="2"/>
      <c r="X74" s="6">
        <f t="shared" si="58"/>
        <v>444.32000000000005</v>
      </c>
      <c r="Y74" s="2"/>
      <c r="Z74" s="7">
        <f t="shared" si="59"/>
        <v>0.46835603153855893</v>
      </c>
    </row>
    <row r="75" spans="1:26" s="59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8" t="s">
        <v>3</v>
      </c>
      <c r="C78" s="28"/>
      <c r="D78" s="21">
        <f>+D20-D22+D76</f>
        <v>-262.54000000000451</v>
      </c>
      <c r="E78" s="14"/>
      <c r="F78" s="22">
        <f>IF(D$12=0,0,D78/D$12)</f>
        <v>-5.5288794131900122E-3</v>
      </c>
      <c r="G78" s="14"/>
      <c r="H78" s="21">
        <f>+H20-H22+H76</f>
        <v>-2862.7400000000052</v>
      </c>
      <c r="I78" s="14"/>
      <c r="J78" s="22">
        <f>IF(H$12=0,0,H78/H$12)</f>
        <v>-6.0840223907257837E-2</v>
      </c>
      <c r="K78" s="16"/>
      <c r="L78" s="21">
        <f>+D78-H78</f>
        <v>2600.2000000000007</v>
      </c>
      <c r="M78" s="16"/>
      <c r="N78" s="22">
        <f>IF(H78=0,0,L78/H78)</f>
        <v>-0.90829065859980163</v>
      </c>
      <c r="O78" s="29"/>
      <c r="P78" s="21">
        <f>+P20-P22+P76</f>
        <v>65344.320000000036</v>
      </c>
      <c r="Q78" s="14"/>
      <c r="R78" s="22">
        <f>IF(P$12=0,0,P78/P$12)</f>
        <v>0.1225741848370789</v>
      </c>
      <c r="S78" s="14"/>
      <c r="T78" s="21">
        <f>+T20-T22+T76</f>
        <v>88470.340000000026</v>
      </c>
      <c r="U78" s="14"/>
      <c r="V78" s="22">
        <f>IF(T$12=0,0,T78/T$12)</f>
        <v>0.1705127878220995</v>
      </c>
      <c r="W78" s="16"/>
      <c r="X78" s="21">
        <f>+P78-T78</f>
        <v>-23126.01999999999</v>
      </c>
      <c r="Y78" s="16"/>
      <c r="Z78" s="22">
        <f>IF(T78=0,0,X78/T78)</f>
        <v>-0.26139856589225252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>
        <v>3144.64</v>
      </c>
      <c r="E80" s="4"/>
      <c r="F80" s="12">
        <f>IF(D$12=0,0,D80/D$12)</f>
        <v>6.622356729600648E-2</v>
      </c>
      <c r="G80" s="4"/>
      <c r="H80" s="4">
        <v>1879.25</v>
      </c>
      <c r="I80" s="4"/>
      <c r="J80" s="12">
        <f>IF(H$12=0,0,H80/H$12)</f>
        <v>3.9938656943248108E-2</v>
      </c>
      <c r="K80" s="4"/>
      <c r="L80" s="4">
        <f>+D80-H80</f>
        <v>1265.3899999999999</v>
      </c>
      <c r="M80" s="4"/>
      <c r="N80" s="12">
        <f>IF(H80=0,0,L80/H80)</f>
        <v>0.67334841027005443</v>
      </c>
      <c r="O80" s="10"/>
      <c r="P80" s="4">
        <v>55594.8</v>
      </c>
      <c r="Q80" s="4"/>
      <c r="R80" s="12">
        <f>IF(P$12=0,0,P80/P$12)</f>
        <v>0.10428583985846712</v>
      </c>
      <c r="S80" s="4"/>
      <c r="T80" s="4">
        <v>52793.11</v>
      </c>
      <c r="U80" s="4"/>
      <c r="V80" s="12">
        <f>IF(T$12=0,0,T80/T$12)</f>
        <v>0.10175048907802046</v>
      </c>
      <c r="W80" s="4"/>
      <c r="X80" s="4">
        <f>+P80-T80</f>
        <v>2801.6900000000023</v>
      </c>
      <c r="Y80" s="4"/>
      <c r="Z80" s="12">
        <f>IF(T80=0,0,X80/T80)</f>
        <v>5.3069235739284959E-2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4</v>
      </c>
      <c r="C82" s="28"/>
      <c r="D82" s="34">
        <f>+D78-D80</f>
        <v>-3407.1800000000044</v>
      </c>
      <c r="E82" s="14"/>
      <c r="F82" s="31">
        <f>IF(D$12=0,0,D82/D$12)</f>
        <v>-7.1752446709196491E-2</v>
      </c>
      <c r="G82" s="14"/>
      <c r="H82" s="34">
        <f>+H78-H80</f>
        <v>-4741.9900000000052</v>
      </c>
      <c r="I82" s="14"/>
      <c r="J82" s="31">
        <f>IF(H$12=0,0,H82/H$12)</f>
        <v>-0.10077888085050594</v>
      </c>
      <c r="K82" s="16"/>
      <c r="L82" s="34">
        <f>D82-H82</f>
        <v>1334.8100000000009</v>
      </c>
      <c r="M82" s="16"/>
      <c r="N82" s="31">
        <f>IF(H82=0,0,L82/H82)</f>
        <v>-0.28148730807108396</v>
      </c>
      <c r="O82" s="29"/>
      <c r="P82" s="34">
        <f>+P78-P80</f>
        <v>9749.5200000000332</v>
      </c>
      <c r="Q82" s="14"/>
      <c r="R82" s="31">
        <f>IF(P$12=0,0,P82/P$12)</f>
        <v>1.8288344978611773E-2</v>
      </c>
      <c r="S82" s="14"/>
      <c r="T82" s="34">
        <f>+T78-T80</f>
        <v>35677.230000000025</v>
      </c>
      <c r="U82" s="14"/>
      <c r="V82" s="31">
        <f>IF(T$12=0,0,T82/T$12)</f>
        <v>6.8762298744079034E-2</v>
      </c>
      <c r="W82" s="16"/>
      <c r="X82" s="34">
        <f>P82-T82</f>
        <v>-25927.709999999992</v>
      </c>
      <c r="Y82" s="16"/>
      <c r="Z82" s="31">
        <f>IF(T82=0,0,X82/T82)</f>
        <v>-0.72672990588114528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5</v>
      </c>
      <c r="C85" s="28"/>
      <c r="D85" s="30">
        <f>SUM(D82:D84)</f>
        <v>-3407.1800000000044</v>
      </c>
      <c r="E85" s="14"/>
      <c r="F85" s="33">
        <f>IF(D$12=0,0,D85/D$12)</f>
        <v>-7.1752446709196491E-2</v>
      </c>
      <c r="G85" s="14"/>
      <c r="H85" s="30">
        <f>SUM(H82:H84)</f>
        <v>-4741.9900000000052</v>
      </c>
      <c r="I85" s="14"/>
      <c r="J85" s="33">
        <f>IF(H$12=0,0,H85/H$12)</f>
        <v>-0.10077888085050594</v>
      </c>
      <c r="K85" s="16"/>
      <c r="L85" s="30">
        <f>+D85-H85</f>
        <v>1334.8100000000009</v>
      </c>
      <c r="M85" s="16"/>
      <c r="N85" s="33">
        <f>IF(H85=0,0,L85/H85)</f>
        <v>-0.28148730807108396</v>
      </c>
      <c r="O85" s="29"/>
      <c r="P85" s="30">
        <f>SUM(P82:P84)</f>
        <v>9749.5200000000332</v>
      </c>
      <c r="Q85" s="14"/>
      <c r="R85" s="33">
        <f>IF(P$12=0,0,P85/P$12)</f>
        <v>1.8288344978611773E-2</v>
      </c>
      <c r="S85" s="14"/>
      <c r="T85" s="30">
        <f>SUM(T82:T84)</f>
        <v>35677.230000000025</v>
      </c>
      <c r="U85" s="14"/>
      <c r="V85" s="33">
        <f>IF(T$12=0,0,T85/T$12)</f>
        <v>6.8762298744079034E-2</v>
      </c>
      <c r="W85" s="16"/>
      <c r="X85" s="30">
        <f>+P85-T85</f>
        <v>-25927.709999999992</v>
      </c>
      <c r="Y85" s="16"/>
      <c r="Z85" s="33">
        <f>IF(T85=0,0,X85/T85)</f>
        <v>-0.72672990588114528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1">
        <v>43879.553984027778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5" t="s">
        <v>313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8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","325", " - ", "Outpost C-Store")</f>
        <v>Department 325 - Outpost C-Store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49540.77</v>
      </c>
      <c r="E12" s="4"/>
      <c r="F12" s="12"/>
      <c r="G12" s="4"/>
      <c r="H12" s="4">
        <f>SUM(OSRRefH13x_0)</f>
        <v>43567.990000000005</v>
      </c>
      <c r="I12" s="4"/>
      <c r="J12" s="12"/>
      <c r="K12" s="4"/>
      <c r="L12" s="4">
        <f t="shared" ref="L12:L14" si="0">+D12-H12</f>
        <v>5972.7799999999916</v>
      </c>
      <c r="M12" s="4"/>
      <c r="N12" s="12">
        <f t="shared" ref="N12:N14" si="1">IF(H12=0,0,L12/H12)</f>
        <v>0.13709101567458107</v>
      </c>
      <c r="O12" s="10"/>
      <c r="P12" s="4">
        <f>SUM(OSRRefP13x_0)</f>
        <v>452216.81</v>
      </c>
      <c r="Q12" s="4"/>
      <c r="R12" s="12"/>
      <c r="S12" s="4"/>
      <c r="T12" s="4">
        <f>SUM(OSRRefT13x_0)</f>
        <v>416566.16000000003</v>
      </c>
      <c r="U12" s="4"/>
      <c r="V12" s="12"/>
      <c r="W12" s="4"/>
      <c r="X12" s="4">
        <f t="shared" ref="X12:X14" si="2">+P12-T12</f>
        <v>35650.649999999965</v>
      </c>
      <c r="Y12" s="4"/>
      <c r="Z12" s="12">
        <f t="shared" ref="Z12:Z14" si="3">IF(T12=0,0,X12/T12)</f>
        <v>8.5582203796870981E-2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--8569.18</f>
        <v>8569.18</v>
      </c>
      <c r="E13" s="2"/>
      <c r="F13" s="19"/>
      <c r="G13" s="2"/>
      <c r="H13" s="2">
        <f>--9583.02</f>
        <v>9583.02</v>
      </c>
      <c r="I13" s="2"/>
      <c r="J13" s="19"/>
      <c r="K13" s="2"/>
      <c r="L13" s="2">
        <f t="shared" si="0"/>
        <v>-1013.8400000000001</v>
      </c>
      <c r="M13" s="2"/>
      <c r="N13" s="19">
        <f t="shared" si="1"/>
        <v>-0.10579545905153073</v>
      </c>
      <c r="O13" s="11"/>
      <c r="P13" s="2">
        <f>--81471.17</f>
        <v>81471.17</v>
      </c>
      <c r="Q13" s="2"/>
      <c r="R13" s="19"/>
      <c r="S13" s="2"/>
      <c r="T13" s="2">
        <f>--94271.85</f>
        <v>94271.85</v>
      </c>
      <c r="U13" s="2"/>
      <c r="V13" s="19"/>
      <c r="W13" s="2"/>
      <c r="X13" s="2">
        <f t="shared" si="2"/>
        <v>-12800.680000000008</v>
      </c>
      <c r="Y13" s="2"/>
      <c r="Z13" s="19">
        <f t="shared" si="3"/>
        <v>-0.13578475440972046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--40971.59</f>
        <v>40971.589999999997</v>
      </c>
      <c r="E14" s="2"/>
      <c r="F14" s="19"/>
      <c r="G14" s="2"/>
      <c r="H14" s="2">
        <f>--33984.97</f>
        <v>33984.97</v>
      </c>
      <c r="I14" s="2"/>
      <c r="J14" s="19"/>
      <c r="K14" s="2"/>
      <c r="L14" s="2">
        <f t="shared" si="0"/>
        <v>6986.6199999999953</v>
      </c>
      <c r="M14" s="2"/>
      <c r="N14" s="19">
        <f t="shared" si="1"/>
        <v>0.20557970185055321</v>
      </c>
      <c r="O14" s="11"/>
      <c r="P14" s="2">
        <f>--370745.64</f>
        <v>370745.64</v>
      </c>
      <c r="Q14" s="2"/>
      <c r="R14" s="19"/>
      <c r="S14" s="2"/>
      <c r="T14" s="2">
        <f>--322294.31</f>
        <v>322294.31</v>
      </c>
      <c r="U14" s="2"/>
      <c r="V14" s="19"/>
      <c r="W14" s="2"/>
      <c r="X14" s="2">
        <f t="shared" si="2"/>
        <v>48451.330000000016</v>
      </c>
      <c r="Y14" s="2"/>
      <c r="Z14" s="19">
        <f t="shared" si="3"/>
        <v>0.150332564046818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23780.32</v>
      </c>
      <c r="E16" s="4"/>
      <c r="F16" s="12">
        <f t="shared" ref="F16:F18" si="4">IF(D$12=0,0,D16/D$12)</f>
        <v>0.48001514712024057</v>
      </c>
      <c r="G16" s="4"/>
      <c r="H16" s="4">
        <f>SUM(OSRRefH16x_0)</f>
        <v>20577.78</v>
      </c>
      <c r="I16" s="4"/>
      <c r="J16" s="12">
        <f t="shared" ref="J16:J18" si="5">IF(H$12=0,0,H16/H$12)</f>
        <v>0.47231419213968778</v>
      </c>
      <c r="K16" s="4"/>
      <c r="L16" s="4">
        <f t="shared" ref="L16:L18" si="6">+D16-H16</f>
        <v>3202.5400000000009</v>
      </c>
      <c r="M16" s="4"/>
      <c r="N16" s="12">
        <f t="shared" ref="N16:N18" si="7">IF(H16=0,0,L16/H16)</f>
        <v>0.15563097671371748</v>
      </c>
      <c r="O16" s="10"/>
      <c r="P16" s="4">
        <f>SUM(OSRRefP16x_0)</f>
        <v>207330.19999999998</v>
      </c>
      <c r="Q16" s="4"/>
      <c r="R16" s="12">
        <f t="shared" ref="R16:R18" si="8">IF(P$12=0,0,P16/P$12)</f>
        <v>0.45847521678815961</v>
      </c>
      <c r="S16" s="4"/>
      <c r="T16" s="4">
        <f>SUM(OSRRefT16x_0)</f>
        <v>193149.3</v>
      </c>
      <c r="U16" s="4"/>
      <c r="V16" s="12">
        <f t="shared" ref="V16:V18" si="9">IF(T$12=0,0,T16/T$12)</f>
        <v>0.46367016466243915</v>
      </c>
      <c r="W16" s="4"/>
      <c r="X16" s="4">
        <f t="shared" ref="X16:X18" si="10">+P16-T16</f>
        <v>14180.899999999994</v>
      </c>
      <c r="Y16" s="4"/>
      <c r="Z16" s="12">
        <f t="shared" ref="Z16:Z18" si="11">IF(T16=0,0,X16/T16)</f>
        <v>7.3419370404138123E-2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26509.31</v>
      </c>
      <c r="E17" s="2"/>
      <c r="F17" s="19">
        <f t="shared" si="4"/>
        <v>0.53510088761236463</v>
      </c>
      <c r="G17" s="2"/>
      <c r="H17" s="2">
        <v>25052.62</v>
      </c>
      <c r="I17" s="2"/>
      <c r="J17" s="19">
        <f t="shared" si="5"/>
        <v>0.57502354366129804</v>
      </c>
      <c r="K17" s="2"/>
      <c r="L17" s="2">
        <f t="shared" si="6"/>
        <v>1456.6900000000023</v>
      </c>
      <c r="M17" s="2"/>
      <c r="N17" s="19">
        <f t="shared" si="7"/>
        <v>5.8145215949469649E-2</v>
      </c>
      <c r="O17" s="11"/>
      <c r="P17" s="2">
        <v>213688.62999999998</v>
      </c>
      <c r="Q17" s="2"/>
      <c r="R17" s="19">
        <f t="shared" si="8"/>
        <v>0.47253579538540369</v>
      </c>
      <c r="S17" s="2"/>
      <c r="T17" s="2">
        <v>195084.55</v>
      </c>
      <c r="U17" s="2"/>
      <c r="V17" s="19">
        <f t="shared" si="9"/>
        <v>0.46831588528458473</v>
      </c>
      <c r="W17" s="2"/>
      <c r="X17" s="2">
        <f t="shared" si="10"/>
        <v>18604.079999999987</v>
      </c>
      <c r="Y17" s="2"/>
      <c r="Z17" s="19">
        <f t="shared" si="11"/>
        <v>9.5364189527053722E-2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-2728.99</v>
      </c>
      <c r="E18" s="2"/>
      <c r="F18" s="19">
        <f t="shared" si="4"/>
        <v>-5.5085740492123961E-2</v>
      </c>
      <c r="G18" s="2"/>
      <c r="H18" s="2">
        <v>-4474.84</v>
      </c>
      <c r="I18" s="2"/>
      <c r="J18" s="19">
        <f t="shared" si="5"/>
        <v>-0.10270935152161023</v>
      </c>
      <c r="K18" s="2"/>
      <c r="L18" s="2">
        <f t="shared" si="6"/>
        <v>1745.8500000000004</v>
      </c>
      <c r="M18" s="2"/>
      <c r="N18" s="19">
        <f t="shared" si="7"/>
        <v>-0.3901480276389771</v>
      </c>
      <c r="O18" s="11"/>
      <c r="P18" s="2">
        <v>-6358.43</v>
      </c>
      <c r="Q18" s="2"/>
      <c r="R18" s="19">
        <f t="shared" si="8"/>
        <v>-1.4060578597244097E-2</v>
      </c>
      <c r="S18" s="2"/>
      <c r="T18" s="2">
        <v>-1935.25</v>
      </c>
      <c r="U18" s="2"/>
      <c r="V18" s="19">
        <f t="shared" si="9"/>
        <v>-4.645720622145591E-3</v>
      </c>
      <c r="W18" s="2"/>
      <c r="X18" s="2">
        <f t="shared" si="10"/>
        <v>-4423.18</v>
      </c>
      <c r="Y18" s="2"/>
      <c r="Z18" s="19">
        <f t="shared" si="11"/>
        <v>2.2855858416225296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25760.449999999997</v>
      </c>
      <c r="E20" s="14"/>
      <c r="F20" s="22">
        <f>IF(D$12=0,0,D20/D$12)</f>
        <v>0.51998485287975937</v>
      </c>
      <c r="G20" s="14"/>
      <c r="H20" s="21">
        <f>H12-H16</f>
        <v>22990.210000000006</v>
      </c>
      <c r="I20" s="14"/>
      <c r="J20" s="22">
        <f>IF(H$12=0,0,H20/H$12)</f>
        <v>0.52768580786031216</v>
      </c>
      <c r="K20" s="16"/>
      <c r="L20" s="21">
        <f>+D20-H20</f>
        <v>2770.2399999999907</v>
      </c>
      <c r="M20" s="16"/>
      <c r="N20" s="22">
        <f>IF(H20=0,0,L20/H20)</f>
        <v>0.12049650699145376</v>
      </c>
      <c r="O20" s="29"/>
      <c r="P20" s="21">
        <f>P12-P16</f>
        <v>244886.61000000002</v>
      </c>
      <c r="Q20" s="14"/>
      <c r="R20" s="22">
        <f>IF(P$12=0,0,P20/P$12)</f>
        <v>0.54152478321184039</v>
      </c>
      <c r="S20" s="14"/>
      <c r="T20" s="21">
        <f>T12-T16</f>
        <v>223416.86000000004</v>
      </c>
      <c r="U20" s="14"/>
      <c r="V20" s="22">
        <f>IF(T$12=0,0,T20/T$12)</f>
        <v>0.53632983533756085</v>
      </c>
      <c r="W20" s="16"/>
      <c r="X20" s="21">
        <f>+P20-T20</f>
        <v>21469.749999999971</v>
      </c>
      <c r="Y20" s="16"/>
      <c r="Z20" s="22">
        <f>IF(T20=0,0,X20/T20)</f>
        <v>9.6097268576776015E-2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30245.699999999997</v>
      </c>
      <c r="E22" s="20"/>
      <c r="F22" s="32">
        <f t="shared" ref="F22:F31" si="12">IF(D$12=0,0,D22/D$12)</f>
        <v>0.61052139480270495</v>
      </c>
      <c r="G22" s="20"/>
      <c r="H22" s="20">
        <f>SUM(OSRRefH22x_0)</f>
        <v>27733.33</v>
      </c>
      <c r="I22" s="20"/>
      <c r="J22" s="32">
        <f t="shared" ref="J22:J31" si="13">IF(H$12=0,0,H22/H$12)</f>
        <v>0.63655289123964631</v>
      </c>
      <c r="K22" s="4"/>
      <c r="L22" s="20">
        <f t="shared" ref="L22:L31" si="14">+D22-H22</f>
        <v>2512.3699999999953</v>
      </c>
      <c r="M22" s="4"/>
      <c r="N22" s="32">
        <f t="shared" ref="N22:N31" si="15">IF(H22=0,0,L22/H22)</f>
        <v>9.0590275311331001E-2</v>
      </c>
      <c r="O22" s="10"/>
      <c r="P22" s="20">
        <f>SUM(OSRRefP22x_0)</f>
        <v>210863.84999999995</v>
      </c>
      <c r="Q22" s="20"/>
      <c r="R22" s="32">
        <f t="shared" ref="R22:R31" si="16">IF(P$12=0,0,P22/P$12)</f>
        <v>0.46628927836627732</v>
      </c>
      <c r="S22" s="20"/>
      <c r="T22" s="20">
        <f>SUM(OSRRefT22x_0)</f>
        <v>198119.62000000005</v>
      </c>
      <c r="U22" s="20"/>
      <c r="V22" s="32">
        <f t="shared" ref="V22:V31" si="17">IF(T$12=0,0,T22/T$12)</f>
        <v>0.47560181076638591</v>
      </c>
      <c r="W22" s="4"/>
      <c r="X22" s="20">
        <f t="shared" ref="X22:X31" si="18">+P22-T22</f>
        <v>12744.229999999894</v>
      </c>
      <c r="Y22" s="4"/>
      <c r="Z22" s="32">
        <f t="shared" ref="Z22:Z31" si="19">IF(T22=0,0,X22/T22)</f>
        <v>6.4325936017845642E-2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3910.08</v>
      </c>
      <c r="E23" s="1"/>
      <c r="F23" s="5">
        <f t="shared" si="12"/>
        <v>7.8926508409134538E-2</v>
      </c>
      <c r="G23" s="1"/>
      <c r="H23" s="1">
        <f>SUM(OSRRefH22_0x_0)</f>
        <v>3918.62</v>
      </c>
      <c r="I23" s="1"/>
      <c r="J23" s="5">
        <f t="shared" si="13"/>
        <v>8.9942639079746381E-2</v>
      </c>
      <c r="K23" s="1"/>
      <c r="L23" s="1">
        <f t="shared" si="14"/>
        <v>-8.5399999999999636</v>
      </c>
      <c r="M23" s="1"/>
      <c r="N23" s="5">
        <f t="shared" si="15"/>
        <v>-2.1793386447269609E-3</v>
      </c>
      <c r="O23" s="13"/>
      <c r="P23" s="1">
        <f>SUM(OSRRefP22_0x_0)</f>
        <v>26619.440000000002</v>
      </c>
      <c r="Q23" s="1"/>
      <c r="R23" s="5">
        <f t="shared" si="16"/>
        <v>5.8864331027411392E-2</v>
      </c>
      <c r="S23" s="1"/>
      <c r="T23" s="1">
        <f>SUM(OSRRefT22_0x_0)</f>
        <v>24686.530000000002</v>
      </c>
      <c r="U23" s="1"/>
      <c r="V23" s="5">
        <f t="shared" si="17"/>
        <v>5.9261966934616099E-2</v>
      </c>
      <c r="W23" s="1"/>
      <c r="X23" s="1">
        <f t="shared" si="18"/>
        <v>1932.9099999999999</v>
      </c>
      <c r="Y23" s="1"/>
      <c r="Z23" s="5">
        <f t="shared" si="19"/>
        <v>7.8298165031699465E-2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510.3</v>
      </c>
      <c r="E24" s="2"/>
      <c r="F24" s="7">
        <f t="shared" si="12"/>
        <v>1.0300606954635546E-2</v>
      </c>
      <c r="G24" s="2"/>
      <c r="H24" s="6">
        <v>343.64</v>
      </c>
      <c r="I24" s="2"/>
      <c r="J24" s="7">
        <f t="shared" si="13"/>
        <v>7.8874421335480456E-3</v>
      </c>
      <c r="K24" s="2"/>
      <c r="L24" s="6">
        <f t="shared" si="14"/>
        <v>166.66000000000003</v>
      </c>
      <c r="M24" s="2"/>
      <c r="N24" s="7">
        <f t="shared" si="15"/>
        <v>0.4849842858805728</v>
      </c>
      <c r="O24" s="11"/>
      <c r="P24" s="6">
        <v>4032.63</v>
      </c>
      <c r="Q24" s="2"/>
      <c r="R24" s="7">
        <f t="shared" si="16"/>
        <v>8.9174703611747657E-3</v>
      </c>
      <c r="S24" s="2"/>
      <c r="T24" s="6">
        <v>2880.76</v>
      </c>
      <c r="U24" s="2"/>
      <c r="V24" s="7">
        <f t="shared" si="17"/>
        <v>6.9154921273489904E-3</v>
      </c>
      <c r="W24" s="2"/>
      <c r="X24" s="6">
        <f t="shared" si="18"/>
        <v>1151.8699999999999</v>
      </c>
      <c r="Y24" s="2"/>
      <c r="Z24" s="7">
        <f t="shared" si="19"/>
        <v>0.39984934531165378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168.99</v>
      </c>
      <c r="E25" s="2"/>
      <c r="F25" s="7">
        <f t="shared" si="12"/>
        <v>3.4111298633428592E-3</v>
      </c>
      <c r="G25" s="2"/>
      <c r="H25" s="6">
        <v>181.35</v>
      </c>
      <c r="I25" s="2"/>
      <c r="J25" s="7">
        <f t="shared" si="13"/>
        <v>4.1624596406673788E-3</v>
      </c>
      <c r="K25" s="2"/>
      <c r="L25" s="6">
        <f t="shared" si="14"/>
        <v>-12.359999999999985</v>
      </c>
      <c r="M25" s="2"/>
      <c r="N25" s="7">
        <f t="shared" si="15"/>
        <v>-6.8155500413564857E-2</v>
      </c>
      <c r="O25" s="11"/>
      <c r="P25" s="6">
        <v>1243.32</v>
      </c>
      <c r="Q25" s="2"/>
      <c r="R25" s="7">
        <f t="shared" si="16"/>
        <v>2.7493891702079806E-3</v>
      </c>
      <c r="S25" s="2"/>
      <c r="T25" s="6">
        <v>1744.24</v>
      </c>
      <c r="U25" s="2"/>
      <c r="V25" s="7">
        <f t="shared" si="17"/>
        <v>4.1871860162620983E-3</v>
      </c>
      <c r="W25" s="2"/>
      <c r="X25" s="6">
        <f t="shared" si="18"/>
        <v>-500.92000000000007</v>
      </c>
      <c r="Y25" s="2"/>
      <c r="Z25" s="7">
        <f t="shared" si="19"/>
        <v>-0.28718524973627485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1915.63</v>
      </c>
      <c r="E26" s="2"/>
      <c r="F26" s="7">
        <f t="shared" si="12"/>
        <v>3.8667747796410919E-2</v>
      </c>
      <c r="G26" s="2"/>
      <c r="H26" s="6">
        <v>1815.82</v>
      </c>
      <c r="I26" s="2"/>
      <c r="J26" s="7">
        <f t="shared" si="13"/>
        <v>4.1677846510706593E-2</v>
      </c>
      <c r="K26" s="2"/>
      <c r="L26" s="6">
        <f t="shared" si="14"/>
        <v>99.810000000000173</v>
      </c>
      <c r="M26" s="2"/>
      <c r="N26" s="7">
        <f t="shared" si="15"/>
        <v>5.496690200570551E-2</v>
      </c>
      <c r="O26" s="11"/>
      <c r="P26" s="6">
        <v>13278.2</v>
      </c>
      <c r="Q26" s="2"/>
      <c r="R26" s="7">
        <f t="shared" si="16"/>
        <v>2.9362464433818816E-2</v>
      </c>
      <c r="S26" s="2"/>
      <c r="T26" s="6">
        <v>12588.01</v>
      </c>
      <c r="U26" s="2"/>
      <c r="V26" s="7">
        <f t="shared" si="17"/>
        <v>3.0218513188877368E-2</v>
      </c>
      <c r="W26" s="2"/>
      <c r="X26" s="6">
        <f t="shared" si="18"/>
        <v>690.19000000000051</v>
      </c>
      <c r="Y26" s="2"/>
      <c r="Z26" s="7">
        <f t="shared" si="19"/>
        <v>5.4829158858310446E-2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23.13</v>
      </c>
      <c r="E27" s="2"/>
      <c r="F27" s="7">
        <f t="shared" si="12"/>
        <v>4.6688818118894801E-4</v>
      </c>
      <c r="G27" s="2"/>
      <c r="H27" s="6">
        <v>20.239999999999998</v>
      </c>
      <c r="I27" s="2"/>
      <c r="J27" s="7">
        <f t="shared" si="13"/>
        <v>4.6456125242408467E-4</v>
      </c>
      <c r="K27" s="2"/>
      <c r="L27" s="6">
        <f t="shared" si="14"/>
        <v>2.8900000000000006</v>
      </c>
      <c r="M27" s="2"/>
      <c r="N27" s="7">
        <f t="shared" si="15"/>
        <v>0.14278656126482217</v>
      </c>
      <c r="O27" s="11"/>
      <c r="P27" s="6">
        <v>206.4</v>
      </c>
      <c r="Q27" s="2"/>
      <c r="R27" s="7">
        <f t="shared" si="16"/>
        <v>4.5641823885317313E-4</v>
      </c>
      <c r="S27" s="2"/>
      <c r="T27" s="6">
        <v>208.52</v>
      </c>
      <c r="U27" s="2"/>
      <c r="V27" s="7">
        <f t="shared" si="17"/>
        <v>5.005687451904398E-4</v>
      </c>
      <c r="W27" s="2"/>
      <c r="X27" s="6">
        <f t="shared" si="18"/>
        <v>-2.1200000000000045</v>
      </c>
      <c r="Y27" s="2"/>
      <c r="Z27" s="7">
        <f t="shared" si="19"/>
        <v>-1.0166890466142357E-2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621.44000000000005</v>
      </c>
      <c r="E28" s="2"/>
      <c r="F28" s="7">
        <f t="shared" si="12"/>
        <v>1.2544011730136615E-2</v>
      </c>
      <c r="G28" s="2"/>
      <c r="H28" s="6">
        <v>390.36</v>
      </c>
      <c r="I28" s="2"/>
      <c r="J28" s="7">
        <f t="shared" si="13"/>
        <v>8.9597890561396096E-3</v>
      </c>
      <c r="K28" s="2"/>
      <c r="L28" s="6">
        <f t="shared" si="14"/>
        <v>231.08000000000004</v>
      </c>
      <c r="M28" s="2"/>
      <c r="N28" s="7">
        <f t="shared" si="15"/>
        <v>0.59196638999897544</v>
      </c>
      <c r="O28" s="11"/>
      <c r="P28" s="6">
        <v>3257</v>
      </c>
      <c r="Q28" s="2"/>
      <c r="R28" s="7">
        <f t="shared" si="16"/>
        <v>7.2022974997324844E-3</v>
      </c>
      <c r="S28" s="2"/>
      <c r="T28" s="6">
        <v>3059.94</v>
      </c>
      <c r="U28" s="2"/>
      <c r="V28" s="7">
        <f t="shared" si="17"/>
        <v>7.3456278829754197E-3</v>
      </c>
      <c r="W28" s="2"/>
      <c r="X28" s="6">
        <f t="shared" si="18"/>
        <v>197.05999999999995</v>
      </c>
      <c r="Y28" s="2"/>
      <c r="Z28" s="7">
        <f t="shared" si="19"/>
        <v>6.4399955554684057E-2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304.2</v>
      </c>
      <c r="E29" s="2"/>
      <c r="F29" s="7">
        <f t="shared" si="12"/>
        <v>6.1403970911231296E-3</v>
      </c>
      <c r="G29" s="2"/>
      <c r="H29" s="6">
        <v>335.21</v>
      </c>
      <c r="I29" s="2"/>
      <c r="J29" s="7">
        <f t="shared" si="13"/>
        <v>7.6939514538081726E-3</v>
      </c>
      <c r="K29" s="2"/>
      <c r="L29" s="6">
        <f t="shared" si="14"/>
        <v>-31.009999999999991</v>
      </c>
      <c r="M29" s="2"/>
      <c r="N29" s="7">
        <f t="shared" si="15"/>
        <v>-9.2509173354016858E-2</v>
      </c>
      <c r="O29" s="11"/>
      <c r="P29" s="6">
        <v>2129.4</v>
      </c>
      <c r="Q29" s="2"/>
      <c r="R29" s="7">
        <f t="shared" si="16"/>
        <v>4.7088032839823005E-3</v>
      </c>
      <c r="S29" s="2"/>
      <c r="T29" s="6">
        <v>2108.54</v>
      </c>
      <c r="U29" s="2"/>
      <c r="V29" s="7">
        <f t="shared" si="17"/>
        <v>5.0617169671199405E-3</v>
      </c>
      <c r="W29" s="2"/>
      <c r="X29" s="6">
        <f t="shared" si="18"/>
        <v>20.860000000000127</v>
      </c>
      <c r="Y29" s="2"/>
      <c r="Z29" s="7">
        <f t="shared" si="19"/>
        <v>9.893101387690121E-3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191.88</v>
      </c>
      <c r="E30" s="2"/>
      <c r="F30" s="7">
        <f t="shared" si="12"/>
        <v>3.8731735497853589E-3</v>
      </c>
      <c r="G30" s="2"/>
      <c r="H30" s="6">
        <v>682.09</v>
      </c>
      <c r="I30" s="2"/>
      <c r="J30" s="7">
        <f t="shared" si="13"/>
        <v>1.5655760111953753E-2</v>
      </c>
      <c r="K30" s="2"/>
      <c r="L30" s="6">
        <f t="shared" si="14"/>
        <v>-490.21000000000004</v>
      </c>
      <c r="M30" s="2"/>
      <c r="N30" s="7">
        <f t="shared" si="15"/>
        <v>-0.71868814965766981</v>
      </c>
      <c r="O30" s="11"/>
      <c r="P30" s="6">
        <v>1343.16</v>
      </c>
      <c r="Q30" s="2"/>
      <c r="R30" s="7">
        <f t="shared" si="16"/>
        <v>2.9701682252811436E-3</v>
      </c>
      <c r="S30" s="2"/>
      <c r="T30" s="6">
        <v>1800.61</v>
      </c>
      <c r="U30" s="2"/>
      <c r="V30" s="7">
        <f t="shared" si="17"/>
        <v>4.3225066577659592E-3</v>
      </c>
      <c r="W30" s="2"/>
      <c r="X30" s="6">
        <f t="shared" si="18"/>
        <v>-457.44999999999982</v>
      </c>
      <c r="Y30" s="2"/>
      <c r="Z30" s="7">
        <f t="shared" si="19"/>
        <v>-0.25405279322007535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174.51</v>
      </c>
      <c r="E31" s="2"/>
      <c r="F31" s="7">
        <f t="shared" si="12"/>
        <v>3.5225532425111681E-3</v>
      </c>
      <c r="G31" s="2"/>
      <c r="H31" s="6">
        <v>149.91</v>
      </c>
      <c r="I31" s="2"/>
      <c r="J31" s="7">
        <f t="shared" si="13"/>
        <v>3.4408289204987418E-3</v>
      </c>
      <c r="K31" s="2"/>
      <c r="L31" s="6">
        <f t="shared" si="14"/>
        <v>24.599999999999994</v>
      </c>
      <c r="M31" s="2"/>
      <c r="N31" s="7">
        <f t="shared" si="15"/>
        <v>0.16409845907544524</v>
      </c>
      <c r="O31" s="11"/>
      <c r="P31" s="6">
        <v>1129.33</v>
      </c>
      <c r="Q31" s="2"/>
      <c r="R31" s="7">
        <f t="shared" si="16"/>
        <v>2.4973198143607264E-3</v>
      </c>
      <c r="S31" s="2"/>
      <c r="T31" s="6">
        <v>295.91000000000003</v>
      </c>
      <c r="U31" s="2"/>
      <c r="V31" s="7">
        <f t="shared" si="17"/>
        <v>7.1035534907588265E-4</v>
      </c>
      <c r="W31" s="2"/>
      <c r="X31" s="6">
        <f t="shared" si="18"/>
        <v>833.41999999999985</v>
      </c>
      <c r="Y31" s="2"/>
      <c r="Z31" s="7">
        <f t="shared" si="19"/>
        <v>2.816464465546956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11559.630000000001</v>
      </c>
      <c r="E32" s="1"/>
      <c r="F32" s="5">
        <f t="shared" ref="F32:F38" si="20">IF(D$12=0,0,D32/D$12)</f>
        <v>0.23333569502452225</v>
      </c>
      <c r="G32" s="1"/>
      <c r="H32" s="1">
        <f>SUM(OSRRefH22_1x_0)</f>
        <v>10513.7</v>
      </c>
      <c r="I32" s="1"/>
      <c r="J32" s="5">
        <f t="shared" ref="J32:J38" si="21">IF(H$12=0,0,H32/H$12)</f>
        <v>0.24131707705588437</v>
      </c>
      <c r="K32" s="1"/>
      <c r="L32" s="1">
        <f t="shared" ref="L32:L38" si="22">+D32-H32</f>
        <v>1045.9300000000003</v>
      </c>
      <c r="M32" s="1"/>
      <c r="N32" s="5">
        <f t="shared" ref="N32:N38" si="23">IF(H32=0,0,L32/H32)</f>
        <v>9.948257987197659E-2</v>
      </c>
      <c r="O32" s="13"/>
      <c r="P32" s="1">
        <f>SUM(OSRRefP22_1x_0)</f>
        <v>74051.199999999997</v>
      </c>
      <c r="Q32" s="1"/>
      <c r="R32" s="5">
        <f t="shared" ref="R32:R38" si="24">IF(P$12=0,0,P32/P$12)</f>
        <v>0.16375154209769424</v>
      </c>
      <c r="S32" s="1"/>
      <c r="T32" s="1">
        <f>SUM(OSRRefT22_1x_0)</f>
        <v>70856.97</v>
      </c>
      <c r="U32" s="1"/>
      <c r="V32" s="5">
        <f t="shared" ref="V32:V38" si="25">IF(T$12=0,0,T32/T$12)</f>
        <v>0.17009775830086629</v>
      </c>
      <c r="W32" s="1"/>
      <c r="X32" s="1">
        <f t="shared" ref="X32:X38" si="26">+P32-T32</f>
        <v>3194.2299999999959</v>
      </c>
      <c r="Y32" s="1"/>
      <c r="Z32" s="5">
        <f t="shared" ref="Z32:Z38" si="27">IF(T32=0,0,X32/T32)</f>
        <v>4.5079968844278777E-2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4576</v>
      </c>
      <c r="E33" s="2"/>
      <c r="F33" s="7">
        <f t="shared" si="20"/>
        <v>9.2368366498946225E-2</v>
      </c>
      <c r="G33" s="2"/>
      <c r="H33" s="6">
        <v>4416</v>
      </c>
      <c r="I33" s="2"/>
      <c r="J33" s="7">
        <f t="shared" si="21"/>
        <v>0.10135881871070938</v>
      </c>
      <c r="K33" s="2"/>
      <c r="L33" s="6">
        <f t="shared" si="22"/>
        <v>160</v>
      </c>
      <c r="M33" s="2"/>
      <c r="N33" s="7">
        <f t="shared" si="23"/>
        <v>3.6231884057971016E-2</v>
      </c>
      <c r="O33" s="11"/>
      <c r="P33" s="6">
        <v>26656</v>
      </c>
      <c r="Q33" s="2"/>
      <c r="R33" s="7">
        <f t="shared" si="24"/>
        <v>5.89451772038284E-2</v>
      </c>
      <c r="S33" s="2"/>
      <c r="T33" s="6">
        <v>27360.289999999997</v>
      </c>
      <c r="U33" s="2"/>
      <c r="V33" s="7">
        <f t="shared" si="25"/>
        <v>6.5680539196942916E-2</v>
      </c>
      <c r="W33" s="2"/>
      <c r="X33" s="6">
        <f t="shared" si="26"/>
        <v>-704.28999999999724</v>
      </c>
      <c r="Y33" s="2"/>
      <c r="Z33" s="7">
        <f t="shared" si="27"/>
        <v>-2.574132072430509E-2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254.64</v>
      </c>
      <c r="Q34" s="2"/>
      <c r="R34" s="7">
        <f t="shared" si="24"/>
        <v>5.6309273421304264E-4</v>
      </c>
      <c r="S34" s="2"/>
      <c r="T34" s="6"/>
      <c r="U34" s="2"/>
      <c r="V34" s="7">
        <f t="shared" si="25"/>
        <v>0</v>
      </c>
      <c r="W34" s="2"/>
      <c r="X34" s="6">
        <f t="shared" si="26"/>
        <v>254.64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2510.5</v>
      </c>
      <c r="E35" s="2"/>
      <c r="F35" s="7">
        <f t="shared" si="20"/>
        <v>5.0675433587326159E-2</v>
      </c>
      <c r="G35" s="2"/>
      <c r="H35" s="6">
        <v>399</v>
      </c>
      <c r="I35" s="2"/>
      <c r="J35" s="7">
        <f t="shared" si="21"/>
        <v>9.1580997883996939E-3</v>
      </c>
      <c r="K35" s="2"/>
      <c r="L35" s="6">
        <f t="shared" si="22"/>
        <v>2111.5</v>
      </c>
      <c r="M35" s="2"/>
      <c r="N35" s="7">
        <f t="shared" si="23"/>
        <v>5.2919799498746869</v>
      </c>
      <c r="O35" s="11"/>
      <c r="P35" s="6">
        <v>16486.04</v>
      </c>
      <c r="Q35" s="2"/>
      <c r="R35" s="7">
        <f t="shared" si="24"/>
        <v>3.6456053015808947E-2</v>
      </c>
      <c r="S35" s="2"/>
      <c r="T35" s="6">
        <v>467.5</v>
      </c>
      <c r="U35" s="2"/>
      <c r="V35" s="7">
        <f t="shared" si="25"/>
        <v>1.1222707096514991E-3</v>
      </c>
      <c r="W35" s="2"/>
      <c r="X35" s="6">
        <f t="shared" si="26"/>
        <v>16018.54</v>
      </c>
      <c r="Y35" s="2"/>
      <c r="Z35" s="7">
        <f t="shared" si="27"/>
        <v>34.264256684491983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162</v>
      </c>
      <c r="I36" s="2"/>
      <c r="J36" s="7">
        <f t="shared" si="21"/>
        <v>3.7183262298765671E-3</v>
      </c>
      <c r="K36" s="2"/>
      <c r="L36" s="6">
        <f t="shared" si="22"/>
        <v>-162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882.5</v>
      </c>
      <c r="U36" s="2"/>
      <c r="V36" s="7">
        <f t="shared" si="25"/>
        <v>2.1185110187538995E-3</v>
      </c>
      <c r="W36" s="2"/>
      <c r="X36" s="6">
        <f t="shared" si="26"/>
        <v>-882.5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4320.38</v>
      </c>
      <c r="E37" s="2"/>
      <c r="F37" s="7">
        <f t="shared" si="20"/>
        <v>8.7208575886083328E-2</v>
      </c>
      <c r="G37" s="2"/>
      <c r="H37" s="6">
        <v>5314.7</v>
      </c>
      <c r="I37" s="2"/>
      <c r="J37" s="7">
        <f t="shared" si="21"/>
        <v>0.12198634823410488</v>
      </c>
      <c r="K37" s="2"/>
      <c r="L37" s="6">
        <f t="shared" si="22"/>
        <v>-994.31999999999971</v>
      </c>
      <c r="M37" s="2"/>
      <c r="N37" s="7">
        <f t="shared" si="23"/>
        <v>-0.18708864093928157</v>
      </c>
      <c r="O37" s="11"/>
      <c r="P37" s="6">
        <v>28182.769999999997</v>
      </c>
      <c r="Q37" s="2"/>
      <c r="R37" s="7">
        <f t="shared" si="24"/>
        <v>6.2321367487422674E-2</v>
      </c>
      <c r="S37" s="2"/>
      <c r="T37" s="6">
        <v>37788.68</v>
      </c>
      <c r="U37" s="2"/>
      <c r="V37" s="7">
        <f t="shared" si="25"/>
        <v>9.0714713840413727E-2</v>
      </c>
      <c r="W37" s="2"/>
      <c r="X37" s="6">
        <f t="shared" si="26"/>
        <v>-9605.9100000000035</v>
      </c>
      <c r="Y37" s="2"/>
      <c r="Z37" s="7">
        <f t="shared" si="27"/>
        <v>-0.25420072889553175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152.75</v>
      </c>
      <c r="E38" s="2"/>
      <c r="F38" s="7">
        <f t="shared" si="20"/>
        <v>3.0833190521665291E-3</v>
      </c>
      <c r="G38" s="2"/>
      <c r="H38" s="6">
        <v>222</v>
      </c>
      <c r="I38" s="2"/>
      <c r="J38" s="7">
        <f t="shared" si="21"/>
        <v>5.0954840927938143E-3</v>
      </c>
      <c r="K38" s="2"/>
      <c r="L38" s="6">
        <f t="shared" si="22"/>
        <v>-69.25</v>
      </c>
      <c r="M38" s="2"/>
      <c r="N38" s="7">
        <f t="shared" si="23"/>
        <v>-0.31193693693693691</v>
      </c>
      <c r="O38" s="11"/>
      <c r="P38" s="6">
        <v>2471.75</v>
      </c>
      <c r="Q38" s="2"/>
      <c r="R38" s="7">
        <f t="shared" si="24"/>
        <v>5.4658516564211751E-3</v>
      </c>
      <c r="S38" s="2"/>
      <c r="T38" s="6">
        <v>4358</v>
      </c>
      <c r="U38" s="2"/>
      <c r="V38" s="7">
        <f t="shared" si="25"/>
        <v>1.0461723535104243E-2</v>
      </c>
      <c r="W38" s="2"/>
      <c r="X38" s="6">
        <f t="shared" si="26"/>
        <v>-1886.25</v>
      </c>
      <c r="Y38" s="2"/>
      <c r="Z38" s="7">
        <f t="shared" si="27"/>
        <v>-0.4328246902248738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12</v>
      </c>
      <c r="E39" s="1"/>
      <c r="F39" s="5">
        <f t="shared" ref="F39:F47" si="28">IF(D$12=0,0,D39/D$12)</f>
        <v>2.4222473732241144E-4</v>
      </c>
      <c r="G39" s="1"/>
      <c r="H39" s="1">
        <f>SUM(OSRRefH22_2x_0)</f>
        <v>96</v>
      </c>
      <c r="I39" s="1"/>
      <c r="J39" s="5">
        <f t="shared" ref="J39:J47" si="29">IF(H$12=0,0,H39/H$12)</f>
        <v>2.2034525806675954E-3</v>
      </c>
      <c r="K39" s="1"/>
      <c r="L39" s="1">
        <f t="shared" ref="L39:L47" si="30">+D39-H39</f>
        <v>-84</v>
      </c>
      <c r="M39" s="1"/>
      <c r="N39" s="5">
        <f t="shared" ref="N39:N47" si="31">IF(H39=0,0,L39/H39)</f>
        <v>-0.875</v>
      </c>
      <c r="O39" s="13"/>
      <c r="P39" s="1">
        <f>SUM(OSRRefP22_2x_0)</f>
        <v>729.02</v>
      </c>
      <c r="Q39" s="1"/>
      <c r="R39" s="5">
        <f t="shared" ref="R39:R47" si="32">IF(P$12=0,0,P39/P$12)</f>
        <v>1.6121028318252918E-3</v>
      </c>
      <c r="S39" s="1"/>
      <c r="T39" s="1">
        <f>SUM(OSRRefT22_2x_0)</f>
        <v>1070.9100000000001</v>
      </c>
      <c r="U39" s="1"/>
      <c r="V39" s="5">
        <f t="shared" ref="V39:V47" si="33">IF(T$12=0,0,T39/T$12)</f>
        <v>2.5708041190863895E-3</v>
      </c>
      <c r="W39" s="1"/>
      <c r="X39" s="1">
        <f t="shared" ref="X39:X47" si="34">+P39-T39</f>
        <v>-341.8900000000001</v>
      </c>
      <c r="Y39" s="1"/>
      <c r="Z39" s="5">
        <f t="shared" ref="Z39:Z47" si="35">IF(T39=0,0,X39/T39)</f>
        <v>-0.31925185122932842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12</v>
      </c>
      <c r="E40" s="2"/>
      <c r="F40" s="7">
        <f t="shared" si="28"/>
        <v>2.4222473732241144E-4</v>
      </c>
      <c r="G40" s="2"/>
      <c r="H40" s="6">
        <v>96</v>
      </c>
      <c r="I40" s="2"/>
      <c r="J40" s="7">
        <f t="shared" si="29"/>
        <v>2.2034525806675954E-3</v>
      </c>
      <c r="K40" s="2"/>
      <c r="L40" s="6">
        <f t="shared" si="30"/>
        <v>-84</v>
      </c>
      <c r="M40" s="2"/>
      <c r="N40" s="7">
        <f t="shared" si="31"/>
        <v>-0.875</v>
      </c>
      <c r="O40" s="11"/>
      <c r="P40" s="6">
        <v>729.02</v>
      </c>
      <c r="Q40" s="2"/>
      <c r="R40" s="7">
        <f t="shared" si="32"/>
        <v>1.6121028318252918E-3</v>
      </c>
      <c r="S40" s="2"/>
      <c r="T40" s="6">
        <v>1070.9100000000001</v>
      </c>
      <c r="U40" s="2"/>
      <c r="V40" s="7">
        <f t="shared" si="33"/>
        <v>2.5708041190863895E-3</v>
      </c>
      <c r="W40" s="2"/>
      <c r="X40" s="6">
        <f t="shared" si="34"/>
        <v>-341.8900000000001</v>
      </c>
      <c r="Y40" s="2"/>
      <c r="Z40" s="7">
        <f t="shared" si="35"/>
        <v>-0.31925185122932842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-6.63</v>
      </c>
      <c r="E41" s="1"/>
      <c r="F41" s="5">
        <f t="shared" si="28"/>
        <v>-1.3382916737063232E-4</v>
      </c>
      <c r="G41" s="1"/>
      <c r="H41" s="1">
        <f>SUM(OSRRefH22_3x_0)</f>
        <v>-19.04</v>
      </c>
      <c r="I41" s="1"/>
      <c r="J41" s="5">
        <f t="shared" si="29"/>
        <v>-4.3701809516573972E-4</v>
      </c>
      <c r="K41" s="1"/>
      <c r="L41" s="1">
        <f t="shared" si="30"/>
        <v>12.41</v>
      </c>
      <c r="M41" s="1"/>
      <c r="N41" s="5">
        <f t="shared" si="31"/>
        <v>-0.6517857142857143</v>
      </c>
      <c r="O41" s="13"/>
      <c r="P41" s="1">
        <f>SUM(OSRRefP22_3x_0)</f>
        <v>-58.71</v>
      </c>
      <c r="Q41" s="1"/>
      <c r="R41" s="5">
        <f t="shared" si="32"/>
        <v>-1.2982710660402032E-4</v>
      </c>
      <c r="S41" s="1"/>
      <c r="T41" s="1">
        <f>SUM(OSRRefT22_3x_0)</f>
        <v>-113.45</v>
      </c>
      <c r="U41" s="1"/>
      <c r="V41" s="5">
        <f t="shared" si="33"/>
        <v>-2.7234569413895742E-4</v>
      </c>
      <c r="W41" s="1"/>
      <c r="X41" s="1">
        <f t="shared" si="34"/>
        <v>54.74</v>
      </c>
      <c r="Y41" s="1"/>
      <c r="Z41" s="5">
        <f t="shared" si="35"/>
        <v>-0.48250330542089026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>
        <v>-6.63</v>
      </c>
      <c r="E42" s="2"/>
      <c r="F42" s="7">
        <f t="shared" si="28"/>
        <v>-1.3382916737063232E-4</v>
      </c>
      <c r="G42" s="2"/>
      <c r="H42" s="6">
        <v>-19.04</v>
      </c>
      <c r="I42" s="2"/>
      <c r="J42" s="7">
        <f t="shared" si="29"/>
        <v>-4.3701809516573972E-4</v>
      </c>
      <c r="K42" s="2"/>
      <c r="L42" s="6">
        <f t="shared" si="30"/>
        <v>12.41</v>
      </c>
      <c r="M42" s="2"/>
      <c r="N42" s="7">
        <f t="shared" si="31"/>
        <v>-0.6517857142857143</v>
      </c>
      <c r="O42" s="11"/>
      <c r="P42" s="6">
        <v>-58.71</v>
      </c>
      <c r="Q42" s="2"/>
      <c r="R42" s="7">
        <f t="shared" si="32"/>
        <v>-1.2982710660402032E-4</v>
      </c>
      <c r="S42" s="2"/>
      <c r="T42" s="6">
        <v>-113.45</v>
      </c>
      <c r="U42" s="2"/>
      <c r="V42" s="7">
        <f t="shared" si="33"/>
        <v>-2.7234569413895742E-4</v>
      </c>
      <c r="W42" s="2"/>
      <c r="X42" s="6">
        <f t="shared" si="34"/>
        <v>54.74</v>
      </c>
      <c r="Y42" s="2"/>
      <c r="Z42" s="7">
        <f t="shared" si="35"/>
        <v>-0.48250330542089026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2045.83</v>
      </c>
      <c r="E43" s="1"/>
      <c r="F43" s="5">
        <f t="shared" si="28"/>
        <v>4.1295886196359079E-2</v>
      </c>
      <c r="G43" s="1"/>
      <c r="H43" s="1">
        <f>SUM(OSRRefH22_4x_0)</f>
        <v>1196.21</v>
      </c>
      <c r="I43" s="1"/>
      <c r="J43" s="5">
        <f t="shared" si="29"/>
        <v>2.745616678667067E-2</v>
      </c>
      <c r="K43" s="1"/>
      <c r="L43" s="1">
        <f t="shared" si="30"/>
        <v>849.61999999999989</v>
      </c>
      <c r="M43" s="1"/>
      <c r="N43" s="5">
        <f t="shared" si="31"/>
        <v>0.71025990419742346</v>
      </c>
      <c r="O43" s="13"/>
      <c r="P43" s="1">
        <f>SUM(OSRRefP22_4x_0)</f>
        <v>16381.990000000002</v>
      </c>
      <c r="Q43" s="1"/>
      <c r="R43" s="5">
        <f t="shared" si="32"/>
        <v>3.6225964267007235E-2</v>
      </c>
      <c r="S43" s="1"/>
      <c r="T43" s="1">
        <f>SUM(OSRRefT22_4x_0)</f>
        <v>14129.71</v>
      </c>
      <c r="U43" s="1"/>
      <c r="V43" s="5">
        <f t="shared" si="33"/>
        <v>3.3919485922716326E-2</v>
      </c>
      <c r="W43" s="1"/>
      <c r="X43" s="1">
        <f t="shared" si="34"/>
        <v>2252.2800000000025</v>
      </c>
      <c r="Y43" s="1"/>
      <c r="Z43" s="5">
        <f t="shared" si="35"/>
        <v>0.15940029908611023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2045.83</v>
      </c>
      <c r="E44" s="2"/>
      <c r="F44" s="7">
        <f t="shared" si="28"/>
        <v>4.1295886196359079E-2</v>
      </c>
      <c r="G44" s="2"/>
      <c r="H44" s="6">
        <v>1196.21</v>
      </c>
      <c r="I44" s="2"/>
      <c r="J44" s="7">
        <f t="shared" si="29"/>
        <v>2.745616678667067E-2</v>
      </c>
      <c r="K44" s="2"/>
      <c r="L44" s="6">
        <f t="shared" si="30"/>
        <v>849.61999999999989</v>
      </c>
      <c r="M44" s="2"/>
      <c r="N44" s="7">
        <f t="shared" si="31"/>
        <v>0.71025990419742346</v>
      </c>
      <c r="O44" s="11"/>
      <c r="P44" s="6">
        <v>16381.990000000002</v>
      </c>
      <c r="Q44" s="2"/>
      <c r="R44" s="7">
        <f t="shared" si="32"/>
        <v>3.6225964267007235E-2</v>
      </c>
      <c r="S44" s="2"/>
      <c r="T44" s="6">
        <v>14129.71</v>
      </c>
      <c r="U44" s="2"/>
      <c r="V44" s="7">
        <f t="shared" si="33"/>
        <v>3.3919485922716326E-2</v>
      </c>
      <c r="W44" s="2"/>
      <c r="X44" s="6">
        <f t="shared" si="34"/>
        <v>2252.2800000000025</v>
      </c>
      <c r="Y44" s="2"/>
      <c r="Z44" s="7">
        <f t="shared" si="35"/>
        <v>0.15940029908611023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5564.79</v>
      </c>
      <c r="E45" s="1"/>
      <c r="F45" s="5">
        <f t="shared" si="28"/>
        <v>0.11232748300036516</v>
      </c>
      <c r="G45" s="1"/>
      <c r="H45" s="1">
        <f>SUM(OSRRefH22_5x_0)</f>
        <v>5280.6</v>
      </c>
      <c r="I45" s="1"/>
      <c r="J45" s="5">
        <f t="shared" si="29"/>
        <v>0.12120366351534692</v>
      </c>
      <c r="K45" s="1"/>
      <c r="L45" s="1">
        <f t="shared" si="30"/>
        <v>284.1899999999996</v>
      </c>
      <c r="M45" s="1"/>
      <c r="N45" s="5">
        <f t="shared" si="31"/>
        <v>5.3817747983183652E-2</v>
      </c>
      <c r="O45" s="13"/>
      <c r="P45" s="1">
        <f>SUM(OSRRefP22_5x_0)</f>
        <v>38236.43</v>
      </c>
      <c r="Q45" s="1"/>
      <c r="R45" s="5">
        <f t="shared" si="32"/>
        <v>8.4553314150351902E-2</v>
      </c>
      <c r="S45" s="1"/>
      <c r="T45" s="1">
        <f>SUM(OSRRefT22_5x_0)</f>
        <v>36964.199999999997</v>
      </c>
      <c r="U45" s="1"/>
      <c r="V45" s="5">
        <f t="shared" si="33"/>
        <v>8.8735484418609512E-2</v>
      </c>
      <c r="W45" s="1"/>
      <c r="X45" s="1">
        <f t="shared" si="34"/>
        <v>1272.2300000000032</v>
      </c>
      <c r="Y45" s="1"/>
      <c r="Z45" s="5">
        <f t="shared" si="35"/>
        <v>3.4417896234735318E-2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8"/>
        <v>0.10255210001782371</v>
      </c>
      <c r="G46" s="2"/>
      <c r="H46" s="6">
        <v>5080.51</v>
      </c>
      <c r="I46" s="2"/>
      <c r="J46" s="7">
        <f t="shared" si="29"/>
        <v>0.11661107156882838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35563.57</v>
      </c>
      <c r="Q46" s="2"/>
      <c r="R46" s="7">
        <f t="shared" si="32"/>
        <v>7.8642742183776843E-2</v>
      </c>
      <c r="S46" s="2"/>
      <c r="T46" s="6">
        <v>35563.57</v>
      </c>
      <c r="U46" s="2"/>
      <c r="V46" s="7">
        <f t="shared" si="33"/>
        <v>8.5373161372493622E-2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484.28</v>
      </c>
      <c r="E47" s="2"/>
      <c r="F47" s="7">
        <f t="shared" si="28"/>
        <v>9.7753829825414501E-3</v>
      </c>
      <c r="G47" s="2"/>
      <c r="H47" s="6">
        <v>200.09</v>
      </c>
      <c r="I47" s="2"/>
      <c r="J47" s="7">
        <f t="shared" si="29"/>
        <v>4.5925919465185329E-3</v>
      </c>
      <c r="K47" s="2"/>
      <c r="L47" s="6">
        <f t="shared" si="30"/>
        <v>284.18999999999994</v>
      </c>
      <c r="M47" s="2"/>
      <c r="N47" s="7">
        <f t="shared" si="31"/>
        <v>1.4203108601129488</v>
      </c>
      <c r="O47" s="11"/>
      <c r="P47" s="6">
        <v>2672.86</v>
      </c>
      <c r="Q47" s="2"/>
      <c r="R47" s="7">
        <f t="shared" si="32"/>
        <v>5.9105719665750595E-3</v>
      </c>
      <c r="S47" s="2"/>
      <c r="T47" s="6">
        <v>1400.63</v>
      </c>
      <c r="U47" s="2"/>
      <c r="V47" s="7">
        <f t="shared" si="33"/>
        <v>3.3623230461158919E-3</v>
      </c>
      <c r="W47" s="2"/>
      <c r="X47" s="6">
        <f t="shared" si="34"/>
        <v>1272.23</v>
      </c>
      <c r="Y47" s="2"/>
      <c r="Z47" s="7">
        <f t="shared" si="35"/>
        <v>0.90832696715049654</v>
      </c>
    </row>
    <row r="48" spans="1:26" s="26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1" si="36">IF(D$12=0,0,D48/D$12)</f>
        <v>0</v>
      </c>
      <c r="G48" s="1"/>
      <c r="H48" s="1">
        <f>SUM(OSRRefH22_6x_0)</f>
        <v>30.05</v>
      </c>
      <c r="I48" s="1"/>
      <c r="J48" s="5">
        <f t="shared" ref="J48:J61" si="37">IF(H$12=0,0,H48/H$12)</f>
        <v>6.8972656301105465E-4</v>
      </c>
      <c r="K48" s="1"/>
      <c r="L48" s="1">
        <f t="shared" ref="L48:L61" si="38">+D48-H48</f>
        <v>-30.05</v>
      </c>
      <c r="M48" s="1"/>
      <c r="N48" s="5">
        <f t="shared" ref="N48:N61" si="39">IF(H48=0,0,L48/H48)</f>
        <v>-1</v>
      </c>
      <c r="O48" s="13"/>
      <c r="P48" s="1">
        <f>SUM(OSRRefP22_6x_0)</f>
        <v>74.569999999999993</v>
      </c>
      <c r="Q48" s="1"/>
      <c r="R48" s="5">
        <f t="shared" ref="R48:R61" si="40">IF(P$12=0,0,P48/P$12)</f>
        <v>1.6489877941512168E-4</v>
      </c>
      <c r="S48" s="1"/>
      <c r="T48" s="1">
        <f>SUM(OSRRefT22_6x_0)</f>
        <v>72.09</v>
      </c>
      <c r="U48" s="1"/>
      <c r="V48" s="5">
        <f t="shared" ref="V48:V61" si="41">IF(T$12=0,0,T48/T$12)</f>
        <v>1.7305774429684831E-4</v>
      </c>
      <c r="W48" s="1"/>
      <c r="X48" s="1">
        <f t="shared" ref="X48:X61" si="42">+P48-T48</f>
        <v>2.4799999999999898</v>
      </c>
      <c r="Y48" s="1"/>
      <c r="Z48" s="5">
        <f t="shared" ref="Z48:Z61" si="43">IF(T48=0,0,X48/T48)</f>
        <v>3.4401442641142872E-2</v>
      </c>
    </row>
    <row r="49" spans="1:26" s="24" customFormat="1" hidden="1" outlineLevel="2" x14ac:dyDescent="0.25">
      <c r="A49" s="25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30.05</v>
      </c>
      <c r="I49" s="2"/>
      <c r="J49" s="7">
        <f t="shared" si="37"/>
        <v>6.8972656301105465E-4</v>
      </c>
      <c r="K49" s="2"/>
      <c r="L49" s="6">
        <f t="shared" si="38"/>
        <v>-30.05</v>
      </c>
      <c r="M49" s="2"/>
      <c r="N49" s="7">
        <f t="shared" si="39"/>
        <v>-1</v>
      </c>
      <c r="O49" s="11"/>
      <c r="P49" s="6">
        <v>74.569999999999993</v>
      </c>
      <c r="Q49" s="2"/>
      <c r="R49" s="7">
        <f t="shared" si="40"/>
        <v>1.6489877941512168E-4</v>
      </c>
      <c r="S49" s="2"/>
      <c r="T49" s="6">
        <v>72.09</v>
      </c>
      <c r="U49" s="2"/>
      <c r="V49" s="7">
        <f t="shared" si="41"/>
        <v>1.7305774429684831E-4</v>
      </c>
      <c r="W49" s="2"/>
      <c r="X49" s="6">
        <f t="shared" si="42"/>
        <v>2.4799999999999898</v>
      </c>
      <c r="Y49" s="2"/>
      <c r="Z49" s="7">
        <f t="shared" si="43"/>
        <v>3.4401442641142872E-2</v>
      </c>
    </row>
    <row r="50" spans="1:26" s="26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93</v>
      </c>
      <c r="E50" s="1"/>
      <c r="F50" s="5">
        <f t="shared" si="36"/>
        <v>1.8772417142486886E-3</v>
      </c>
      <c r="G50" s="1"/>
      <c r="H50" s="1">
        <f>SUM(OSRRefH22_7x_0)</f>
        <v>149.56</v>
      </c>
      <c r="I50" s="1"/>
      <c r="J50" s="5">
        <f t="shared" si="37"/>
        <v>3.4327954996317247E-3</v>
      </c>
      <c r="K50" s="1"/>
      <c r="L50" s="1">
        <f t="shared" si="38"/>
        <v>-56.56</v>
      </c>
      <c r="M50" s="1"/>
      <c r="N50" s="5">
        <f t="shared" si="39"/>
        <v>-0.37817598288312382</v>
      </c>
      <c r="O50" s="13"/>
      <c r="P50" s="1">
        <f>SUM(OSRRefP22_7x_0)</f>
        <v>761.97</v>
      </c>
      <c r="Q50" s="1"/>
      <c r="R50" s="5">
        <f t="shared" si="40"/>
        <v>1.6849661117197302E-3</v>
      </c>
      <c r="S50" s="1"/>
      <c r="T50" s="1">
        <f>SUM(OSRRefT22_7x_0)</f>
        <v>972.92</v>
      </c>
      <c r="U50" s="1"/>
      <c r="V50" s="5">
        <f t="shared" si="41"/>
        <v>2.3355713771853188E-3</v>
      </c>
      <c r="W50" s="1"/>
      <c r="X50" s="1">
        <f t="shared" si="42"/>
        <v>-210.94999999999993</v>
      </c>
      <c r="Y50" s="1"/>
      <c r="Z50" s="5">
        <f t="shared" si="43"/>
        <v>-0.21682152694980053</v>
      </c>
    </row>
    <row r="51" spans="1:26" s="24" customFormat="1" hidden="1" outlineLevel="2" x14ac:dyDescent="0.25">
      <c r="A51" s="25"/>
      <c r="B51" s="11" t="str">
        <f>CONCATENATE("          ", "6351", " - ", "EQUIPMENT RENTAL")</f>
        <v xml:space="preserve">          6351 - EQUIPMENT RENTAL</v>
      </c>
      <c r="C51" s="11"/>
      <c r="D51" s="6">
        <v>93</v>
      </c>
      <c r="E51" s="2"/>
      <c r="F51" s="7">
        <f t="shared" si="36"/>
        <v>1.8772417142486886E-3</v>
      </c>
      <c r="G51" s="2"/>
      <c r="H51" s="6">
        <v>149.56</v>
      </c>
      <c r="I51" s="2"/>
      <c r="J51" s="7">
        <f t="shared" si="37"/>
        <v>3.4327954996317247E-3</v>
      </c>
      <c r="K51" s="2"/>
      <c r="L51" s="6">
        <f t="shared" si="38"/>
        <v>-56.56</v>
      </c>
      <c r="M51" s="2"/>
      <c r="N51" s="7">
        <f t="shared" si="39"/>
        <v>-0.37817598288312382</v>
      </c>
      <c r="O51" s="11"/>
      <c r="P51" s="6">
        <v>761.97</v>
      </c>
      <c r="Q51" s="2"/>
      <c r="R51" s="7">
        <f t="shared" si="40"/>
        <v>1.6849661117197302E-3</v>
      </c>
      <c r="S51" s="2"/>
      <c r="T51" s="6">
        <v>972.92</v>
      </c>
      <c r="U51" s="2"/>
      <c r="V51" s="7">
        <f t="shared" si="41"/>
        <v>2.3355713771853188E-3</v>
      </c>
      <c r="W51" s="2"/>
      <c r="X51" s="6">
        <f t="shared" si="42"/>
        <v>-210.94999999999993</v>
      </c>
      <c r="Y51" s="2"/>
      <c r="Z51" s="7">
        <f t="shared" si="43"/>
        <v>-0.21682152694980053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27</v>
      </c>
      <c r="E52" s="1"/>
      <c r="F52" s="5">
        <f t="shared" si="36"/>
        <v>5.4500565897542576E-4</v>
      </c>
      <c r="G52" s="1"/>
      <c r="H52" s="1">
        <f>SUM(OSRRefH22_8x_0)</f>
        <v>21.5</v>
      </c>
      <c r="I52" s="1"/>
      <c r="J52" s="5">
        <f t="shared" si="37"/>
        <v>4.9348156754534691E-4</v>
      </c>
      <c r="K52" s="1"/>
      <c r="L52" s="1">
        <f t="shared" si="38"/>
        <v>5.5</v>
      </c>
      <c r="M52" s="1"/>
      <c r="N52" s="5">
        <f t="shared" si="39"/>
        <v>0.2558139534883721</v>
      </c>
      <c r="O52" s="13"/>
      <c r="P52" s="1">
        <f>SUM(OSRRefP22_8x_0)</f>
        <v>1268.23</v>
      </c>
      <c r="Q52" s="1"/>
      <c r="R52" s="5">
        <f t="shared" si="40"/>
        <v>2.8044733675424405E-3</v>
      </c>
      <c r="S52" s="1"/>
      <c r="T52" s="1">
        <f>SUM(OSRRefT22_8x_0)</f>
        <v>1135.48</v>
      </c>
      <c r="U52" s="1"/>
      <c r="V52" s="5">
        <f t="shared" si="41"/>
        <v>2.7258095088664907E-3</v>
      </c>
      <c r="W52" s="1"/>
      <c r="X52" s="1">
        <f t="shared" si="42"/>
        <v>132.75</v>
      </c>
      <c r="Y52" s="1"/>
      <c r="Z52" s="5">
        <f t="shared" si="43"/>
        <v>0.11691090992355656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>
        <v>27</v>
      </c>
      <c r="E53" s="2"/>
      <c r="F53" s="7">
        <f t="shared" si="36"/>
        <v>5.4500565897542576E-4</v>
      </c>
      <c r="G53" s="2"/>
      <c r="H53" s="6">
        <v>21.5</v>
      </c>
      <c r="I53" s="2"/>
      <c r="J53" s="7">
        <f t="shared" si="37"/>
        <v>4.9348156754534691E-4</v>
      </c>
      <c r="K53" s="2"/>
      <c r="L53" s="6">
        <f t="shared" si="38"/>
        <v>5.5</v>
      </c>
      <c r="M53" s="2"/>
      <c r="N53" s="7">
        <f t="shared" si="39"/>
        <v>0.2558139534883721</v>
      </c>
      <c r="O53" s="11"/>
      <c r="P53" s="6">
        <v>1268.23</v>
      </c>
      <c r="Q53" s="2"/>
      <c r="R53" s="7">
        <f t="shared" si="40"/>
        <v>2.8044733675424405E-3</v>
      </c>
      <c r="S53" s="2"/>
      <c r="T53" s="6">
        <v>1135.48</v>
      </c>
      <c r="U53" s="2"/>
      <c r="V53" s="7">
        <f t="shared" si="41"/>
        <v>2.7258095088664907E-3</v>
      </c>
      <c r="W53" s="2"/>
      <c r="X53" s="6">
        <f t="shared" si="42"/>
        <v>132.75</v>
      </c>
      <c r="Y53" s="2"/>
      <c r="Z53" s="7">
        <f t="shared" si="43"/>
        <v>0.11691090992355656</v>
      </c>
    </row>
    <row r="54" spans="1:26" s="26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4.9159510439583396E-3</v>
      </c>
      <c r="G54" s="1"/>
      <c r="H54" s="1">
        <f>SUM(OSRRefH22_9x_0)</f>
        <v>229.44</v>
      </c>
      <c r="I54" s="1"/>
      <c r="J54" s="5">
        <f t="shared" si="37"/>
        <v>5.2662516677955528E-3</v>
      </c>
      <c r="K54" s="1"/>
      <c r="L54" s="1">
        <f t="shared" si="38"/>
        <v>14.099999999999994</v>
      </c>
      <c r="M54" s="1"/>
      <c r="N54" s="5">
        <f t="shared" si="39"/>
        <v>6.1453974895397466E-2</v>
      </c>
      <c r="O54" s="13"/>
      <c r="P54" s="1">
        <f>SUM(OSRRefP22_9x_0)</f>
        <v>1704.78</v>
      </c>
      <c r="Q54" s="1"/>
      <c r="R54" s="5">
        <f t="shared" si="40"/>
        <v>3.7698289013183743E-3</v>
      </c>
      <c r="S54" s="1"/>
      <c r="T54" s="1">
        <f>SUM(OSRRefT22_9x_0)</f>
        <v>1606.08</v>
      </c>
      <c r="U54" s="1"/>
      <c r="V54" s="5">
        <f t="shared" si="41"/>
        <v>3.8555220135980317E-3</v>
      </c>
      <c r="W54" s="1"/>
      <c r="X54" s="1">
        <f t="shared" si="42"/>
        <v>98.700000000000045</v>
      </c>
      <c r="Y54" s="1"/>
      <c r="Z54" s="5">
        <f t="shared" si="43"/>
        <v>6.1453974895397522E-2</v>
      </c>
    </row>
    <row r="55" spans="1:26" s="24" customFormat="1" hidden="1" outlineLevel="2" x14ac:dyDescent="0.25">
      <c r="A55" s="25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6"/>
        <v>4.9159510439583396E-3</v>
      </c>
      <c r="G55" s="2"/>
      <c r="H55" s="6">
        <v>229.44</v>
      </c>
      <c r="I55" s="2"/>
      <c r="J55" s="7">
        <f t="shared" si="37"/>
        <v>5.2662516677955528E-3</v>
      </c>
      <c r="K55" s="2"/>
      <c r="L55" s="6">
        <f t="shared" si="38"/>
        <v>14.099999999999994</v>
      </c>
      <c r="M55" s="2"/>
      <c r="N55" s="7">
        <f t="shared" si="39"/>
        <v>6.1453974895397466E-2</v>
      </c>
      <c r="O55" s="11"/>
      <c r="P55" s="6">
        <v>1704.78</v>
      </c>
      <c r="Q55" s="2"/>
      <c r="R55" s="7">
        <f t="shared" si="40"/>
        <v>3.7698289013183743E-3</v>
      </c>
      <c r="S55" s="2"/>
      <c r="T55" s="6">
        <v>1606.08</v>
      </c>
      <c r="U55" s="2"/>
      <c r="V55" s="7">
        <f t="shared" si="41"/>
        <v>3.8555220135980317E-3</v>
      </c>
      <c r="W55" s="2"/>
      <c r="X55" s="6">
        <f t="shared" si="42"/>
        <v>98.700000000000045</v>
      </c>
      <c r="Y55" s="2"/>
      <c r="Z55" s="7">
        <f t="shared" si="43"/>
        <v>6.1453974895397522E-2</v>
      </c>
    </row>
    <row r="56" spans="1:26" s="26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6"/>
        <v>8.4274023193422309E-2</v>
      </c>
      <c r="G56" s="1"/>
      <c r="H56" s="1">
        <f>SUM(OSRRefH22_10x_0)</f>
        <v>4280</v>
      </c>
      <c r="I56" s="1"/>
      <c r="J56" s="5">
        <f t="shared" si="37"/>
        <v>9.8237260888096964E-2</v>
      </c>
      <c r="K56" s="1"/>
      <c r="L56" s="1">
        <f t="shared" si="38"/>
        <v>-105</v>
      </c>
      <c r="M56" s="1"/>
      <c r="N56" s="5">
        <f t="shared" si="39"/>
        <v>-2.4532710280373831E-2</v>
      </c>
      <c r="O56" s="13"/>
      <c r="P56" s="1">
        <f>SUM(OSRRefP22_10x_0)</f>
        <v>29018.95</v>
      </c>
      <c r="Q56" s="1"/>
      <c r="R56" s="5">
        <f t="shared" si="40"/>
        <v>6.417043630023396E-2</v>
      </c>
      <c r="S56" s="1"/>
      <c r="T56" s="1">
        <f>SUM(OSRRefT22_10x_0)</f>
        <v>29744.899999999998</v>
      </c>
      <c r="U56" s="1"/>
      <c r="V56" s="5">
        <f t="shared" si="41"/>
        <v>7.1404984024626472E-2</v>
      </c>
      <c r="W56" s="1"/>
      <c r="X56" s="1">
        <f t="shared" si="42"/>
        <v>-725.94999999999709</v>
      </c>
      <c r="Y56" s="1"/>
      <c r="Z56" s="5">
        <f t="shared" si="43"/>
        <v>-2.4405864534760485E-2</v>
      </c>
    </row>
    <row r="57" spans="1:26" s="24" customFormat="1" hidden="1" outlineLevel="2" x14ac:dyDescent="0.25">
      <c r="A57" s="25"/>
      <c r="B57" s="11" t="str">
        <f>CONCATENATE("          ", "6401", " - ", "INTEREST EXPENSE")</f>
        <v xml:space="preserve">          6401 - INTEREST EXPENSE</v>
      </c>
      <c r="C57" s="11"/>
      <c r="D57" s="6">
        <v>4175</v>
      </c>
      <c r="E57" s="2"/>
      <c r="F57" s="7">
        <f t="shared" si="36"/>
        <v>8.4274023193422309E-2</v>
      </c>
      <c r="G57" s="2"/>
      <c r="H57" s="6">
        <v>4280</v>
      </c>
      <c r="I57" s="2"/>
      <c r="J57" s="7">
        <f t="shared" si="37"/>
        <v>9.8237260888096964E-2</v>
      </c>
      <c r="K57" s="2"/>
      <c r="L57" s="6">
        <f t="shared" si="38"/>
        <v>-105</v>
      </c>
      <c r="M57" s="2"/>
      <c r="N57" s="7">
        <f t="shared" si="39"/>
        <v>-2.4532710280373831E-2</v>
      </c>
      <c r="O57" s="11"/>
      <c r="P57" s="6">
        <v>29018.95</v>
      </c>
      <c r="Q57" s="2"/>
      <c r="R57" s="7">
        <f t="shared" si="40"/>
        <v>6.417043630023396E-2</v>
      </c>
      <c r="S57" s="2"/>
      <c r="T57" s="6">
        <v>29744.899999999998</v>
      </c>
      <c r="U57" s="2"/>
      <c r="V57" s="7">
        <f t="shared" si="41"/>
        <v>7.1404984024626472E-2</v>
      </c>
      <c r="W57" s="2"/>
      <c r="X57" s="6">
        <f t="shared" si="42"/>
        <v>-725.94999999999709</v>
      </c>
      <c r="Y57" s="2"/>
      <c r="Z57" s="7">
        <f t="shared" si="43"/>
        <v>-2.4405864534760485E-2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20.68</v>
      </c>
      <c r="E58" s="1"/>
      <c r="F58" s="5">
        <f t="shared" si="36"/>
        <v>4.1743396398562238E-4</v>
      </c>
      <c r="G58" s="1"/>
      <c r="H58" s="1">
        <f>SUM(OSRRefH22_11x_0)</f>
        <v>45.09</v>
      </c>
      <c r="I58" s="1"/>
      <c r="J58" s="5">
        <f t="shared" si="37"/>
        <v>1.0349341339823113E-3</v>
      </c>
      <c r="K58" s="1"/>
      <c r="L58" s="1">
        <f t="shared" si="38"/>
        <v>-24.410000000000004</v>
      </c>
      <c r="M58" s="1"/>
      <c r="N58" s="5">
        <f t="shared" si="39"/>
        <v>-0.54136172100243962</v>
      </c>
      <c r="O58" s="13"/>
      <c r="P58" s="1">
        <f>SUM(OSRRefP22_11x_0)</f>
        <v>937.67</v>
      </c>
      <c r="Q58" s="1"/>
      <c r="R58" s="5">
        <f t="shared" si="40"/>
        <v>2.0734965602008468E-3</v>
      </c>
      <c r="S58" s="1"/>
      <c r="T58" s="1">
        <f>SUM(OSRRefT22_11x_0)</f>
        <v>770.27</v>
      </c>
      <c r="U58" s="1"/>
      <c r="V58" s="5">
        <f t="shared" si="41"/>
        <v>1.8490940310657974E-3</v>
      </c>
      <c r="W58" s="1"/>
      <c r="X58" s="1">
        <f t="shared" si="42"/>
        <v>167.39999999999998</v>
      </c>
      <c r="Y58" s="1"/>
      <c r="Z58" s="5">
        <f t="shared" si="43"/>
        <v>0.21732639204434806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437.31</v>
      </c>
      <c r="Q59" s="2"/>
      <c r="R59" s="7">
        <f t="shared" si="40"/>
        <v>9.6703614357016054E-4</v>
      </c>
      <c r="S59" s="2"/>
      <c r="T59" s="6"/>
      <c r="U59" s="2"/>
      <c r="V59" s="7">
        <f t="shared" si="41"/>
        <v>0</v>
      </c>
      <c r="W59" s="2"/>
      <c r="X59" s="6">
        <f t="shared" si="42"/>
        <v>437.31</v>
      </c>
      <c r="Y59" s="2"/>
      <c r="Z59" s="7">
        <f t="shared" si="43"/>
        <v>0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209.74</v>
      </c>
      <c r="Q60" s="2"/>
      <c r="R60" s="7">
        <f t="shared" si="40"/>
        <v>4.6380407663306459E-4</v>
      </c>
      <c r="S60" s="2"/>
      <c r="T60" s="6">
        <v>202.4</v>
      </c>
      <c r="U60" s="2"/>
      <c r="V60" s="7">
        <f t="shared" si="41"/>
        <v>4.8587720135500202E-4</v>
      </c>
      <c r="W60" s="2"/>
      <c r="X60" s="6">
        <f t="shared" si="42"/>
        <v>7.3400000000000034</v>
      </c>
      <c r="Y60" s="2"/>
      <c r="Z60" s="7">
        <f t="shared" si="43"/>
        <v>3.6264822134387364E-2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20.68</v>
      </c>
      <c r="E61" s="2"/>
      <c r="F61" s="7">
        <f t="shared" si="36"/>
        <v>4.1743396398562238E-4</v>
      </c>
      <c r="G61" s="2"/>
      <c r="H61" s="6">
        <v>45.09</v>
      </c>
      <c r="I61" s="2"/>
      <c r="J61" s="7">
        <f t="shared" si="37"/>
        <v>1.0349341339823113E-3</v>
      </c>
      <c r="K61" s="2"/>
      <c r="L61" s="6">
        <f t="shared" si="38"/>
        <v>-24.410000000000004</v>
      </c>
      <c r="M61" s="2"/>
      <c r="N61" s="7">
        <f t="shared" si="39"/>
        <v>-0.54136172100243962</v>
      </c>
      <c r="O61" s="11"/>
      <c r="P61" s="6">
        <v>290.62</v>
      </c>
      <c r="Q61" s="2"/>
      <c r="R61" s="7">
        <f t="shared" si="40"/>
        <v>6.4265633999762198E-4</v>
      </c>
      <c r="S61" s="2"/>
      <c r="T61" s="6">
        <v>567.87</v>
      </c>
      <c r="U61" s="2"/>
      <c r="V61" s="7">
        <f t="shared" si="41"/>
        <v>1.3632168297107955E-3</v>
      </c>
      <c r="W61" s="2"/>
      <c r="X61" s="6">
        <f t="shared" si="42"/>
        <v>-277.25</v>
      </c>
      <c r="Y61" s="2"/>
      <c r="Z61" s="7">
        <f t="shared" si="43"/>
        <v>-0.48822793949319387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425.32</v>
      </c>
      <c r="E62" s="1"/>
      <c r="F62" s="5">
        <f t="shared" ref="F62:F66" si="44">IF(D$12=0,0,D62/D$12)</f>
        <v>8.5852521064973351E-3</v>
      </c>
      <c r="G62" s="1"/>
      <c r="H62" s="1">
        <f>SUM(OSRRefH22_12x_0)</f>
        <v>470.85</v>
      </c>
      <c r="I62" s="1"/>
      <c r="J62" s="5">
        <f t="shared" ref="J62:J66" si="45">IF(H$12=0,0,H62/H$12)</f>
        <v>1.0807246329243098E-2</v>
      </c>
      <c r="K62" s="1"/>
      <c r="L62" s="1">
        <f t="shared" ref="L62:L66" si="46">+D62-H62</f>
        <v>-45.53000000000003</v>
      </c>
      <c r="M62" s="1"/>
      <c r="N62" s="5">
        <f t="shared" ref="N62:N66" si="47">IF(H62=0,0,L62/H62)</f>
        <v>-9.6697462036742121E-2</v>
      </c>
      <c r="O62" s="13"/>
      <c r="P62" s="1">
        <f>SUM(OSRRefP22_12x_0)</f>
        <v>3844.31</v>
      </c>
      <c r="Q62" s="1"/>
      <c r="R62" s="5">
        <f t="shared" ref="R62:R66" si="48">IF(P$12=0,0,P62/P$12)</f>
        <v>8.5010329447947758E-3</v>
      </c>
      <c r="S62" s="1"/>
      <c r="T62" s="1">
        <f>SUM(OSRRefT22_12x_0)</f>
        <v>3824.8</v>
      </c>
      <c r="U62" s="1"/>
      <c r="V62" s="5">
        <f t="shared" ref="V62:V66" si="49">IF(T$12=0,0,T62/T$12)</f>
        <v>9.1817347813370146E-3</v>
      </c>
      <c r="W62" s="1"/>
      <c r="X62" s="1">
        <f t="shared" ref="X62:X66" si="50">+P62-T62</f>
        <v>19.509999999999764</v>
      </c>
      <c r="Y62" s="1"/>
      <c r="Z62" s="5">
        <f t="shared" ref="Z62:Z66" si="51">IF(T62=0,0,X62/T62)</f>
        <v>5.100920309558608E-3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4"/>
        <v>0</v>
      </c>
      <c r="G63" s="2"/>
      <c r="H63" s="6">
        <v>157.35</v>
      </c>
      <c r="I63" s="2"/>
      <c r="J63" s="7">
        <f t="shared" si="45"/>
        <v>3.6115964955004804E-3</v>
      </c>
      <c r="K63" s="2"/>
      <c r="L63" s="6">
        <f t="shared" si="46"/>
        <v>-157.35</v>
      </c>
      <c r="M63" s="2"/>
      <c r="N63" s="7">
        <f t="shared" si="47"/>
        <v>-1</v>
      </c>
      <c r="O63" s="11"/>
      <c r="P63" s="6">
        <v>1101.45</v>
      </c>
      <c r="Q63" s="2"/>
      <c r="R63" s="7">
        <f t="shared" si="48"/>
        <v>2.4356679708567226E-3</v>
      </c>
      <c r="S63" s="2"/>
      <c r="T63" s="6">
        <v>944.1</v>
      </c>
      <c r="U63" s="2"/>
      <c r="V63" s="7">
        <f t="shared" si="49"/>
        <v>2.2663866887315089E-3</v>
      </c>
      <c r="W63" s="2"/>
      <c r="X63" s="6">
        <f t="shared" si="50"/>
        <v>157.35000000000002</v>
      </c>
      <c r="Y63" s="2"/>
      <c r="Z63" s="7">
        <f t="shared" si="51"/>
        <v>0.16666666666666669</v>
      </c>
    </row>
    <row r="64" spans="1:26" s="24" customFormat="1" hidden="1" outlineLevel="2" x14ac:dyDescent="0.25">
      <c r="A64" s="25"/>
      <c r="B64" s="11" t="str">
        <f>CONCATENATE("          ", "6284", " - ", "TRASH REMOVAL EXPENSE")</f>
        <v xml:space="preserve">          6284 - TRASH REMOVAL EXPENSE</v>
      </c>
      <c r="C64" s="11"/>
      <c r="D64" s="6">
        <v>289</v>
      </c>
      <c r="E64" s="2"/>
      <c r="F64" s="7">
        <f t="shared" si="44"/>
        <v>5.8335790905147417E-3</v>
      </c>
      <c r="G64" s="2"/>
      <c r="H64" s="6">
        <v>237</v>
      </c>
      <c r="I64" s="2"/>
      <c r="J64" s="7">
        <f t="shared" si="45"/>
        <v>5.4397735585231264E-3</v>
      </c>
      <c r="K64" s="2"/>
      <c r="L64" s="6">
        <f t="shared" si="46"/>
        <v>52</v>
      </c>
      <c r="M64" s="2"/>
      <c r="N64" s="7">
        <f t="shared" si="47"/>
        <v>0.21940928270042195</v>
      </c>
      <c r="O64" s="11"/>
      <c r="P64" s="6">
        <v>2022</v>
      </c>
      <c r="Q64" s="2"/>
      <c r="R64" s="7">
        <f t="shared" si="48"/>
        <v>4.4713065841139338E-3</v>
      </c>
      <c r="S64" s="2"/>
      <c r="T64" s="6">
        <v>2229.73</v>
      </c>
      <c r="U64" s="2"/>
      <c r="V64" s="7">
        <f t="shared" si="49"/>
        <v>5.3526431431684222E-3</v>
      </c>
      <c r="W64" s="2"/>
      <c r="X64" s="6">
        <f t="shared" si="50"/>
        <v>-207.73000000000002</v>
      </c>
      <c r="Y64" s="2"/>
      <c r="Z64" s="7">
        <f t="shared" si="51"/>
        <v>-9.3163746283182275E-2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/>
      <c r="Q65" s="2"/>
      <c r="R65" s="7">
        <f t="shared" si="48"/>
        <v>0</v>
      </c>
      <c r="S65" s="2"/>
      <c r="T65" s="6">
        <v>25</v>
      </c>
      <c r="U65" s="2"/>
      <c r="V65" s="7">
        <f t="shared" si="49"/>
        <v>6.0014476451951831E-5</v>
      </c>
      <c r="W65" s="2"/>
      <c r="X65" s="6">
        <f t="shared" si="50"/>
        <v>-25</v>
      </c>
      <c r="Y65" s="2"/>
      <c r="Z65" s="7">
        <f t="shared" si="51"/>
        <v>-1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136.32</v>
      </c>
      <c r="E66" s="2"/>
      <c r="F66" s="7">
        <f t="shared" si="44"/>
        <v>2.7516730159825938E-3</v>
      </c>
      <c r="G66" s="2"/>
      <c r="H66" s="6">
        <v>76.5</v>
      </c>
      <c r="I66" s="2"/>
      <c r="J66" s="7">
        <f t="shared" si="45"/>
        <v>1.75587627521949E-3</v>
      </c>
      <c r="K66" s="2"/>
      <c r="L66" s="6">
        <f t="shared" si="46"/>
        <v>59.819999999999993</v>
      </c>
      <c r="M66" s="2"/>
      <c r="N66" s="7">
        <f t="shared" si="47"/>
        <v>0.7819607843137254</v>
      </c>
      <c r="O66" s="11"/>
      <c r="P66" s="6">
        <v>720.86</v>
      </c>
      <c r="Q66" s="2"/>
      <c r="R66" s="7">
        <f t="shared" si="48"/>
        <v>1.59405838982412E-3</v>
      </c>
      <c r="S66" s="2"/>
      <c r="T66" s="6">
        <v>625.97</v>
      </c>
      <c r="U66" s="2"/>
      <c r="V66" s="7">
        <f t="shared" si="49"/>
        <v>1.5026904729851316E-3</v>
      </c>
      <c r="W66" s="2"/>
      <c r="X66" s="6">
        <f t="shared" si="50"/>
        <v>94.889999999999986</v>
      </c>
      <c r="Y66" s="2"/>
      <c r="Z66" s="7">
        <f t="shared" si="51"/>
        <v>0.1515887342843906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176.4</v>
      </c>
      <c r="E67" s="1"/>
      <c r="F67" s="5">
        <f t="shared" ref="F67:F69" si="52">IF(D$12=0,0,D67/D$12)</f>
        <v>3.5607036386394483E-3</v>
      </c>
      <c r="G67" s="1"/>
      <c r="H67" s="1">
        <f>SUM(OSRRefH22_13x_0)</f>
        <v>352.8</v>
      </c>
      <c r="I67" s="1"/>
      <c r="J67" s="5">
        <f t="shared" ref="J67:J69" si="53">IF(H$12=0,0,H67/H$12)</f>
        <v>8.0976882339534127E-3</v>
      </c>
      <c r="K67" s="1"/>
      <c r="L67" s="1">
        <f t="shared" ref="L67:L69" si="54">+D67-H67</f>
        <v>-176.4</v>
      </c>
      <c r="M67" s="1"/>
      <c r="N67" s="5">
        <f t="shared" ref="N67:N69" si="55">IF(H67=0,0,L67/H67)</f>
        <v>-0.5</v>
      </c>
      <c r="O67" s="13"/>
      <c r="P67" s="1">
        <f>SUM(OSRRefP22_13x_0)</f>
        <v>1234.8</v>
      </c>
      <c r="Q67" s="1"/>
      <c r="R67" s="5">
        <f t="shared" ref="R67:R69" si="56">IF(P$12=0,0,P67/P$12)</f>
        <v>2.7305486498832273E-3</v>
      </c>
      <c r="S67" s="1"/>
      <c r="T67" s="1">
        <f>SUM(OSRRefT22_13x_0)</f>
        <v>705.6</v>
      </c>
      <c r="U67" s="1"/>
      <c r="V67" s="5">
        <f t="shared" ref="V67:V69" si="57">IF(T$12=0,0,T67/T$12)</f>
        <v>1.6938485833798884E-3</v>
      </c>
      <c r="W67" s="1"/>
      <c r="X67" s="1">
        <f t="shared" ref="X67:X69" si="58">+P67-T67</f>
        <v>529.19999999999993</v>
      </c>
      <c r="Y67" s="1"/>
      <c r="Z67" s="5">
        <f t="shared" ref="Z67:Z69" si="59">IF(T67=0,0,X67/T67)</f>
        <v>0.74999999999999989</v>
      </c>
    </row>
    <row r="68" spans="1:26" s="24" customFormat="1" hidden="1" outlineLevel="2" x14ac:dyDescent="0.25">
      <c r="A68" s="25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52"/>
        <v>0</v>
      </c>
      <c r="G68" s="2"/>
      <c r="H68" s="6">
        <v>176.4</v>
      </c>
      <c r="I68" s="2"/>
      <c r="J68" s="7">
        <f t="shared" si="53"/>
        <v>4.0488441169767063E-3</v>
      </c>
      <c r="K68" s="2"/>
      <c r="L68" s="6">
        <f t="shared" si="54"/>
        <v>-176.4</v>
      </c>
      <c r="M68" s="2"/>
      <c r="N68" s="7">
        <f t="shared" si="55"/>
        <v>-1</v>
      </c>
      <c r="O68" s="11"/>
      <c r="P68" s="6"/>
      <c r="Q68" s="2"/>
      <c r="R68" s="7">
        <f t="shared" si="56"/>
        <v>0</v>
      </c>
      <c r="S68" s="2"/>
      <c r="T68" s="6">
        <v>176.4</v>
      </c>
      <c r="U68" s="2"/>
      <c r="V68" s="7">
        <f t="shared" si="57"/>
        <v>4.234621458449721E-4</v>
      </c>
      <c r="W68" s="2"/>
      <c r="X68" s="6">
        <f t="shared" si="58"/>
        <v>-176.4</v>
      </c>
      <c r="Y68" s="2"/>
      <c r="Z68" s="7">
        <f t="shared" si="59"/>
        <v>-1</v>
      </c>
    </row>
    <row r="69" spans="1:26" s="24" customFormat="1" hidden="1" outlineLevel="2" x14ac:dyDescent="0.25">
      <c r="A69" s="25"/>
      <c r="B69" s="11" t="str">
        <f>CONCATENATE("          ", "6275", " - ", "SUBSCRIPTIONS")</f>
        <v xml:space="preserve">          6275 - SUBSCRIPTIONS</v>
      </c>
      <c r="C69" s="11"/>
      <c r="D69" s="6">
        <v>176.4</v>
      </c>
      <c r="E69" s="2"/>
      <c r="F69" s="7">
        <f t="shared" si="52"/>
        <v>3.5607036386394483E-3</v>
      </c>
      <c r="G69" s="2"/>
      <c r="H69" s="6">
        <v>176.4</v>
      </c>
      <c r="I69" s="2"/>
      <c r="J69" s="7">
        <f t="shared" si="53"/>
        <v>4.0488441169767063E-3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1234.8</v>
      </c>
      <c r="Q69" s="2"/>
      <c r="R69" s="7">
        <f t="shared" si="56"/>
        <v>2.7305486498832273E-3</v>
      </c>
      <c r="S69" s="2"/>
      <c r="T69" s="6">
        <v>529.20000000000005</v>
      </c>
      <c r="U69" s="2"/>
      <c r="V69" s="7">
        <f t="shared" si="57"/>
        <v>1.2703864375349164E-3</v>
      </c>
      <c r="W69" s="2"/>
      <c r="X69" s="6">
        <f t="shared" si="58"/>
        <v>705.59999999999991</v>
      </c>
      <c r="Y69" s="2"/>
      <c r="Z69" s="7">
        <f t="shared" si="59"/>
        <v>1.333333333333333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1032.4099999999999</v>
      </c>
      <c r="E70" s="1"/>
      <c r="F70" s="5">
        <f t="shared" ref="F70:F76" si="60">IF(D$12=0,0,D70/D$12)</f>
        <v>2.0839603421585896E-2</v>
      </c>
      <c r="G70" s="1"/>
      <c r="H70" s="1">
        <f>SUM(OSRRefH22_14x_0)</f>
        <v>398.45</v>
      </c>
      <c r="I70" s="1"/>
      <c r="J70" s="5">
        <f t="shared" ref="J70:J76" si="61">IF(H$12=0,0,H70/H$12)</f>
        <v>9.1454758413229524E-3</v>
      </c>
      <c r="K70" s="1"/>
      <c r="L70" s="1">
        <f t="shared" ref="L70:L76" si="62">+D70-H70</f>
        <v>633.95999999999981</v>
      </c>
      <c r="M70" s="1"/>
      <c r="N70" s="5">
        <f t="shared" ref="N70:N76" si="63">IF(H70=0,0,L70/H70)</f>
        <v>1.5910653783410713</v>
      </c>
      <c r="O70" s="13"/>
      <c r="P70" s="1">
        <f>SUM(OSRRefP22_14x_0)</f>
        <v>9842.9500000000007</v>
      </c>
      <c r="Q70" s="1"/>
      <c r="R70" s="5">
        <f t="shared" ref="R70:R76" si="64">IF(P$12=0,0,P70/P$12)</f>
        <v>2.1765997597479849E-2</v>
      </c>
      <c r="S70" s="1"/>
      <c r="T70" s="1">
        <f>SUM(OSRRefT22_14x_0)</f>
        <v>7297.41</v>
      </c>
      <c r="U70" s="1"/>
      <c r="V70" s="5">
        <f t="shared" ref="V70:V76" si="65">IF(T$12=0,0,T70/T$12)</f>
        <v>1.7518009624209512E-2</v>
      </c>
      <c r="W70" s="1"/>
      <c r="X70" s="1">
        <f t="shared" ref="X70:X76" si="66">+P70-T70</f>
        <v>2545.5400000000009</v>
      </c>
      <c r="Y70" s="1"/>
      <c r="Z70" s="5">
        <f t="shared" ref="Z70:Z76" si="67">IF(T70=0,0,X70/T70)</f>
        <v>0.3488278718065726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0"/>
        <v>0</v>
      </c>
      <c r="G71" s="2"/>
      <c r="H71" s="6"/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>
        <v>28.22</v>
      </c>
      <c r="Q71" s="2"/>
      <c r="R71" s="7">
        <f t="shared" si="64"/>
        <v>6.2403695254053024E-5</v>
      </c>
      <c r="S71" s="2"/>
      <c r="T71" s="6">
        <v>939.33</v>
      </c>
      <c r="U71" s="2"/>
      <c r="V71" s="7">
        <f t="shared" si="65"/>
        <v>2.2549359266244764E-3</v>
      </c>
      <c r="W71" s="2"/>
      <c r="X71" s="6">
        <f t="shared" si="66"/>
        <v>-911.11</v>
      </c>
      <c r="Y71" s="2"/>
      <c r="Z71" s="7">
        <f t="shared" si="67"/>
        <v>-0.96995730999755136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230.92</v>
      </c>
      <c r="E72" s="2"/>
      <c r="F72" s="7">
        <f t="shared" si="60"/>
        <v>4.6612113618742703E-3</v>
      </c>
      <c r="G72" s="2"/>
      <c r="H72" s="6">
        <v>338.45</v>
      </c>
      <c r="I72" s="2"/>
      <c r="J72" s="7">
        <f t="shared" si="61"/>
        <v>7.7683179784057048E-3</v>
      </c>
      <c r="K72" s="2"/>
      <c r="L72" s="6">
        <f t="shared" si="62"/>
        <v>-107.53</v>
      </c>
      <c r="M72" s="2"/>
      <c r="N72" s="7">
        <f t="shared" si="63"/>
        <v>-0.31771310385581331</v>
      </c>
      <c r="O72" s="11"/>
      <c r="P72" s="6">
        <v>920.97</v>
      </c>
      <c r="Q72" s="2"/>
      <c r="R72" s="7">
        <f t="shared" si="64"/>
        <v>2.0365673713013898E-3</v>
      </c>
      <c r="S72" s="2"/>
      <c r="T72" s="6">
        <v>2286.63</v>
      </c>
      <c r="U72" s="2"/>
      <c r="V72" s="7">
        <f t="shared" si="65"/>
        <v>5.4892360915730649E-3</v>
      </c>
      <c r="W72" s="2"/>
      <c r="X72" s="6">
        <f t="shared" si="66"/>
        <v>-1365.66</v>
      </c>
      <c r="Y72" s="2"/>
      <c r="Z72" s="7">
        <f t="shared" si="67"/>
        <v>-0.59723698193411268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37.96</v>
      </c>
      <c r="E73" s="2"/>
      <c r="F73" s="7">
        <f t="shared" si="60"/>
        <v>7.6623758572989483E-4</v>
      </c>
      <c r="G73" s="2"/>
      <c r="H73" s="6"/>
      <c r="I73" s="2"/>
      <c r="J73" s="7">
        <f t="shared" si="61"/>
        <v>0</v>
      </c>
      <c r="K73" s="2"/>
      <c r="L73" s="6">
        <f t="shared" si="62"/>
        <v>37.96</v>
      </c>
      <c r="M73" s="2"/>
      <c r="N73" s="7">
        <f t="shared" si="63"/>
        <v>0</v>
      </c>
      <c r="O73" s="11"/>
      <c r="P73" s="6">
        <v>484.03</v>
      </c>
      <c r="Q73" s="2"/>
      <c r="R73" s="7">
        <f t="shared" si="64"/>
        <v>1.0703494193415764E-3</v>
      </c>
      <c r="S73" s="2"/>
      <c r="T73" s="6">
        <v>2394.8200000000002</v>
      </c>
      <c r="U73" s="2"/>
      <c r="V73" s="7">
        <f t="shared" si="65"/>
        <v>5.7489547398665315E-3</v>
      </c>
      <c r="W73" s="2"/>
      <c r="X73" s="6">
        <f t="shared" si="66"/>
        <v>-1910.7900000000002</v>
      </c>
      <c r="Y73" s="2"/>
      <c r="Z73" s="7">
        <f t="shared" si="67"/>
        <v>-0.7978846009303413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453.53</v>
      </c>
      <c r="E74" s="2"/>
      <c r="F74" s="7">
        <f t="shared" si="60"/>
        <v>9.154682093152771E-3</v>
      </c>
      <c r="G74" s="2"/>
      <c r="H74" s="6"/>
      <c r="I74" s="2"/>
      <c r="J74" s="7">
        <f t="shared" si="61"/>
        <v>0</v>
      </c>
      <c r="K74" s="2"/>
      <c r="L74" s="6">
        <f t="shared" si="62"/>
        <v>453.53</v>
      </c>
      <c r="M74" s="2"/>
      <c r="N74" s="7">
        <f t="shared" si="63"/>
        <v>0</v>
      </c>
      <c r="O74" s="11"/>
      <c r="P74" s="6">
        <v>1130.08</v>
      </c>
      <c r="Q74" s="2"/>
      <c r="R74" s="7">
        <f t="shared" si="64"/>
        <v>2.4989783108681873E-3</v>
      </c>
      <c r="S74" s="2"/>
      <c r="T74" s="6">
        <v>1142.31</v>
      </c>
      <c r="U74" s="2"/>
      <c r="V74" s="7">
        <f t="shared" si="65"/>
        <v>2.7422054638331634E-3</v>
      </c>
      <c r="W74" s="2"/>
      <c r="X74" s="6">
        <f t="shared" si="66"/>
        <v>-12.230000000000018</v>
      </c>
      <c r="Y74" s="2"/>
      <c r="Z74" s="7">
        <f t="shared" si="67"/>
        <v>-1.0706375677355551E-2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6">
        <v>310</v>
      </c>
      <c r="E75" s="2"/>
      <c r="F75" s="7">
        <f t="shared" si="60"/>
        <v>6.2574723808289621E-3</v>
      </c>
      <c r="G75" s="2"/>
      <c r="H75" s="6">
        <v>60</v>
      </c>
      <c r="I75" s="2"/>
      <c r="J75" s="7">
        <f t="shared" si="61"/>
        <v>1.3771578629172472E-3</v>
      </c>
      <c r="K75" s="2"/>
      <c r="L75" s="6">
        <f t="shared" si="62"/>
        <v>250</v>
      </c>
      <c r="M75" s="2"/>
      <c r="N75" s="7">
        <f t="shared" si="63"/>
        <v>4.166666666666667</v>
      </c>
      <c r="O75" s="11"/>
      <c r="P75" s="6">
        <v>7279.65</v>
      </c>
      <c r="Q75" s="2"/>
      <c r="R75" s="7">
        <f t="shared" si="64"/>
        <v>1.6097698800714638E-2</v>
      </c>
      <c r="S75" s="2"/>
      <c r="T75" s="6">
        <v>134.62</v>
      </c>
      <c r="U75" s="2"/>
      <c r="V75" s="7">
        <f t="shared" si="65"/>
        <v>3.2316595279847021E-4</v>
      </c>
      <c r="W75" s="2"/>
      <c r="X75" s="6">
        <f t="shared" si="66"/>
        <v>7145.03</v>
      </c>
      <c r="Y75" s="2"/>
      <c r="Z75" s="7">
        <f t="shared" si="67"/>
        <v>53.075545981280641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60"/>
        <v>0</v>
      </c>
      <c r="G76" s="2"/>
      <c r="H76" s="6"/>
      <c r="I76" s="2"/>
      <c r="J76" s="7">
        <f t="shared" si="61"/>
        <v>0</v>
      </c>
      <c r="K76" s="2"/>
      <c r="L76" s="6">
        <f t="shared" si="62"/>
        <v>0</v>
      </c>
      <c r="M76" s="2"/>
      <c r="N76" s="7">
        <f t="shared" si="63"/>
        <v>0</v>
      </c>
      <c r="O76" s="11"/>
      <c r="P76" s="6"/>
      <c r="Q76" s="2"/>
      <c r="R76" s="7">
        <f t="shared" si="64"/>
        <v>0</v>
      </c>
      <c r="S76" s="2"/>
      <c r="T76" s="6">
        <v>399.7</v>
      </c>
      <c r="U76" s="2"/>
      <c r="V76" s="7">
        <f t="shared" si="65"/>
        <v>9.5951144951380587E-4</v>
      </c>
      <c r="W76" s="2"/>
      <c r="X76" s="6">
        <f t="shared" si="66"/>
        <v>-399.7</v>
      </c>
      <c r="Y76" s="2"/>
      <c r="Z76" s="7">
        <f t="shared" si="67"/>
        <v>-1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88.65</v>
      </c>
      <c r="E77" s="1"/>
      <c r="F77" s="5">
        <f t="shared" ref="F77:F82" si="68">IF(D$12=0,0,D77/D$12)</f>
        <v>1.7894352469693146E-3</v>
      </c>
      <c r="G77" s="1"/>
      <c r="H77" s="1">
        <f>SUM(OSRRefH22_15x_0)</f>
        <v>-1.5</v>
      </c>
      <c r="I77" s="1"/>
      <c r="J77" s="5">
        <f t="shared" ref="J77:J82" si="69">IF(H$12=0,0,H77/H$12)</f>
        <v>-3.4428946572931179E-5</v>
      </c>
      <c r="K77" s="1"/>
      <c r="L77" s="1">
        <f t="shared" ref="L77:L82" si="70">+D77-H77</f>
        <v>90.15</v>
      </c>
      <c r="M77" s="1"/>
      <c r="N77" s="5">
        <f t="shared" ref="N77:N82" si="71">IF(H77=0,0,L77/H77)</f>
        <v>-60.1</v>
      </c>
      <c r="O77" s="13"/>
      <c r="P77" s="1">
        <f>SUM(OSRRefP22_15x_0)</f>
        <v>322.25</v>
      </c>
      <c r="Q77" s="1"/>
      <c r="R77" s="5">
        <f t="shared" ref="R77:R82" si="72">IF(P$12=0,0,P77/P$12)</f>
        <v>7.1260066603892939E-4</v>
      </c>
      <c r="S77" s="1"/>
      <c r="T77" s="1">
        <f>SUM(OSRRefT22_15x_0)</f>
        <v>235.5</v>
      </c>
      <c r="U77" s="1"/>
      <c r="V77" s="5">
        <f t="shared" ref="V77:V82" si="73">IF(T$12=0,0,T77/T$12)</f>
        <v>5.653363681773862E-4</v>
      </c>
      <c r="W77" s="1"/>
      <c r="X77" s="1">
        <f t="shared" ref="X77:X82" si="74">+P77-T77</f>
        <v>86.75</v>
      </c>
      <c r="Y77" s="1"/>
      <c r="Z77" s="5">
        <f t="shared" ref="Z77:Z82" si="75">IF(T77=0,0,X77/T77)</f>
        <v>0.36836518046709127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6">
        <v>88.65</v>
      </c>
      <c r="E78" s="2"/>
      <c r="F78" s="7">
        <f t="shared" si="68"/>
        <v>1.7894352469693146E-3</v>
      </c>
      <c r="G78" s="2"/>
      <c r="H78" s="6">
        <v>-1.5</v>
      </c>
      <c r="I78" s="2"/>
      <c r="J78" s="7">
        <f t="shared" si="69"/>
        <v>-3.4428946572931179E-5</v>
      </c>
      <c r="K78" s="2"/>
      <c r="L78" s="6">
        <f t="shared" si="70"/>
        <v>90.15</v>
      </c>
      <c r="M78" s="2"/>
      <c r="N78" s="7">
        <f t="shared" si="71"/>
        <v>-60.1</v>
      </c>
      <c r="O78" s="11"/>
      <c r="P78" s="6">
        <v>322.25</v>
      </c>
      <c r="Q78" s="2"/>
      <c r="R78" s="7">
        <f t="shared" si="72"/>
        <v>7.1260066603892939E-4</v>
      </c>
      <c r="S78" s="2"/>
      <c r="T78" s="6">
        <v>235.5</v>
      </c>
      <c r="U78" s="2"/>
      <c r="V78" s="7">
        <f t="shared" si="73"/>
        <v>5.653363681773862E-4</v>
      </c>
      <c r="W78" s="2"/>
      <c r="X78" s="6">
        <f t="shared" si="74"/>
        <v>86.75</v>
      </c>
      <c r="Y78" s="2"/>
      <c r="Z78" s="7">
        <f t="shared" si="75"/>
        <v>0.36836518046709127</v>
      </c>
    </row>
    <row r="79" spans="1:26" s="26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68"/>
        <v>0</v>
      </c>
      <c r="G79" s="1"/>
      <c r="H79" s="1">
        <f>SUM(OSRRefH22_16x_0)</f>
        <v>0</v>
      </c>
      <c r="I79" s="1"/>
      <c r="J79" s="5">
        <f t="shared" si="69"/>
        <v>0</v>
      </c>
      <c r="K79" s="1"/>
      <c r="L79" s="1">
        <f t="shared" si="70"/>
        <v>0</v>
      </c>
      <c r="M79" s="1"/>
      <c r="N79" s="5">
        <f t="shared" si="71"/>
        <v>0</v>
      </c>
      <c r="O79" s="13"/>
      <c r="P79" s="1">
        <f>SUM(OSRRefP22_16x_0)</f>
        <v>0</v>
      </c>
      <c r="Q79" s="1"/>
      <c r="R79" s="5">
        <f t="shared" si="72"/>
        <v>0</v>
      </c>
      <c r="S79" s="1"/>
      <c r="T79" s="1">
        <f>SUM(OSRRefT22_16x_0)</f>
        <v>139</v>
      </c>
      <c r="U79" s="1"/>
      <c r="V79" s="5">
        <f t="shared" si="73"/>
        <v>3.3368048907285219E-4</v>
      </c>
      <c r="W79" s="1"/>
      <c r="X79" s="1">
        <f t="shared" si="74"/>
        <v>-139</v>
      </c>
      <c r="Y79" s="1"/>
      <c r="Z79" s="5">
        <f t="shared" si="75"/>
        <v>-1</v>
      </c>
    </row>
    <row r="80" spans="1:26" s="24" customFormat="1" hidden="1" outlineLevel="2" x14ac:dyDescent="0.25">
      <c r="A80" s="25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68"/>
        <v>0</v>
      </c>
      <c r="G80" s="2"/>
      <c r="H80" s="6"/>
      <c r="I80" s="2"/>
      <c r="J80" s="7">
        <f t="shared" si="69"/>
        <v>0</v>
      </c>
      <c r="K80" s="2"/>
      <c r="L80" s="6">
        <f t="shared" si="70"/>
        <v>0</v>
      </c>
      <c r="M80" s="2"/>
      <c r="N80" s="7">
        <f t="shared" si="71"/>
        <v>0</v>
      </c>
      <c r="O80" s="11"/>
      <c r="P80" s="6"/>
      <c r="Q80" s="2"/>
      <c r="R80" s="7">
        <f t="shared" si="72"/>
        <v>0</v>
      </c>
      <c r="S80" s="2"/>
      <c r="T80" s="6">
        <v>139</v>
      </c>
      <c r="U80" s="2"/>
      <c r="V80" s="7">
        <f t="shared" si="73"/>
        <v>3.3368048907285219E-4</v>
      </c>
      <c r="W80" s="2"/>
      <c r="X80" s="6">
        <f t="shared" si="74"/>
        <v>-139</v>
      </c>
      <c r="Y80" s="2"/>
      <c r="Z80" s="7">
        <f t="shared" si="75"/>
        <v>-1</v>
      </c>
    </row>
    <row r="81" spans="1:26" s="26" customFormat="1" outlineLevel="1" collapsed="1" x14ac:dyDescent="0.25">
      <c r="A81" s="27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SUM(OSRRefD22_17x_0)</f>
        <v>878</v>
      </c>
      <c r="E81" s="1"/>
      <c r="F81" s="5">
        <f t="shared" si="68"/>
        <v>1.7722776614089771E-2</v>
      </c>
      <c r="G81" s="1"/>
      <c r="H81" s="1">
        <f>SUM(OSRRefH22_17x_0)</f>
        <v>771</v>
      </c>
      <c r="I81" s="1"/>
      <c r="J81" s="5">
        <f t="shared" si="69"/>
        <v>1.7696478538486625E-2</v>
      </c>
      <c r="K81" s="1"/>
      <c r="L81" s="1">
        <f t="shared" si="70"/>
        <v>107</v>
      </c>
      <c r="M81" s="1"/>
      <c r="N81" s="5">
        <f t="shared" si="71"/>
        <v>0.13878080415045396</v>
      </c>
      <c r="O81" s="13"/>
      <c r="P81" s="1">
        <f>SUM(OSRRefP22_17x_0)</f>
        <v>5894</v>
      </c>
      <c r="Q81" s="1"/>
      <c r="R81" s="5">
        <f t="shared" si="72"/>
        <v>1.3033571219964159E-2</v>
      </c>
      <c r="S81" s="1"/>
      <c r="T81" s="1">
        <f>SUM(OSRRefT22_17x_0)</f>
        <v>4020.7</v>
      </c>
      <c r="U81" s="1"/>
      <c r="V81" s="5">
        <f t="shared" si="73"/>
        <v>9.6520082188145083E-3</v>
      </c>
      <c r="W81" s="1"/>
      <c r="X81" s="1">
        <f t="shared" si="74"/>
        <v>1873.3000000000002</v>
      </c>
      <c r="Y81" s="1"/>
      <c r="Z81" s="5">
        <f t="shared" si="75"/>
        <v>0.46591389559032015</v>
      </c>
    </row>
    <row r="82" spans="1:26" s="24" customFormat="1" hidden="1" outlineLevel="2" x14ac:dyDescent="0.25">
      <c r="A82" s="25"/>
      <c r="B82" s="11" t="str">
        <f>CONCATENATE("          ", "6274", " - ", "UTILITIES")</f>
        <v xml:space="preserve">          6274 - UTILITIES</v>
      </c>
      <c r="C82" s="11"/>
      <c r="D82" s="6">
        <v>878</v>
      </c>
      <c r="E82" s="2"/>
      <c r="F82" s="7">
        <f t="shared" si="68"/>
        <v>1.7722776614089771E-2</v>
      </c>
      <c r="G82" s="2"/>
      <c r="H82" s="6">
        <v>771</v>
      </c>
      <c r="I82" s="2"/>
      <c r="J82" s="7">
        <f t="shared" si="69"/>
        <v>1.7696478538486625E-2</v>
      </c>
      <c r="K82" s="2"/>
      <c r="L82" s="6">
        <f t="shared" si="70"/>
        <v>107</v>
      </c>
      <c r="M82" s="2"/>
      <c r="N82" s="7">
        <f t="shared" si="71"/>
        <v>0.13878080415045396</v>
      </c>
      <c r="O82" s="11"/>
      <c r="P82" s="6">
        <v>5894</v>
      </c>
      <c r="Q82" s="2"/>
      <c r="R82" s="7">
        <f t="shared" si="72"/>
        <v>1.3033571219964159E-2</v>
      </c>
      <c r="S82" s="2"/>
      <c r="T82" s="6">
        <v>4020.7</v>
      </c>
      <c r="U82" s="2"/>
      <c r="V82" s="7">
        <f t="shared" si="73"/>
        <v>9.6520082188145083E-3</v>
      </c>
      <c r="W82" s="2"/>
      <c r="X82" s="6">
        <f t="shared" si="74"/>
        <v>1873.3000000000002</v>
      </c>
      <c r="Y82" s="2"/>
      <c r="Z82" s="7">
        <f t="shared" si="75"/>
        <v>0.46591389559032015</v>
      </c>
    </row>
    <row r="83" spans="1:26" s="59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1">
        <f>+D20-D22+D84</f>
        <v>-4485.25</v>
      </c>
      <c r="E86" s="14"/>
      <c r="F86" s="22">
        <f>IF(D$12=0,0,D86/D$12)</f>
        <v>-9.0536541922945496E-2</v>
      </c>
      <c r="G86" s="14"/>
      <c r="H86" s="21">
        <f>+H20-H22+H84</f>
        <v>-4743.1199999999953</v>
      </c>
      <c r="I86" s="14"/>
      <c r="J86" s="22">
        <f>IF(H$12=0,0,H86/H$12)</f>
        <v>-0.10886708337933411</v>
      </c>
      <c r="K86" s="16"/>
      <c r="L86" s="21">
        <f>+D86-H86</f>
        <v>257.86999999999534</v>
      </c>
      <c r="M86" s="16"/>
      <c r="N86" s="22">
        <f>IF(H86=0,0,L86/H86)</f>
        <v>-5.4367167602758434E-2</v>
      </c>
      <c r="O86" s="29"/>
      <c r="P86" s="21">
        <f>+P20-P22+P84</f>
        <v>34022.760000000068</v>
      </c>
      <c r="Q86" s="14"/>
      <c r="R86" s="22">
        <f>IF(P$12=0,0,P86/P$12)</f>
        <v>7.5235504845563059E-2</v>
      </c>
      <c r="S86" s="14"/>
      <c r="T86" s="21">
        <f>+T20-T22+T84</f>
        <v>25297.239999999991</v>
      </c>
      <c r="U86" s="14"/>
      <c r="V86" s="22">
        <f>IF(T$12=0,0,T86/T$12)</f>
        <v>6.0728024571174932E-2</v>
      </c>
      <c r="W86" s="16"/>
      <c r="X86" s="21">
        <f>+P86-T86</f>
        <v>8725.5200000000768</v>
      </c>
      <c r="Y86" s="16"/>
      <c r="Z86" s="22">
        <f>IF(T86=0,0,X86/T86)</f>
        <v>0.3449198410577628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3667.7</v>
      </c>
      <c r="E88" s="4"/>
      <c r="F88" s="12">
        <f>IF(D$12=0,0,D88/D$12)</f>
        <v>7.4033972423117364E-2</v>
      </c>
      <c r="G88" s="4"/>
      <c r="H88" s="4">
        <v>2133.66</v>
      </c>
      <c r="I88" s="4"/>
      <c r="J88" s="12">
        <f>IF(H$12=0,0,H88/H$12)</f>
        <v>4.8973110763200219E-2</v>
      </c>
      <c r="K88" s="4"/>
      <c r="L88" s="4">
        <f>+D88-H88</f>
        <v>1534.04</v>
      </c>
      <c r="M88" s="4"/>
      <c r="N88" s="12">
        <f>IF(H88=0,0,L88/H88)</f>
        <v>0.71897115754150154</v>
      </c>
      <c r="O88" s="10"/>
      <c r="P88" s="4">
        <v>47159.81</v>
      </c>
      <c r="Q88" s="4"/>
      <c r="R88" s="12">
        <f>IF(P$12=0,0,P88/P$12)</f>
        <v>0.10428584023667761</v>
      </c>
      <c r="S88" s="4"/>
      <c r="T88" s="4">
        <v>42385.81</v>
      </c>
      <c r="U88" s="4"/>
      <c r="V88" s="12">
        <f>IF(T$12=0,0,T88/T$12)</f>
        <v>0.10175048784567617</v>
      </c>
      <c r="W88" s="4"/>
      <c r="X88" s="4">
        <f>+P88-T88</f>
        <v>4774</v>
      </c>
      <c r="Y88" s="4"/>
      <c r="Z88" s="12">
        <f>IF(T88=0,0,X88/T88)</f>
        <v>0.11263203416426394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4">
        <f>+D86-D88</f>
        <v>-8152.95</v>
      </c>
      <c r="E90" s="14"/>
      <c r="F90" s="31">
        <f>IF(D$12=0,0,D90/D$12)</f>
        <v>-0.16457051434606285</v>
      </c>
      <c r="G90" s="14"/>
      <c r="H90" s="34">
        <f>+H86-H88</f>
        <v>-6876.7799999999952</v>
      </c>
      <c r="I90" s="14"/>
      <c r="J90" s="31">
        <f>IF(H$12=0,0,H90/H$12)</f>
        <v>-0.15784019414253433</v>
      </c>
      <c r="K90" s="16"/>
      <c r="L90" s="34">
        <f>D90-H90</f>
        <v>-1276.1700000000046</v>
      </c>
      <c r="M90" s="16"/>
      <c r="N90" s="31">
        <f>IF(H90=0,0,L90/H90)</f>
        <v>0.18557667978327147</v>
      </c>
      <c r="O90" s="29"/>
      <c r="P90" s="34">
        <f>+P86-P88</f>
        <v>-13137.04999999993</v>
      </c>
      <c r="Q90" s="14"/>
      <c r="R90" s="31">
        <f>IF(P$12=0,0,P90/P$12)</f>
        <v>-2.9050335391114564E-2</v>
      </c>
      <c r="S90" s="14"/>
      <c r="T90" s="34">
        <f>+T86-T88</f>
        <v>-17088.570000000007</v>
      </c>
      <c r="U90" s="14"/>
      <c r="V90" s="31">
        <f>IF(T$12=0,0,T90/T$12)</f>
        <v>-4.1022463274501236E-2</v>
      </c>
      <c r="W90" s="16"/>
      <c r="X90" s="34">
        <f>P90-T90</f>
        <v>3951.5200000000768</v>
      </c>
      <c r="Y90" s="16"/>
      <c r="Z90" s="31">
        <f>IF(T90=0,0,X90/T90)</f>
        <v>-0.23123760501903173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0">
        <f>SUM(D90:D92)</f>
        <v>-8152.95</v>
      </c>
      <c r="E93" s="14"/>
      <c r="F93" s="33">
        <f>IF(D$12=0,0,D93/D$12)</f>
        <v>-0.16457051434606285</v>
      </c>
      <c r="G93" s="14"/>
      <c r="H93" s="30">
        <f>SUM(H90:H92)</f>
        <v>-6876.7799999999952</v>
      </c>
      <c r="I93" s="14"/>
      <c r="J93" s="33">
        <f>IF(H$12=0,0,H93/H$12)</f>
        <v>-0.15784019414253433</v>
      </c>
      <c r="K93" s="16"/>
      <c r="L93" s="30">
        <f>+D93-H93</f>
        <v>-1276.1700000000046</v>
      </c>
      <c r="M93" s="16"/>
      <c r="N93" s="33">
        <f>IF(H93=0,0,L93/H93)</f>
        <v>0.18557667978327147</v>
      </c>
      <c r="O93" s="29"/>
      <c r="P93" s="30">
        <f>SUM(P90:P92)</f>
        <v>-13137.04999999993</v>
      </c>
      <c r="Q93" s="14"/>
      <c r="R93" s="33">
        <f>IF(P$12=0,0,P93/P$12)</f>
        <v>-2.9050335391114564E-2</v>
      </c>
      <c r="S93" s="14"/>
      <c r="T93" s="30">
        <f>SUM(T90:T92)</f>
        <v>-17088.570000000007</v>
      </c>
      <c r="U93" s="14"/>
      <c r="V93" s="33">
        <f>IF(T$12=0,0,T93/T$12)</f>
        <v>-4.1022463274501236E-2</v>
      </c>
      <c r="W93" s="16"/>
      <c r="X93" s="30">
        <f>+P93-T93</f>
        <v>3951.5200000000768</v>
      </c>
      <c r="Y93" s="16"/>
      <c r="Z93" s="33">
        <f>IF(T93=0,0,X93/T93)</f>
        <v>-0.23123760501903173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1">
        <v>43879.554034375004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8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","327", " - ", "C-Store Vending Machine(s)")</f>
        <v>Department 327 - C-Store Vending Machine(s)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715</v>
      </c>
      <c r="E12" s="4"/>
      <c r="F12" s="12"/>
      <c r="G12" s="4"/>
      <c r="H12" s="4">
        <f>SUM(OSRRefH13x_0)</f>
        <v>391.75</v>
      </c>
      <c r="I12" s="4"/>
      <c r="J12" s="12"/>
      <c r="K12" s="4"/>
      <c r="L12" s="4">
        <f t="shared" ref="L12:L13" si="0">+D12-H12</f>
        <v>323.25</v>
      </c>
      <c r="M12" s="4"/>
      <c r="N12" s="12">
        <f t="shared" ref="N12:N13" si="1">IF(H12=0,0,L12/H12)</f>
        <v>0.82514358647096364</v>
      </c>
      <c r="O12" s="10"/>
      <c r="P12" s="4">
        <f>SUM(OSRRefP13x_0)</f>
        <v>10275</v>
      </c>
      <c r="Q12" s="4"/>
      <c r="R12" s="12"/>
      <c r="S12" s="4"/>
      <c r="T12" s="4">
        <f>SUM(OSRRefT13x_0)</f>
        <v>7579.75</v>
      </c>
      <c r="U12" s="4"/>
      <c r="V12" s="12"/>
      <c r="W12" s="4"/>
      <c r="X12" s="4">
        <f t="shared" ref="X12:X13" si="2">+P12-T12</f>
        <v>2695.25</v>
      </c>
      <c r="Y12" s="4"/>
      <c r="Z12" s="12">
        <f t="shared" ref="Z12:Z13" si="3">IF(T12=0,0,X12/T12)</f>
        <v>0.35558560638543485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--715</f>
        <v>715</v>
      </c>
      <c r="E13" s="2"/>
      <c r="F13" s="19"/>
      <c r="G13" s="2"/>
      <c r="H13" s="2">
        <f>--391.75</f>
        <v>391.75</v>
      </c>
      <c r="I13" s="2"/>
      <c r="J13" s="19"/>
      <c r="K13" s="2"/>
      <c r="L13" s="2">
        <f t="shared" si="0"/>
        <v>323.25</v>
      </c>
      <c r="M13" s="2"/>
      <c r="N13" s="19">
        <f t="shared" si="1"/>
        <v>0.82514358647096364</v>
      </c>
      <c r="O13" s="11"/>
      <c r="P13" s="2">
        <f>--10275</f>
        <v>10275</v>
      </c>
      <c r="Q13" s="2"/>
      <c r="R13" s="19"/>
      <c r="S13" s="2"/>
      <c r="T13" s="2">
        <f>--7579.75</f>
        <v>7579.75</v>
      </c>
      <c r="U13" s="2"/>
      <c r="V13" s="19"/>
      <c r="W13" s="2"/>
      <c r="X13" s="2">
        <f t="shared" si="2"/>
        <v>2695.25</v>
      </c>
      <c r="Y13" s="2"/>
      <c r="Z13" s="19">
        <f t="shared" si="3"/>
        <v>0.35558560638543485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1074.18</v>
      </c>
      <c r="E15" s="4"/>
      <c r="F15" s="12">
        <f t="shared" ref="F15:F16" si="4">IF(D$12=0,0,D15/D$12)</f>
        <v>1.5023496503496505</v>
      </c>
      <c r="G15" s="4"/>
      <c r="H15" s="4">
        <f>SUM(OSRRefH16x_0)</f>
        <v>-327</v>
      </c>
      <c r="I15" s="4"/>
      <c r="J15" s="12">
        <f t="shared" ref="J15:J16" si="5">IF(H$12=0,0,H15/H$12)</f>
        <v>-0.83471601786853866</v>
      </c>
      <c r="K15" s="4"/>
      <c r="L15" s="4">
        <f t="shared" ref="L15:L16" si="6">+D15-H15</f>
        <v>1401.18</v>
      </c>
      <c r="M15" s="4"/>
      <c r="N15" s="12">
        <f t="shared" ref="N15:N16" si="7">IF(H15=0,0,L15/H15)</f>
        <v>-4.2849541284403676</v>
      </c>
      <c r="O15" s="10"/>
      <c r="P15" s="4">
        <f>SUM(OSRRefP16x_0)</f>
        <v>1988.12</v>
      </c>
      <c r="Q15" s="4"/>
      <c r="R15" s="12">
        <f t="shared" ref="R15:R16" si="8">IF(P$12=0,0,P15/P$12)</f>
        <v>0.19349099756690996</v>
      </c>
      <c r="S15" s="4"/>
      <c r="T15" s="4">
        <f>SUM(OSRRefT16x_0)</f>
        <v>1481.41</v>
      </c>
      <c r="U15" s="4"/>
      <c r="V15" s="12">
        <f t="shared" ref="V15:V16" si="9">IF(T$12=0,0,T15/T$12)</f>
        <v>0.19544312147498269</v>
      </c>
      <c r="W15" s="4"/>
      <c r="X15" s="4">
        <f t="shared" ref="X15:X16" si="10">+P15-T15</f>
        <v>506.70999999999981</v>
      </c>
      <c r="Y15" s="4"/>
      <c r="Z15" s="12">
        <f t="shared" ref="Z15:Z16" si="11">IF(T15=0,0,X15/T15)</f>
        <v>0.34204575370761625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1074.18</v>
      </c>
      <c r="E16" s="2"/>
      <c r="F16" s="19">
        <f t="shared" si="4"/>
        <v>1.5023496503496505</v>
      </c>
      <c r="G16" s="2"/>
      <c r="H16" s="2">
        <v>-327</v>
      </c>
      <c r="I16" s="2"/>
      <c r="J16" s="19">
        <f t="shared" si="5"/>
        <v>-0.83471601786853866</v>
      </c>
      <c r="K16" s="2"/>
      <c r="L16" s="2">
        <f t="shared" si="6"/>
        <v>1401.18</v>
      </c>
      <c r="M16" s="2"/>
      <c r="N16" s="19">
        <f t="shared" si="7"/>
        <v>-4.2849541284403676</v>
      </c>
      <c r="O16" s="11"/>
      <c r="P16" s="2">
        <v>1988.12</v>
      </c>
      <c r="Q16" s="2"/>
      <c r="R16" s="19">
        <f t="shared" si="8"/>
        <v>0.19349099756690996</v>
      </c>
      <c r="S16" s="2"/>
      <c r="T16" s="2">
        <v>1481.41</v>
      </c>
      <c r="U16" s="2"/>
      <c r="V16" s="19">
        <f t="shared" si="9"/>
        <v>0.19544312147498269</v>
      </c>
      <c r="W16" s="2"/>
      <c r="X16" s="2">
        <f t="shared" si="10"/>
        <v>506.70999999999981</v>
      </c>
      <c r="Y16" s="2"/>
      <c r="Z16" s="19">
        <f t="shared" si="11"/>
        <v>0.34204575370761625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>
        <f>D12-D15</f>
        <v>-359.18000000000006</v>
      </c>
      <c r="E18" s="14"/>
      <c r="F18" s="22">
        <f>IF(D$12=0,0,D18/D$12)</f>
        <v>-0.5023496503496504</v>
      </c>
      <c r="G18" s="14"/>
      <c r="H18" s="21">
        <f>H12-H15</f>
        <v>718.75</v>
      </c>
      <c r="I18" s="14"/>
      <c r="J18" s="22">
        <f>IF(H$12=0,0,H18/H$12)</f>
        <v>1.8347160178685387</v>
      </c>
      <c r="K18" s="16"/>
      <c r="L18" s="21">
        <f>+D18-H18</f>
        <v>-1077.93</v>
      </c>
      <c r="M18" s="16"/>
      <c r="N18" s="22">
        <f>IF(H18=0,0,L18/H18)</f>
        <v>-1.499728695652174</v>
      </c>
      <c r="O18" s="29"/>
      <c r="P18" s="21">
        <f>P12-P15</f>
        <v>8286.880000000001</v>
      </c>
      <c r="Q18" s="14"/>
      <c r="R18" s="22">
        <f>IF(P$12=0,0,P18/P$12)</f>
        <v>0.80650900243309009</v>
      </c>
      <c r="S18" s="14"/>
      <c r="T18" s="21">
        <f>T12-T15</f>
        <v>6098.34</v>
      </c>
      <c r="U18" s="14"/>
      <c r="V18" s="22">
        <f>IF(T$12=0,0,T18/T$12)</f>
        <v>0.80455687852501734</v>
      </c>
      <c r="W18" s="16"/>
      <c r="X18" s="21">
        <f>+P18-T18</f>
        <v>2188.5400000000009</v>
      </c>
      <c r="Y18" s="16"/>
      <c r="Z18" s="22">
        <f>IF(T18=0,0,X18/T18)</f>
        <v>0.35887471016702921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>
        <f>SUM(OSRRefD22x_0)</f>
        <v>61.44</v>
      </c>
      <c r="E20" s="20"/>
      <c r="F20" s="32">
        <f t="shared" ref="F20:F26" si="12">IF(D$12=0,0,D20/D$12)</f>
        <v>8.5930069930069922E-2</v>
      </c>
      <c r="G20" s="20"/>
      <c r="H20" s="20">
        <f>SUM(OSRRefH22x_0)</f>
        <v>1.22</v>
      </c>
      <c r="I20" s="20"/>
      <c r="J20" s="32">
        <f t="shared" ref="J20:J26" si="13">IF(H$12=0,0,H20/H$12)</f>
        <v>3.1142310146777281E-3</v>
      </c>
      <c r="K20" s="4"/>
      <c r="L20" s="20">
        <f t="shared" ref="L20:L26" si="14">+D20-H20</f>
        <v>60.22</v>
      </c>
      <c r="M20" s="4"/>
      <c r="N20" s="32">
        <f t="shared" ref="N20:N26" si="15">IF(H20=0,0,L20/H20)</f>
        <v>49.360655737704917</v>
      </c>
      <c r="O20" s="10"/>
      <c r="P20" s="20">
        <f>SUM(OSRRefP22x_0)</f>
        <v>1247.3699999999999</v>
      </c>
      <c r="Q20" s="20"/>
      <c r="R20" s="32">
        <f t="shared" ref="R20:R26" si="16">IF(P$12=0,0,P20/P$12)</f>
        <v>0.12139854014598539</v>
      </c>
      <c r="S20" s="20"/>
      <c r="T20" s="20">
        <f>SUM(OSRRefT22x_0)</f>
        <v>6793.02</v>
      </c>
      <c r="U20" s="20"/>
      <c r="V20" s="32">
        <f t="shared" ref="V20:V26" si="17">IF(T$12=0,0,T20/T$12)</f>
        <v>0.89620633925921045</v>
      </c>
      <c r="W20" s="4"/>
      <c r="X20" s="20">
        <f t="shared" ref="X20:X26" si="18">+P20-T20</f>
        <v>-5545.6500000000005</v>
      </c>
      <c r="Y20" s="4"/>
      <c r="Z20" s="32">
        <f t="shared" ref="Z20:Z26" si="19">IF(T20=0,0,X20/T20)</f>
        <v>-0.81637474937509391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61.44</v>
      </c>
      <c r="E21" s="1"/>
      <c r="F21" s="5">
        <f t="shared" si="12"/>
        <v>8.5930069930069922E-2</v>
      </c>
      <c r="G21" s="1"/>
      <c r="H21" s="1">
        <f>SUM(OSRRefH22_0x_0)</f>
        <v>1.22</v>
      </c>
      <c r="I21" s="1"/>
      <c r="J21" s="5">
        <f t="shared" si="13"/>
        <v>3.1142310146777281E-3</v>
      </c>
      <c r="K21" s="1"/>
      <c r="L21" s="1">
        <f t="shared" si="14"/>
        <v>60.22</v>
      </c>
      <c r="M21" s="1"/>
      <c r="N21" s="5">
        <f t="shared" si="15"/>
        <v>49.360655737704917</v>
      </c>
      <c r="O21" s="13"/>
      <c r="P21" s="1">
        <f>SUM(OSRRefP22_0x_0)</f>
        <v>926.92</v>
      </c>
      <c r="Q21" s="1"/>
      <c r="R21" s="5">
        <f t="shared" si="16"/>
        <v>9.0211192214111918E-2</v>
      </c>
      <c r="S21" s="1"/>
      <c r="T21" s="1">
        <f>SUM(OSRRefT22_0x_0)</f>
        <v>653.79999999999995</v>
      </c>
      <c r="U21" s="1"/>
      <c r="V21" s="5">
        <f t="shared" si="17"/>
        <v>8.6256143012632333E-2</v>
      </c>
      <c r="W21" s="1"/>
      <c r="X21" s="1">
        <f t="shared" si="18"/>
        <v>273.12</v>
      </c>
      <c r="Y21" s="1"/>
      <c r="Z21" s="5">
        <f t="shared" si="19"/>
        <v>0.41774242887733254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61.44</v>
      </c>
      <c r="E22" s="2"/>
      <c r="F22" s="7">
        <f t="shared" si="12"/>
        <v>8.5930069930069922E-2</v>
      </c>
      <c r="G22" s="2"/>
      <c r="H22" s="6">
        <v>1.22</v>
      </c>
      <c r="I22" s="2"/>
      <c r="J22" s="7">
        <f t="shared" si="13"/>
        <v>3.1142310146777281E-3</v>
      </c>
      <c r="K22" s="2"/>
      <c r="L22" s="6">
        <f t="shared" si="14"/>
        <v>60.22</v>
      </c>
      <c r="M22" s="2"/>
      <c r="N22" s="7">
        <f t="shared" si="15"/>
        <v>49.360655737704917</v>
      </c>
      <c r="O22" s="11"/>
      <c r="P22" s="6">
        <v>926.92</v>
      </c>
      <c r="Q22" s="2"/>
      <c r="R22" s="7">
        <f t="shared" si="16"/>
        <v>9.0211192214111918E-2</v>
      </c>
      <c r="S22" s="2"/>
      <c r="T22" s="6">
        <v>653.79999999999995</v>
      </c>
      <c r="U22" s="2"/>
      <c r="V22" s="7">
        <f t="shared" si="17"/>
        <v>8.6256143012632333E-2</v>
      </c>
      <c r="W22" s="2"/>
      <c r="X22" s="6">
        <f t="shared" si="18"/>
        <v>273.12</v>
      </c>
      <c r="Y22" s="2"/>
      <c r="Z22" s="7">
        <f t="shared" si="19"/>
        <v>0.41774242887733254</v>
      </c>
    </row>
    <row r="23" spans="1:26" s="26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2.2822384428223845E-3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5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>
        <v>23.45</v>
      </c>
      <c r="Q24" s="2"/>
      <c r="R24" s="7">
        <f t="shared" si="16"/>
        <v>2.2822384428223845E-3</v>
      </c>
      <c r="S24" s="2"/>
      <c r="T24" s="6"/>
      <c r="U24" s="2"/>
      <c r="V24" s="7">
        <f t="shared" si="17"/>
        <v>0</v>
      </c>
      <c r="W24" s="2"/>
      <c r="X24" s="6">
        <f t="shared" si="18"/>
        <v>23.45</v>
      </c>
      <c r="Y24" s="2"/>
      <c r="Z24" s="7">
        <f t="shared" si="19"/>
        <v>0</v>
      </c>
    </row>
    <row r="25" spans="1:26" s="26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2.8905109489051097E-2</v>
      </c>
      <c r="S25" s="1"/>
      <c r="T25" s="1">
        <f>SUM(OSRRefT22_2x_0)</f>
        <v>6139.22</v>
      </c>
      <c r="U25" s="1"/>
      <c r="V25" s="5">
        <f t="shared" si="17"/>
        <v>0.80995019624657805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5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297</v>
      </c>
      <c r="Q26" s="2"/>
      <c r="R26" s="7">
        <f t="shared" si="16"/>
        <v>2.8905109489051097E-2</v>
      </c>
      <c r="S26" s="2"/>
      <c r="T26" s="6">
        <v>6139.22</v>
      </c>
      <c r="U26" s="2"/>
      <c r="V26" s="7">
        <f t="shared" si="17"/>
        <v>0.80995019624657805</v>
      </c>
      <c r="W26" s="2"/>
      <c r="X26" s="6">
        <f t="shared" si="18"/>
        <v>-5842.22</v>
      </c>
      <c r="Y26" s="2"/>
      <c r="Z26" s="7">
        <f t="shared" si="19"/>
        <v>-0.95162251882160931</v>
      </c>
    </row>
    <row r="27" spans="1:26" s="59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1">
        <f>+D18-D20+D28</f>
        <v>-420.62000000000006</v>
      </c>
      <c r="E30" s="14"/>
      <c r="F30" s="22">
        <f>IF(D$12=0,0,D30/D$12)</f>
        <v>-0.58827972027972042</v>
      </c>
      <c r="G30" s="14"/>
      <c r="H30" s="21">
        <f>+H18-H20+H28</f>
        <v>717.53</v>
      </c>
      <c r="I30" s="14"/>
      <c r="J30" s="22">
        <f>IF(H$12=0,0,H30/H$12)</f>
        <v>1.8316017868538608</v>
      </c>
      <c r="K30" s="16"/>
      <c r="L30" s="21">
        <f>+D30-H30</f>
        <v>-1138.1500000000001</v>
      </c>
      <c r="M30" s="16"/>
      <c r="N30" s="22">
        <f>IF(H30=0,0,L30/H30)</f>
        <v>-1.5862054548241886</v>
      </c>
      <c r="O30" s="29"/>
      <c r="P30" s="21">
        <f>+P18-P20+P28</f>
        <v>7039.5100000000011</v>
      </c>
      <c r="Q30" s="14"/>
      <c r="R30" s="22">
        <f>IF(P$12=0,0,P30/P$12)</f>
        <v>0.6851104622871047</v>
      </c>
      <c r="S30" s="14"/>
      <c r="T30" s="21">
        <f>+T18-T20+T28</f>
        <v>-694.68000000000029</v>
      </c>
      <c r="U30" s="14"/>
      <c r="V30" s="22">
        <f>IF(T$12=0,0,T30/T$12)</f>
        <v>-9.1649460734193125E-2</v>
      </c>
      <c r="W30" s="16"/>
      <c r="X30" s="21">
        <f>+P30-T30</f>
        <v>7734.1900000000014</v>
      </c>
      <c r="Y30" s="16"/>
      <c r="Z30" s="22">
        <f>IF(T30=0,0,X30/T30)</f>
        <v>-11.133457131341046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38.99</v>
      </c>
      <c r="E32" s="4"/>
      <c r="F32" s="12">
        <f>IF(D$12=0,0,D32/D$12)</f>
        <v>5.4531468531468535E-2</v>
      </c>
      <c r="G32" s="4"/>
      <c r="H32" s="4">
        <v>-4.45</v>
      </c>
      <c r="I32" s="4"/>
      <c r="J32" s="12">
        <f>IF(H$12=0,0,H32/H$12)</f>
        <v>-1.1359285258455648E-2</v>
      </c>
      <c r="K32" s="4"/>
      <c r="L32" s="4">
        <f>+D32-H32</f>
        <v>43.440000000000005</v>
      </c>
      <c r="M32" s="4"/>
      <c r="N32" s="12">
        <f>IF(H32=0,0,L32/H32)</f>
        <v>-9.7617977528089899</v>
      </c>
      <c r="O32" s="10"/>
      <c r="P32" s="4">
        <v>1071.54</v>
      </c>
      <c r="Q32" s="4"/>
      <c r="R32" s="12">
        <f>IF(P$12=0,0,P32/P$12)</f>
        <v>0.10428613138686131</v>
      </c>
      <c r="S32" s="4"/>
      <c r="T32" s="4">
        <v>771.24</v>
      </c>
      <c r="U32" s="4"/>
      <c r="V32" s="12">
        <f>IF(T$12=0,0,T32/T$12)</f>
        <v>0.10175005771958179</v>
      </c>
      <c r="W32" s="4"/>
      <c r="X32" s="4">
        <f>+P32-T32</f>
        <v>300.29999999999995</v>
      </c>
      <c r="Y32" s="4"/>
      <c r="Z32" s="12">
        <f>IF(T32=0,0,X32/T32)</f>
        <v>0.38937295783413717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4">
        <f>+D30-D32</f>
        <v>-459.61000000000007</v>
      </c>
      <c r="E34" s="14"/>
      <c r="F34" s="31">
        <f>IF(D$12=0,0,D34/D$12)</f>
        <v>-0.64281118881118893</v>
      </c>
      <c r="G34" s="14"/>
      <c r="H34" s="34">
        <f>+H30-H32</f>
        <v>721.98</v>
      </c>
      <c r="I34" s="14"/>
      <c r="J34" s="31">
        <f>IF(H$12=0,0,H34/H$12)</f>
        <v>1.8429610721123166</v>
      </c>
      <c r="K34" s="16"/>
      <c r="L34" s="34">
        <f>D34-H34</f>
        <v>-1181.5900000000001</v>
      </c>
      <c r="M34" s="16"/>
      <c r="N34" s="31">
        <f>IF(H34=0,0,L34/H34)</f>
        <v>-1.6365965816227599</v>
      </c>
      <c r="O34" s="29"/>
      <c r="P34" s="34">
        <f>+P30-P32</f>
        <v>5967.9700000000012</v>
      </c>
      <c r="Q34" s="14"/>
      <c r="R34" s="31">
        <f>IF(P$12=0,0,P34/P$12)</f>
        <v>0.58082433090024344</v>
      </c>
      <c r="S34" s="14"/>
      <c r="T34" s="34">
        <f>+T30-T32</f>
        <v>-1465.9200000000003</v>
      </c>
      <c r="U34" s="14"/>
      <c r="V34" s="31">
        <f>IF(T$12=0,0,T34/T$12)</f>
        <v>-0.1933995184537749</v>
      </c>
      <c r="W34" s="16"/>
      <c r="X34" s="34">
        <f>P34-T34</f>
        <v>7433.8900000000012</v>
      </c>
      <c r="Y34" s="16"/>
      <c r="Z34" s="31">
        <f>IF(T34=0,0,X34/T34)</f>
        <v>-5.0711430364549219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0">
        <f>SUM(D34:D36)</f>
        <v>-459.61000000000007</v>
      </c>
      <c r="E37" s="14"/>
      <c r="F37" s="33">
        <f>IF(D$12=0,0,D37/D$12)</f>
        <v>-0.64281118881118893</v>
      </c>
      <c r="G37" s="14"/>
      <c r="H37" s="30">
        <f>SUM(H34:H36)</f>
        <v>721.98</v>
      </c>
      <c r="I37" s="14"/>
      <c r="J37" s="33">
        <f>IF(H$12=0,0,H37/H$12)</f>
        <v>1.8429610721123166</v>
      </c>
      <c r="K37" s="16"/>
      <c r="L37" s="30">
        <f>+D37-H37</f>
        <v>-1181.5900000000001</v>
      </c>
      <c r="M37" s="16"/>
      <c r="N37" s="33">
        <f>IF(H37=0,0,L37/H37)</f>
        <v>-1.6365965816227599</v>
      </c>
      <c r="O37" s="29"/>
      <c r="P37" s="30">
        <f>SUM(P34:P36)</f>
        <v>5967.9700000000012</v>
      </c>
      <c r="Q37" s="14"/>
      <c r="R37" s="33">
        <f>IF(P$12=0,0,P37/P$12)</f>
        <v>0.58082433090024344</v>
      </c>
      <c r="S37" s="14"/>
      <c r="T37" s="30">
        <f>SUM(T34:T36)</f>
        <v>-1465.9200000000003</v>
      </c>
      <c r="U37" s="14"/>
      <c r="V37" s="33">
        <f>IF(T$12=0,0,T37/T$12)</f>
        <v>-0.1933995184537749</v>
      </c>
      <c r="W37" s="16"/>
      <c r="X37" s="30">
        <f>+P37-T37</f>
        <v>7433.8900000000012</v>
      </c>
      <c r="Y37" s="16"/>
      <c r="Z37" s="33">
        <f>IF(T37=0,0,X37/T37)</f>
        <v>-5.0711430364549219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1">
        <v>43879.554069212965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8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AB130" sqref="AB130:AB132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1059277.6599999999</v>
      </c>
      <c r="E12" s="4"/>
      <c r="F12" s="12"/>
      <c r="G12" s="4"/>
      <c r="H12" s="4">
        <f>SUM(OSRRefH13x_0)</f>
        <v>1014248.3800000001</v>
      </c>
      <c r="I12" s="4"/>
      <c r="J12" s="12"/>
      <c r="K12" s="4"/>
      <c r="L12" s="4">
        <f t="shared" ref="L12:L24" si="0">+D12-H12</f>
        <v>45029.279999999795</v>
      </c>
      <c r="M12" s="4"/>
      <c r="N12" s="12">
        <f t="shared" ref="N12:N24" si="1">IF(H12=0,0,L12/H12)</f>
        <v>4.4396698962437378E-2</v>
      </c>
      <c r="O12" s="10"/>
      <c r="P12" s="4">
        <f>SUM(OSRRefP13x_0)</f>
        <v>10244948.84</v>
      </c>
      <c r="Q12" s="4"/>
      <c r="R12" s="12"/>
      <c r="S12" s="4"/>
      <c r="T12" s="4">
        <f>SUM(OSRRefT13x_0)</f>
        <v>10139996.92</v>
      </c>
      <c r="U12" s="4"/>
      <c r="V12" s="12"/>
      <c r="W12" s="4"/>
      <c r="X12" s="4">
        <f t="shared" ref="X12:X24" si="2">+P12-T12</f>
        <v>104951.91999999993</v>
      </c>
      <c r="Y12" s="4"/>
      <c r="Z12" s="12">
        <f t="shared" ref="Z12:Z24" si="3">IF(T12=0,0,X12/T12)</f>
        <v>1.0350291112317214E-2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--34536.57</f>
        <v>34536.57</v>
      </c>
      <c r="E13" s="2"/>
      <c r="F13" s="19"/>
      <c r="G13" s="2"/>
      <c r="H13" s="2">
        <f>--33407.06</f>
        <v>33407.06</v>
      </c>
      <c r="I13" s="2"/>
      <c r="J13" s="19"/>
      <c r="K13" s="2"/>
      <c r="L13" s="2">
        <f t="shared" si="0"/>
        <v>1129.510000000002</v>
      </c>
      <c r="M13" s="2"/>
      <c r="N13" s="19">
        <f t="shared" si="1"/>
        <v>3.3810517896516547E-2</v>
      </c>
      <c r="O13" s="11"/>
      <c r="P13" s="2">
        <f>--358262.16</f>
        <v>358262.16</v>
      </c>
      <c r="Q13" s="2"/>
      <c r="R13" s="19"/>
      <c r="S13" s="2"/>
      <c r="T13" s="2">
        <f>--376212.25</f>
        <v>376212.25</v>
      </c>
      <c r="U13" s="2"/>
      <c r="V13" s="19"/>
      <c r="W13" s="2"/>
      <c r="X13" s="2">
        <f t="shared" si="2"/>
        <v>-17950.090000000026</v>
      </c>
      <c r="Y13" s="2"/>
      <c r="Z13" s="19">
        <f t="shared" si="3"/>
        <v>-4.7712667516807403E-2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--120705.79</f>
        <v>120705.79</v>
      </c>
      <c r="E14" s="2"/>
      <c r="F14" s="19"/>
      <c r="G14" s="2"/>
      <c r="H14" s="2">
        <f>--118024.7</f>
        <v>118024.7</v>
      </c>
      <c r="I14" s="2"/>
      <c r="J14" s="19"/>
      <c r="K14" s="2"/>
      <c r="L14" s="2">
        <f t="shared" si="0"/>
        <v>2681.0899999999965</v>
      </c>
      <c r="M14" s="2"/>
      <c r="N14" s="19">
        <f t="shared" si="1"/>
        <v>2.2716346663028981E-2</v>
      </c>
      <c r="O14" s="11"/>
      <c r="P14" s="2">
        <f>--657002.44</f>
        <v>657002.43999999994</v>
      </c>
      <c r="Q14" s="2"/>
      <c r="R14" s="19"/>
      <c r="S14" s="2"/>
      <c r="T14" s="2">
        <f>--792014.39</f>
        <v>792014.39</v>
      </c>
      <c r="U14" s="2"/>
      <c r="V14" s="19"/>
      <c r="W14" s="2"/>
      <c r="X14" s="2">
        <f t="shared" si="2"/>
        <v>-135011.95000000007</v>
      </c>
      <c r="Y14" s="2"/>
      <c r="Z14" s="19">
        <f t="shared" si="3"/>
        <v>-0.17046653659916466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--9828.09</f>
        <v>9828.09</v>
      </c>
      <c r="E15" s="2"/>
      <c r="F15" s="19"/>
      <c r="G15" s="2"/>
      <c r="H15" s="2">
        <f>--6277.59</f>
        <v>6277.59</v>
      </c>
      <c r="I15" s="2"/>
      <c r="J15" s="19"/>
      <c r="K15" s="2"/>
      <c r="L15" s="2">
        <f t="shared" si="0"/>
        <v>3550.5</v>
      </c>
      <c r="M15" s="2"/>
      <c r="N15" s="19">
        <f t="shared" si="1"/>
        <v>0.56558328912847122</v>
      </c>
      <c r="O15" s="11"/>
      <c r="P15" s="2">
        <f>--116598.92</f>
        <v>116598.92</v>
      </c>
      <c r="Q15" s="2"/>
      <c r="R15" s="19"/>
      <c r="S15" s="2"/>
      <c r="T15" s="2">
        <f>--97731.64</f>
        <v>97731.64</v>
      </c>
      <c r="U15" s="2"/>
      <c r="V15" s="19"/>
      <c r="W15" s="2"/>
      <c r="X15" s="2">
        <f t="shared" si="2"/>
        <v>18867.28</v>
      </c>
      <c r="Y15" s="2"/>
      <c r="Z15" s="19">
        <f t="shared" si="3"/>
        <v>0.19305191235919092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--31360</f>
        <v>31360</v>
      </c>
      <c r="E16" s="2"/>
      <c r="F16" s="19"/>
      <c r="G16" s="2"/>
      <c r="H16" s="2">
        <f>--38537.82</f>
        <v>38537.82</v>
      </c>
      <c r="I16" s="2"/>
      <c r="J16" s="19"/>
      <c r="K16" s="2"/>
      <c r="L16" s="2">
        <f t="shared" si="0"/>
        <v>-7177.82</v>
      </c>
      <c r="M16" s="2"/>
      <c r="N16" s="19">
        <f t="shared" si="1"/>
        <v>-0.18625391887761164</v>
      </c>
      <c r="O16" s="11"/>
      <c r="P16" s="2">
        <f>--304187.44</f>
        <v>304187.44</v>
      </c>
      <c r="Q16" s="2"/>
      <c r="R16" s="19"/>
      <c r="S16" s="2"/>
      <c r="T16" s="2">
        <f>--355602.56</f>
        <v>355602.56</v>
      </c>
      <c r="U16" s="2"/>
      <c r="V16" s="19"/>
      <c r="W16" s="2"/>
      <c r="X16" s="2">
        <f t="shared" si="2"/>
        <v>-51415.119999999995</v>
      </c>
      <c r="Y16" s="2"/>
      <c r="Z16" s="19">
        <f t="shared" si="3"/>
        <v>-0.14458591074259983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--7736.89</f>
        <v>7736.89</v>
      </c>
      <c r="E18" s="2"/>
      <c r="F18" s="19"/>
      <c r="G18" s="2"/>
      <c r="H18" s="2">
        <f>--9176.5</f>
        <v>9176.5</v>
      </c>
      <c r="I18" s="2"/>
      <c r="J18" s="19"/>
      <c r="K18" s="2"/>
      <c r="L18" s="2">
        <f t="shared" si="0"/>
        <v>-1439.6099999999997</v>
      </c>
      <c r="M18" s="2"/>
      <c r="N18" s="19">
        <f t="shared" si="1"/>
        <v>-0.15688007410232657</v>
      </c>
      <c r="O18" s="11"/>
      <c r="P18" s="2">
        <f>--95636.1</f>
        <v>95636.1</v>
      </c>
      <c r="Q18" s="2"/>
      <c r="R18" s="19"/>
      <c r="S18" s="2"/>
      <c r="T18" s="2">
        <f>--130787.25</f>
        <v>130787.25</v>
      </c>
      <c r="U18" s="2"/>
      <c r="V18" s="19"/>
      <c r="W18" s="2"/>
      <c r="X18" s="2">
        <f t="shared" si="2"/>
        <v>-35151.149999999994</v>
      </c>
      <c r="Y18" s="2"/>
      <c r="Z18" s="19">
        <f t="shared" si="3"/>
        <v>-0.2687658774077748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--703446.55</f>
        <v>703446.55</v>
      </c>
      <c r="E19" s="2"/>
      <c r="F19" s="19"/>
      <c r="G19" s="2"/>
      <c r="H19" s="2">
        <f>--657381.25</f>
        <v>657381.25</v>
      </c>
      <c r="I19" s="2"/>
      <c r="J19" s="19"/>
      <c r="K19" s="2"/>
      <c r="L19" s="2">
        <f t="shared" si="0"/>
        <v>46065.300000000047</v>
      </c>
      <c r="M19" s="2"/>
      <c r="N19" s="19">
        <f t="shared" si="1"/>
        <v>7.0073948716973672E-2</v>
      </c>
      <c r="O19" s="11"/>
      <c r="P19" s="2">
        <f>--7497136.38</f>
        <v>7497136.3799999999</v>
      </c>
      <c r="Q19" s="2"/>
      <c r="R19" s="19"/>
      <c r="S19" s="2"/>
      <c r="T19" s="2">
        <f>--7225598.66</f>
        <v>7225598.6600000001</v>
      </c>
      <c r="U19" s="2"/>
      <c r="V19" s="19"/>
      <c r="W19" s="2"/>
      <c r="X19" s="2">
        <f t="shared" si="2"/>
        <v>271537.71999999974</v>
      </c>
      <c r="Y19" s="2"/>
      <c r="Z19" s="19">
        <f t="shared" si="3"/>
        <v>3.7579961575114625E-2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--4794.1</f>
        <v>4794.1000000000004</v>
      </c>
      <c r="E20" s="2"/>
      <c r="F20" s="19"/>
      <c r="G20" s="2"/>
      <c r="H20" s="2">
        <f>--4850.4</f>
        <v>4850.3999999999996</v>
      </c>
      <c r="I20" s="2"/>
      <c r="J20" s="19"/>
      <c r="K20" s="2"/>
      <c r="L20" s="2">
        <f t="shared" si="0"/>
        <v>-56.299999999999272</v>
      </c>
      <c r="M20" s="2"/>
      <c r="N20" s="19">
        <f t="shared" si="1"/>
        <v>-1.1607290120402292E-2</v>
      </c>
      <c r="O20" s="11"/>
      <c r="P20" s="2">
        <f>--39428.9</f>
        <v>39428.9</v>
      </c>
      <c r="Q20" s="2"/>
      <c r="R20" s="19"/>
      <c r="S20" s="2"/>
      <c r="T20" s="2">
        <f>--45353.92</f>
        <v>45353.919999999998</v>
      </c>
      <c r="U20" s="2"/>
      <c r="V20" s="19"/>
      <c r="W20" s="2"/>
      <c r="X20" s="2">
        <f t="shared" si="2"/>
        <v>-5925.0199999999968</v>
      </c>
      <c r="Y20" s="2"/>
      <c r="Z20" s="19">
        <f t="shared" si="3"/>
        <v>-0.13063964482011692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--43908.25</f>
        <v>43908.25</v>
      </c>
      <c r="E21" s="2"/>
      <c r="F21" s="19"/>
      <c r="G21" s="2"/>
      <c r="H21" s="2">
        <f>--45126.4</f>
        <v>45126.400000000001</v>
      </c>
      <c r="I21" s="2"/>
      <c r="J21" s="19"/>
      <c r="K21" s="2"/>
      <c r="L21" s="2">
        <f t="shared" si="0"/>
        <v>-1218.1500000000015</v>
      </c>
      <c r="M21" s="2"/>
      <c r="N21" s="19">
        <f t="shared" si="1"/>
        <v>-2.6994176357963442E-2</v>
      </c>
      <c r="O21" s="11"/>
      <c r="P21" s="2">
        <f>--266664.79</f>
        <v>266664.78999999998</v>
      </c>
      <c r="Q21" s="2"/>
      <c r="R21" s="19"/>
      <c r="S21" s="2"/>
      <c r="T21" s="2">
        <f>--237874.66</f>
        <v>237874.66</v>
      </c>
      <c r="U21" s="2"/>
      <c r="V21" s="19"/>
      <c r="W21" s="2"/>
      <c r="X21" s="2">
        <f t="shared" si="2"/>
        <v>28790.129999999976</v>
      </c>
      <c r="Y21" s="2"/>
      <c r="Z21" s="19">
        <f t="shared" si="3"/>
        <v>0.12103067220358812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--58440.71</f>
        <v>58440.71</v>
      </c>
      <c r="E22" s="2"/>
      <c r="F22" s="19"/>
      <c r="G22" s="2"/>
      <c r="H22" s="2">
        <f>--59825.5</f>
        <v>59825.5</v>
      </c>
      <c r="I22" s="2"/>
      <c r="J22" s="19"/>
      <c r="K22" s="2"/>
      <c r="L22" s="2">
        <f t="shared" si="0"/>
        <v>-1384.7900000000009</v>
      </c>
      <c r="M22" s="2"/>
      <c r="N22" s="19">
        <f t="shared" si="1"/>
        <v>-2.3147152969887438E-2</v>
      </c>
      <c r="O22" s="11"/>
      <c r="P22" s="2">
        <f>--546895.06</f>
        <v>546895.06000000006</v>
      </c>
      <c r="Q22" s="2"/>
      <c r="R22" s="19"/>
      <c r="S22" s="2"/>
      <c r="T22" s="2">
        <f>--512235.59</f>
        <v>512235.59</v>
      </c>
      <c r="U22" s="2"/>
      <c r="V22" s="19"/>
      <c r="W22" s="2"/>
      <c r="X22" s="2">
        <f t="shared" si="2"/>
        <v>34659.47000000003</v>
      </c>
      <c r="Y22" s="2"/>
      <c r="Z22" s="19">
        <f t="shared" si="3"/>
        <v>6.7663143047128033E-2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--44520.71</f>
        <v>44520.71</v>
      </c>
      <c r="E23" s="2"/>
      <c r="F23" s="19"/>
      <c r="G23" s="2"/>
      <c r="H23" s="2">
        <f>--41641.16</f>
        <v>41641.160000000003</v>
      </c>
      <c r="I23" s="2"/>
      <c r="J23" s="19"/>
      <c r="K23" s="2"/>
      <c r="L23" s="2">
        <f t="shared" si="0"/>
        <v>2879.5499999999956</v>
      </c>
      <c r="M23" s="2"/>
      <c r="N23" s="19">
        <f t="shared" si="1"/>
        <v>6.9151531801707619E-2</v>
      </c>
      <c r="O23" s="11"/>
      <c r="P23" s="2">
        <f>--363136.65</f>
        <v>363136.65</v>
      </c>
      <c r="Q23" s="2"/>
      <c r="R23" s="19"/>
      <c r="S23" s="2"/>
      <c r="T23" s="2">
        <f>--354025.02</f>
        <v>354025.02</v>
      </c>
      <c r="U23" s="2"/>
      <c r="V23" s="19"/>
      <c r="W23" s="2"/>
      <c r="X23" s="2">
        <f t="shared" si="2"/>
        <v>9111.6300000000047</v>
      </c>
      <c r="Y23" s="2"/>
      <c r="Z23" s="19">
        <f t="shared" si="3"/>
        <v>2.573724874021617E-2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314791.57</v>
      </c>
      <c r="E26" s="4"/>
      <c r="F26" s="12">
        <f t="shared" ref="F26:F28" si="4">IF(D$12=0,0,D26/D$12)</f>
        <v>0.29717569046061071</v>
      </c>
      <c r="G26" s="4"/>
      <c r="H26" s="4">
        <f>SUM(OSRRefH16x_0)</f>
        <v>285811.84000000003</v>
      </c>
      <c r="I26" s="4"/>
      <c r="J26" s="12">
        <f t="shared" ref="J26:J28" si="5">IF(H$12=0,0,H26/H$12)</f>
        <v>0.28179669362646653</v>
      </c>
      <c r="K26" s="4"/>
      <c r="L26" s="4">
        <f t="shared" ref="L26:L28" si="6">+D26-H26</f>
        <v>28979.729999999981</v>
      </c>
      <c r="M26" s="4"/>
      <c r="N26" s="12">
        <f t="shared" ref="N26:N28" si="7">IF(H26=0,0,L26/H26)</f>
        <v>0.10139443488415308</v>
      </c>
      <c r="O26" s="10"/>
      <c r="P26" s="4">
        <f>SUM(OSRRefP16x_0)</f>
        <v>2794861.21</v>
      </c>
      <c r="Q26" s="4"/>
      <c r="R26" s="12">
        <f t="shared" ref="R26:R28" si="8">IF(P$12=0,0,P26/P$12)</f>
        <v>0.27280382300083794</v>
      </c>
      <c r="S26" s="4"/>
      <c r="T26" s="4">
        <f>SUM(OSRRefT16x_0)</f>
        <v>2737484.04</v>
      </c>
      <c r="U26" s="4"/>
      <c r="V26" s="12">
        <f t="shared" ref="V26:V28" si="9">IF(T$12=0,0,T26/T$12)</f>
        <v>0.26996892223908092</v>
      </c>
      <c r="W26" s="4"/>
      <c r="X26" s="4">
        <f t="shared" ref="X26:X28" si="10">+P26-T26</f>
        <v>57377.169999999925</v>
      </c>
      <c r="Y26" s="4"/>
      <c r="Z26" s="12">
        <f t="shared" ref="Z26:Z28" si="11">IF(T26=0,0,X26/T26)</f>
        <v>2.0959819002268933E-2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359241.99</v>
      </c>
      <c r="E27" s="2"/>
      <c r="F27" s="19">
        <f t="shared" si="4"/>
        <v>0.33913864472512334</v>
      </c>
      <c r="G27" s="2"/>
      <c r="H27" s="2">
        <v>348252.72000000003</v>
      </c>
      <c r="I27" s="2"/>
      <c r="J27" s="19">
        <f t="shared" si="5"/>
        <v>0.34336039067669005</v>
      </c>
      <c r="K27" s="2"/>
      <c r="L27" s="2">
        <f t="shared" si="6"/>
        <v>10989.26999999996</v>
      </c>
      <c r="M27" s="2"/>
      <c r="N27" s="19">
        <f t="shared" si="7"/>
        <v>3.155544628624856E-2</v>
      </c>
      <c r="O27" s="11"/>
      <c r="P27" s="2">
        <v>2865842.46</v>
      </c>
      <c r="Q27" s="2"/>
      <c r="R27" s="19">
        <f t="shared" si="8"/>
        <v>0.27973223729636504</v>
      </c>
      <c r="S27" s="2"/>
      <c r="T27" s="2">
        <v>2818140.75</v>
      </c>
      <c r="U27" s="2"/>
      <c r="V27" s="19">
        <f t="shared" si="9"/>
        <v>0.27792323530607149</v>
      </c>
      <c r="W27" s="2"/>
      <c r="X27" s="2">
        <f t="shared" si="10"/>
        <v>47701.709999999963</v>
      </c>
      <c r="Y27" s="2"/>
      <c r="Z27" s="19">
        <f t="shared" si="11"/>
        <v>1.6926659890922752E-2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-44450.42</v>
      </c>
      <c r="E28" s="2"/>
      <c r="F28" s="19">
        <f t="shared" si="4"/>
        <v>-4.1962954264512672E-2</v>
      </c>
      <c r="G28" s="2"/>
      <c r="H28" s="2">
        <v>-62440.88</v>
      </c>
      <c r="I28" s="2"/>
      <c r="J28" s="19">
        <f t="shared" si="5"/>
        <v>-6.1563697050223527E-2</v>
      </c>
      <c r="K28" s="2"/>
      <c r="L28" s="2">
        <f t="shared" si="6"/>
        <v>17990.46</v>
      </c>
      <c r="M28" s="2"/>
      <c r="N28" s="19">
        <f t="shared" si="7"/>
        <v>-0.28811989837427021</v>
      </c>
      <c r="O28" s="11"/>
      <c r="P28" s="2">
        <v>-70981.25</v>
      </c>
      <c r="Q28" s="2"/>
      <c r="R28" s="19">
        <f t="shared" si="8"/>
        <v>-6.9284142955271218E-3</v>
      </c>
      <c r="S28" s="2"/>
      <c r="T28" s="2">
        <v>-80656.710000000006</v>
      </c>
      <c r="U28" s="2"/>
      <c r="V28" s="19">
        <f t="shared" si="9"/>
        <v>-7.9543130669905582E-3</v>
      </c>
      <c r="W28" s="2"/>
      <c r="X28" s="2">
        <f t="shared" si="10"/>
        <v>9675.4600000000064</v>
      </c>
      <c r="Y28" s="2"/>
      <c r="Z28" s="19">
        <f t="shared" si="11"/>
        <v>-0.11995852545932019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1">
        <f>D12-D26</f>
        <v>744486.08999999985</v>
      </c>
      <c r="E30" s="14"/>
      <c r="F30" s="22">
        <f>IF(D$12=0,0,D30/D$12)</f>
        <v>0.70282430953938924</v>
      </c>
      <c r="G30" s="14"/>
      <c r="H30" s="21">
        <f>H12-H26</f>
        <v>728436.54</v>
      </c>
      <c r="I30" s="14"/>
      <c r="J30" s="22">
        <f>IF(H$12=0,0,H30/H$12)</f>
        <v>0.71820330637353347</v>
      </c>
      <c r="K30" s="16"/>
      <c r="L30" s="21">
        <f>+D30-H30</f>
        <v>16049.549999999814</v>
      </c>
      <c r="M30" s="16"/>
      <c r="N30" s="22">
        <f>IF(H30=0,0,L30/H30)</f>
        <v>2.2032873309732394E-2</v>
      </c>
      <c r="O30" s="29"/>
      <c r="P30" s="21">
        <f>P12-P26</f>
        <v>7450087.6299999999</v>
      </c>
      <c r="Q30" s="14"/>
      <c r="R30" s="22">
        <f>IF(P$12=0,0,P30/P$12)</f>
        <v>0.72719617699916206</v>
      </c>
      <c r="S30" s="14"/>
      <c r="T30" s="21">
        <f>T12-T26</f>
        <v>7402512.8799999999</v>
      </c>
      <c r="U30" s="14"/>
      <c r="V30" s="22">
        <f>IF(T$12=0,0,T30/T$12)</f>
        <v>0.73003107776091902</v>
      </c>
      <c r="W30" s="16"/>
      <c r="X30" s="21">
        <f>+P30-T30</f>
        <v>47574.75</v>
      </c>
      <c r="Y30" s="16"/>
      <c r="Z30" s="22">
        <f>IF(T30=0,0,X30/T30)</f>
        <v>6.4268378550933368E-3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0">
        <f>SUM(OSRRefD22x_0)</f>
        <v>911522.66000000015</v>
      </c>
      <c r="E32" s="20"/>
      <c r="F32" s="32">
        <f t="shared" ref="F32:F42" si="12">IF(D$12=0,0,D32/D$12)</f>
        <v>0.86051343705294436</v>
      </c>
      <c r="G32" s="20"/>
      <c r="H32" s="20">
        <f>SUM(OSRRefH22x_0)</f>
        <v>823195.25000000012</v>
      </c>
      <c r="I32" s="20"/>
      <c r="J32" s="32">
        <f t="shared" ref="J32:J42" si="13">IF(H$12=0,0,H32/H$12)</f>
        <v>0.81163082557745869</v>
      </c>
      <c r="K32" s="4"/>
      <c r="L32" s="20">
        <f t="shared" ref="L32:L42" si="14">+D32-H32</f>
        <v>88327.410000000033</v>
      </c>
      <c r="M32" s="4"/>
      <c r="N32" s="32">
        <f t="shared" ref="N32:N42" si="15">IF(H32=0,0,L32/H32)</f>
        <v>0.1072982503239663</v>
      </c>
      <c r="O32" s="10"/>
      <c r="P32" s="20">
        <f>SUM(OSRRefP22x_0)</f>
        <v>6726180.4599999981</v>
      </c>
      <c r="Q32" s="20"/>
      <c r="R32" s="32">
        <f t="shared" ref="R32:R42" si="16">IF(P$12=0,0,P32/P$12)</f>
        <v>0.65653626631482509</v>
      </c>
      <c r="S32" s="20"/>
      <c r="T32" s="20">
        <f>SUM(OSRRefT22x_0)</f>
        <v>6129903.9699999988</v>
      </c>
      <c r="U32" s="20"/>
      <c r="V32" s="32">
        <f t="shared" ref="V32:V42" si="17">IF(T$12=0,0,T32/T$12)</f>
        <v>0.60452720236131974</v>
      </c>
      <c r="W32" s="4"/>
      <c r="X32" s="20">
        <f t="shared" ref="X32:X42" si="18">+P32-T32</f>
        <v>596276.48999999929</v>
      </c>
      <c r="Y32" s="4"/>
      <c r="Z32" s="32">
        <f t="shared" ref="Z32:Z42" si="19">IF(T32=0,0,X32/T32)</f>
        <v>9.7273381918901322E-2</v>
      </c>
    </row>
    <row r="33" spans="1:26" s="26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163712.13</v>
      </c>
      <c r="E33" s="1"/>
      <c r="F33" s="5">
        <f t="shared" si="12"/>
        <v>0.15455072468912448</v>
      </c>
      <c r="G33" s="1"/>
      <c r="H33" s="1">
        <f>SUM(OSRRefH22_0x_0)</f>
        <v>155114.76999999999</v>
      </c>
      <c r="I33" s="1"/>
      <c r="J33" s="5">
        <f t="shared" si="13"/>
        <v>0.15293568425517226</v>
      </c>
      <c r="K33" s="1"/>
      <c r="L33" s="1">
        <f t="shared" si="14"/>
        <v>8597.3600000000151</v>
      </c>
      <c r="M33" s="1"/>
      <c r="N33" s="5">
        <f t="shared" si="15"/>
        <v>5.5425798587716797E-2</v>
      </c>
      <c r="O33" s="13"/>
      <c r="P33" s="1">
        <f>SUM(OSRRefP22_0x_0)</f>
        <v>1140080.1399999999</v>
      </c>
      <c r="Q33" s="1"/>
      <c r="R33" s="5">
        <f t="shared" si="16"/>
        <v>0.11128217015088578</v>
      </c>
      <c r="S33" s="1"/>
      <c r="T33" s="1">
        <f>SUM(OSRRefT22_0x_0)</f>
        <v>1061427.22</v>
      </c>
      <c r="U33" s="1"/>
      <c r="V33" s="5">
        <f t="shared" si="17"/>
        <v>0.10467727242662712</v>
      </c>
      <c r="W33" s="1"/>
      <c r="X33" s="1">
        <f t="shared" si="18"/>
        <v>78652.919999999925</v>
      </c>
      <c r="Y33" s="1"/>
      <c r="Z33" s="5">
        <f t="shared" si="19"/>
        <v>7.4101095692646668E-2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6">
        <v>20743.14</v>
      </c>
      <c r="E34" s="2"/>
      <c r="F34" s="7">
        <f t="shared" si="12"/>
        <v>1.9582344444043123E-2</v>
      </c>
      <c r="G34" s="2"/>
      <c r="H34" s="6">
        <v>18069.04</v>
      </c>
      <c r="I34" s="2"/>
      <c r="J34" s="7">
        <f t="shared" si="13"/>
        <v>1.7815202228866265E-2</v>
      </c>
      <c r="K34" s="2"/>
      <c r="L34" s="6">
        <f t="shared" si="14"/>
        <v>2674.0999999999985</v>
      </c>
      <c r="M34" s="2"/>
      <c r="N34" s="7">
        <f t="shared" si="15"/>
        <v>0.14799347392003109</v>
      </c>
      <c r="O34" s="11"/>
      <c r="P34" s="6">
        <v>186956.21</v>
      </c>
      <c r="Q34" s="2"/>
      <c r="R34" s="7">
        <f t="shared" si="16"/>
        <v>1.8248623094149097E-2</v>
      </c>
      <c r="S34" s="2"/>
      <c r="T34" s="6">
        <v>164291.49</v>
      </c>
      <c r="U34" s="2"/>
      <c r="V34" s="7">
        <f t="shared" si="17"/>
        <v>1.6202321489462542E-2</v>
      </c>
      <c r="W34" s="2"/>
      <c r="X34" s="6">
        <f t="shared" si="18"/>
        <v>22664.720000000001</v>
      </c>
      <c r="Y34" s="2"/>
      <c r="Z34" s="7">
        <f t="shared" si="19"/>
        <v>0.13795431522350915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6">
        <v>12928.81</v>
      </c>
      <c r="E35" s="2"/>
      <c r="F35" s="7">
        <f t="shared" si="12"/>
        <v>1.2205307907654731E-2</v>
      </c>
      <c r="G35" s="2"/>
      <c r="H35" s="6">
        <v>10734.75</v>
      </c>
      <c r="I35" s="2"/>
      <c r="J35" s="7">
        <f t="shared" si="13"/>
        <v>1.0583945916679698E-2</v>
      </c>
      <c r="K35" s="2"/>
      <c r="L35" s="6">
        <f t="shared" si="14"/>
        <v>2194.0599999999995</v>
      </c>
      <c r="M35" s="2"/>
      <c r="N35" s="7">
        <f t="shared" si="15"/>
        <v>0.20438855120054025</v>
      </c>
      <c r="O35" s="11"/>
      <c r="P35" s="6">
        <v>99165.28</v>
      </c>
      <c r="Q35" s="2"/>
      <c r="R35" s="7">
        <f t="shared" si="16"/>
        <v>9.6794314494595361E-3</v>
      </c>
      <c r="S35" s="2"/>
      <c r="T35" s="6">
        <v>108678.78</v>
      </c>
      <c r="U35" s="2"/>
      <c r="V35" s="7">
        <f t="shared" si="17"/>
        <v>1.0717831657881805E-2</v>
      </c>
      <c r="W35" s="2"/>
      <c r="X35" s="6">
        <f t="shared" si="18"/>
        <v>-9513.5</v>
      </c>
      <c r="Y35" s="2"/>
      <c r="Z35" s="7">
        <f t="shared" si="19"/>
        <v>-8.7537787965599176E-2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6">
        <v>77055.58</v>
      </c>
      <c r="E36" s="2"/>
      <c r="F36" s="7">
        <f t="shared" si="12"/>
        <v>7.2743514670176285E-2</v>
      </c>
      <c r="G36" s="2"/>
      <c r="H36" s="6">
        <v>68018.710000000006</v>
      </c>
      <c r="I36" s="2"/>
      <c r="J36" s="7">
        <f t="shared" si="13"/>
        <v>6.7063168491331482E-2</v>
      </c>
      <c r="K36" s="2"/>
      <c r="L36" s="6">
        <f t="shared" si="14"/>
        <v>9036.8699999999953</v>
      </c>
      <c r="M36" s="2"/>
      <c r="N36" s="7">
        <f t="shared" si="15"/>
        <v>0.13285859140815806</v>
      </c>
      <c r="O36" s="11"/>
      <c r="P36" s="6">
        <v>484005.18</v>
      </c>
      <c r="Q36" s="2"/>
      <c r="R36" s="7">
        <f t="shared" si="16"/>
        <v>4.724329887429677E-2</v>
      </c>
      <c r="S36" s="2"/>
      <c r="T36" s="6">
        <v>461750.12</v>
      </c>
      <c r="U36" s="2"/>
      <c r="V36" s="7">
        <f t="shared" si="17"/>
        <v>4.5537501011390841E-2</v>
      </c>
      <c r="W36" s="2"/>
      <c r="X36" s="6">
        <f t="shared" si="18"/>
        <v>22255.059999999998</v>
      </c>
      <c r="Y36" s="2"/>
      <c r="Z36" s="7">
        <f t="shared" si="19"/>
        <v>4.8197193754925281E-2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6">
        <v>909.65</v>
      </c>
      <c r="E37" s="2"/>
      <c r="F37" s="7">
        <f t="shared" si="12"/>
        <v>8.5874557195891399E-4</v>
      </c>
      <c r="G37" s="2"/>
      <c r="H37" s="6">
        <v>808.7</v>
      </c>
      <c r="I37" s="2"/>
      <c r="J37" s="7">
        <f t="shared" si="13"/>
        <v>7.9733920797586081E-4</v>
      </c>
      <c r="K37" s="2"/>
      <c r="L37" s="6">
        <f t="shared" si="14"/>
        <v>100.94999999999993</v>
      </c>
      <c r="M37" s="2"/>
      <c r="N37" s="7">
        <f t="shared" si="15"/>
        <v>0.12482997403239758</v>
      </c>
      <c r="O37" s="11"/>
      <c r="P37" s="6">
        <v>8813.17</v>
      </c>
      <c r="Q37" s="2"/>
      <c r="R37" s="7">
        <f t="shared" si="16"/>
        <v>8.602453889852709E-4</v>
      </c>
      <c r="S37" s="2"/>
      <c r="T37" s="6">
        <v>8183.8</v>
      </c>
      <c r="U37" s="2"/>
      <c r="V37" s="7">
        <f t="shared" si="17"/>
        <v>8.0708111299899684E-4</v>
      </c>
      <c r="W37" s="2"/>
      <c r="X37" s="6">
        <f t="shared" si="18"/>
        <v>629.36999999999989</v>
      </c>
      <c r="Y37" s="2"/>
      <c r="Z37" s="7">
        <f t="shared" si="19"/>
        <v>7.6904372052102918E-2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6">
        <v>16322.64</v>
      </c>
      <c r="E38" s="2"/>
      <c r="F38" s="7">
        <f t="shared" si="12"/>
        <v>1.540921763610119E-2</v>
      </c>
      <c r="G38" s="2"/>
      <c r="H38" s="6">
        <v>14449.33</v>
      </c>
      <c r="I38" s="2"/>
      <c r="J38" s="7">
        <f t="shared" si="13"/>
        <v>1.4246342695661982E-2</v>
      </c>
      <c r="K38" s="2"/>
      <c r="L38" s="6">
        <f t="shared" si="14"/>
        <v>1873.3099999999995</v>
      </c>
      <c r="M38" s="2"/>
      <c r="N38" s="7">
        <f t="shared" si="15"/>
        <v>0.12964684175667657</v>
      </c>
      <c r="O38" s="11"/>
      <c r="P38" s="6">
        <v>84538.06</v>
      </c>
      <c r="Q38" s="2"/>
      <c r="R38" s="7">
        <f t="shared" si="16"/>
        <v>8.251682006447188E-3</v>
      </c>
      <c r="S38" s="2"/>
      <c r="T38" s="6">
        <v>81214.960000000006</v>
      </c>
      <c r="U38" s="2"/>
      <c r="V38" s="7">
        <f t="shared" si="17"/>
        <v>8.0093673243443169E-3</v>
      </c>
      <c r="W38" s="2"/>
      <c r="X38" s="6">
        <f t="shared" si="18"/>
        <v>3323.0999999999913</v>
      </c>
      <c r="Y38" s="2"/>
      <c r="Z38" s="7">
        <f t="shared" si="19"/>
        <v>4.0917338381992567E-2</v>
      </c>
    </row>
    <row r="39" spans="1:26" s="24" customFormat="1" hidden="1" outlineLevel="2" x14ac:dyDescent="0.25">
      <c r="A39" s="25"/>
      <c r="B39" s="11" t="str">
        <f>CONCATENATE("          ", "6117", " - ", "RETIREMENT STAFF HOURLY")</f>
        <v xml:space="preserve">          6117 - RETIREMENT STAFF HOURLY</v>
      </c>
      <c r="C39" s="11"/>
      <c r="D39" s="6">
        <v>2458.2800000000002</v>
      </c>
      <c r="E39" s="2"/>
      <c r="F39" s="7">
        <f t="shared" si="12"/>
        <v>2.3207135322763253E-3</v>
      </c>
      <c r="G39" s="2"/>
      <c r="H39" s="6">
        <v>1418.76</v>
      </c>
      <c r="I39" s="2"/>
      <c r="J39" s="7">
        <f t="shared" si="13"/>
        <v>1.3988289535153114E-3</v>
      </c>
      <c r="K39" s="2"/>
      <c r="L39" s="6">
        <f t="shared" si="14"/>
        <v>1039.5200000000002</v>
      </c>
      <c r="M39" s="2"/>
      <c r="N39" s="7">
        <f t="shared" si="15"/>
        <v>0.73269615720770265</v>
      </c>
      <c r="O39" s="11"/>
      <c r="P39" s="6">
        <v>13290.29</v>
      </c>
      <c r="Q39" s="2"/>
      <c r="R39" s="7">
        <f t="shared" si="16"/>
        <v>1.2972529397228304E-3</v>
      </c>
      <c r="S39" s="2"/>
      <c r="T39" s="6">
        <v>11016.04</v>
      </c>
      <c r="U39" s="2"/>
      <c r="V39" s="7">
        <f t="shared" si="17"/>
        <v>1.0863948073072986E-3</v>
      </c>
      <c r="W39" s="2"/>
      <c r="X39" s="6">
        <f t="shared" si="18"/>
        <v>2274.25</v>
      </c>
      <c r="Y39" s="2"/>
      <c r="Z39" s="7">
        <f t="shared" si="19"/>
        <v>0.20644895988031994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6">
        <v>14434.08</v>
      </c>
      <c r="E40" s="2"/>
      <c r="F40" s="7">
        <f t="shared" si="12"/>
        <v>1.362634231330811E-2</v>
      </c>
      <c r="G40" s="2"/>
      <c r="H40" s="6">
        <v>15604.87</v>
      </c>
      <c r="I40" s="2"/>
      <c r="J40" s="7">
        <f t="shared" si="13"/>
        <v>1.5385649420509795E-2</v>
      </c>
      <c r="K40" s="2"/>
      <c r="L40" s="6">
        <f t="shared" si="14"/>
        <v>-1170.7900000000009</v>
      </c>
      <c r="M40" s="2"/>
      <c r="N40" s="7">
        <f t="shared" si="15"/>
        <v>-7.5027219066868281E-2</v>
      </c>
      <c r="O40" s="11"/>
      <c r="P40" s="6">
        <v>113161.73000000001</v>
      </c>
      <c r="Q40" s="2"/>
      <c r="R40" s="7">
        <f t="shared" si="16"/>
        <v>1.1045612014983964E-2</v>
      </c>
      <c r="S40" s="2"/>
      <c r="T40" s="6">
        <v>102361.98000000001</v>
      </c>
      <c r="U40" s="2"/>
      <c r="V40" s="7">
        <f t="shared" si="17"/>
        <v>1.0094872888777959E-2</v>
      </c>
      <c r="W40" s="2"/>
      <c r="X40" s="6">
        <f t="shared" si="18"/>
        <v>10799.75</v>
      </c>
      <c r="Y40" s="2"/>
      <c r="Z40" s="7">
        <f t="shared" si="19"/>
        <v>0.10550548162511118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6">
        <v>10352.26</v>
      </c>
      <c r="E41" s="2"/>
      <c r="F41" s="7">
        <f t="shared" si="12"/>
        <v>9.7729428184108041E-3</v>
      </c>
      <c r="G41" s="2"/>
      <c r="H41" s="6">
        <v>19881.37</v>
      </c>
      <c r="I41" s="2"/>
      <c r="J41" s="7">
        <f t="shared" si="13"/>
        <v>1.9602072226134585E-2</v>
      </c>
      <c r="K41" s="2"/>
      <c r="L41" s="6">
        <f t="shared" si="14"/>
        <v>-9529.1099999999988</v>
      </c>
      <c r="M41" s="2"/>
      <c r="N41" s="7">
        <f t="shared" si="15"/>
        <v>-0.47929845880842215</v>
      </c>
      <c r="O41" s="11"/>
      <c r="P41" s="6">
        <v>104442.58</v>
      </c>
      <c r="Q41" s="2"/>
      <c r="R41" s="7">
        <f t="shared" si="16"/>
        <v>1.0194543831416537E-2</v>
      </c>
      <c r="S41" s="2"/>
      <c r="T41" s="6">
        <v>80492.13</v>
      </c>
      <c r="U41" s="2"/>
      <c r="V41" s="7">
        <f t="shared" si="17"/>
        <v>7.93808229282973E-3</v>
      </c>
      <c r="W41" s="2"/>
      <c r="X41" s="6">
        <f t="shared" si="18"/>
        <v>23950.449999999997</v>
      </c>
      <c r="Y41" s="2"/>
      <c r="Z41" s="7">
        <f t="shared" si="19"/>
        <v>0.29755020770353569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6">
        <v>8507.69</v>
      </c>
      <c r="E42" s="2"/>
      <c r="F42" s="7">
        <f t="shared" si="12"/>
        <v>8.0315957951950026E-3</v>
      </c>
      <c r="G42" s="2"/>
      <c r="H42" s="6">
        <v>6129.24</v>
      </c>
      <c r="I42" s="2"/>
      <c r="J42" s="7">
        <f t="shared" si="13"/>
        <v>6.0431351144972978E-3</v>
      </c>
      <c r="K42" s="2"/>
      <c r="L42" s="6">
        <f t="shared" si="14"/>
        <v>2378.4500000000007</v>
      </c>
      <c r="M42" s="2"/>
      <c r="N42" s="7">
        <f t="shared" si="15"/>
        <v>0.38804974189295915</v>
      </c>
      <c r="O42" s="11"/>
      <c r="P42" s="6">
        <v>45707.64</v>
      </c>
      <c r="Q42" s="2"/>
      <c r="R42" s="7">
        <f t="shared" si="16"/>
        <v>4.4614805514245981E-3</v>
      </c>
      <c r="S42" s="2"/>
      <c r="T42" s="6">
        <v>43437.919999999998</v>
      </c>
      <c r="U42" s="2"/>
      <c r="V42" s="7">
        <f t="shared" si="17"/>
        <v>4.2838198416336399E-3</v>
      </c>
      <c r="W42" s="2"/>
      <c r="X42" s="6">
        <f t="shared" si="18"/>
        <v>2269.7200000000012</v>
      </c>
      <c r="Y42" s="2"/>
      <c r="Z42" s="7">
        <f t="shared" si="19"/>
        <v>5.2252041534217135E-2</v>
      </c>
    </row>
    <row r="43" spans="1:26" s="26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449160.99</v>
      </c>
      <c r="E43" s="1"/>
      <c r="F43" s="5">
        <f t="shared" ref="F43:F50" si="20">IF(D$12=0,0,D43/D$12)</f>
        <v>0.42402573655711762</v>
      </c>
      <c r="G43" s="1"/>
      <c r="H43" s="1">
        <f>SUM(OSRRefH22_1x_0)</f>
        <v>393484.04000000004</v>
      </c>
      <c r="I43" s="1"/>
      <c r="J43" s="5">
        <f t="shared" ref="J43:J50" si="21">IF(H$12=0,0,H43/H$12)</f>
        <v>0.38795629133763071</v>
      </c>
      <c r="K43" s="1"/>
      <c r="L43" s="1">
        <f t="shared" ref="L43:L50" si="22">+D43-H43</f>
        <v>55676.949999999953</v>
      </c>
      <c r="M43" s="1"/>
      <c r="N43" s="5">
        <f t="shared" ref="N43:N50" si="23">IF(H43=0,0,L43/H43)</f>
        <v>0.14149735272617397</v>
      </c>
      <c r="O43" s="13"/>
      <c r="P43" s="1">
        <f>SUM(OSRRefP22_1x_0)</f>
        <v>3262893.81</v>
      </c>
      <c r="Q43" s="1"/>
      <c r="R43" s="5">
        <f t="shared" ref="R43:R50" si="24">IF(P$12=0,0,P43/P$12)</f>
        <v>0.31848805308431388</v>
      </c>
      <c r="S43" s="1"/>
      <c r="T43" s="1">
        <f>SUM(OSRRefT22_1x_0)</f>
        <v>2902922.56</v>
      </c>
      <c r="U43" s="1"/>
      <c r="V43" s="5">
        <f t="shared" ref="V43:V50" si="25">IF(T$12=0,0,T43/T$12)</f>
        <v>0.28628436309229177</v>
      </c>
      <c r="W43" s="1"/>
      <c r="X43" s="1">
        <f t="shared" ref="X43:X50" si="26">+P43-T43</f>
        <v>359971.25</v>
      </c>
      <c r="Y43" s="1"/>
      <c r="Z43" s="5">
        <f t="shared" ref="Z43:Z50" si="27">IF(T43=0,0,X43/T43)</f>
        <v>0.12400304953363964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6">
        <v>29316.37</v>
      </c>
      <c r="E44" s="2"/>
      <c r="F44" s="7">
        <f t="shared" si="20"/>
        <v>2.7675812591006592E-2</v>
      </c>
      <c r="G44" s="2"/>
      <c r="H44" s="6">
        <v>27533.98</v>
      </c>
      <c r="I44" s="2"/>
      <c r="J44" s="7">
        <f t="shared" si="21"/>
        <v>2.7147176710304428E-2</v>
      </c>
      <c r="K44" s="2"/>
      <c r="L44" s="6">
        <f t="shared" si="22"/>
        <v>1782.3899999999994</v>
      </c>
      <c r="M44" s="2"/>
      <c r="N44" s="7">
        <f t="shared" si="23"/>
        <v>6.4734193894235389E-2</v>
      </c>
      <c r="O44" s="11"/>
      <c r="P44" s="6">
        <v>179163.02</v>
      </c>
      <c r="Q44" s="2"/>
      <c r="R44" s="7">
        <f t="shared" si="24"/>
        <v>1.7487937011503904E-2</v>
      </c>
      <c r="S44" s="2"/>
      <c r="T44" s="6">
        <v>173082.61000000002</v>
      </c>
      <c r="U44" s="2"/>
      <c r="V44" s="7">
        <f t="shared" si="25"/>
        <v>1.7069296111778307E-2</v>
      </c>
      <c r="W44" s="2"/>
      <c r="X44" s="6">
        <f t="shared" si="26"/>
        <v>6080.4099999999744</v>
      </c>
      <c r="Y44" s="2"/>
      <c r="Z44" s="7">
        <f t="shared" si="27"/>
        <v>3.5130103480644152E-2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6">
        <v>122853.01999999999</v>
      </c>
      <c r="E45" s="2"/>
      <c r="F45" s="7">
        <f t="shared" si="20"/>
        <v>0.11597810908237223</v>
      </c>
      <c r="G45" s="2"/>
      <c r="H45" s="6">
        <v>108743.81</v>
      </c>
      <c r="I45" s="2"/>
      <c r="J45" s="7">
        <f t="shared" si="21"/>
        <v>0.1072161535027544</v>
      </c>
      <c r="K45" s="2"/>
      <c r="L45" s="6">
        <f t="shared" si="22"/>
        <v>14109.209999999992</v>
      </c>
      <c r="M45" s="2"/>
      <c r="N45" s="7">
        <f t="shared" si="23"/>
        <v>0.12974724722262346</v>
      </c>
      <c r="O45" s="11"/>
      <c r="P45" s="6">
        <v>719259</v>
      </c>
      <c r="Q45" s="2"/>
      <c r="R45" s="7">
        <f t="shared" si="24"/>
        <v>7.020620710098148E-2</v>
      </c>
      <c r="S45" s="2"/>
      <c r="T45" s="6">
        <v>672352.51</v>
      </c>
      <c r="U45" s="2"/>
      <c r="V45" s="7">
        <f t="shared" si="25"/>
        <v>6.6306973789495002E-2</v>
      </c>
      <c r="W45" s="2"/>
      <c r="X45" s="6">
        <f t="shared" si="26"/>
        <v>46906.489999999991</v>
      </c>
      <c r="Y45" s="2"/>
      <c r="Z45" s="7">
        <f t="shared" si="27"/>
        <v>6.9764728029348758E-2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6">
        <v>72554.41</v>
      </c>
      <c r="E46" s="2"/>
      <c r="F46" s="7">
        <f t="shared" si="20"/>
        <v>6.8494232192152532E-2</v>
      </c>
      <c r="G46" s="2"/>
      <c r="H46" s="6">
        <v>49297.72</v>
      </c>
      <c r="I46" s="2"/>
      <c r="J46" s="7">
        <f t="shared" si="21"/>
        <v>4.8605174996680788E-2</v>
      </c>
      <c r="K46" s="2"/>
      <c r="L46" s="6">
        <f t="shared" si="22"/>
        <v>23256.690000000002</v>
      </c>
      <c r="M46" s="2"/>
      <c r="N46" s="7">
        <f t="shared" si="23"/>
        <v>0.47175995157585388</v>
      </c>
      <c r="O46" s="11"/>
      <c r="P46" s="6">
        <v>557919.66</v>
      </c>
      <c r="Q46" s="2"/>
      <c r="R46" s="7">
        <f t="shared" si="24"/>
        <v>5.4458023042699748E-2</v>
      </c>
      <c r="S46" s="2"/>
      <c r="T46" s="6">
        <v>486064.35</v>
      </c>
      <c r="U46" s="2"/>
      <c r="V46" s="7">
        <f t="shared" si="25"/>
        <v>4.7935354796932221E-2</v>
      </c>
      <c r="W46" s="2"/>
      <c r="X46" s="6">
        <f t="shared" si="26"/>
        <v>71855.310000000056</v>
      </c>
      <c r="Y46" s="2"/>
      <c r="Z46" s="7">
        <f t="shared" si="27"/>
        <v>0.14783085819809674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6">
        <v>47246.8</v>
      </c>
      <c r="E47" s="2"/>
      <c r="F47" s="7">
        <f t="shared" si="20"/>
        <v>4.460284756689762E-2</v>
      </c>
      <c r="G47" s="2"/>
      <c r="H47" s="6">
        <v>43951.98</v>
      </c>
      <c r="I47" s="2"/>
      <c r="J47" s="7">
        <f t="shared" si="21"/>
        <v>4.3334533105194604E-2</v>
      </c>
      <c r="K47" s="2"/>
      <c r="L47" s="6">
        <f t="shared" si="22"/>
        <v>3294.8199999999997</v>
      </c>
      <c r="M47" s="2"/>
      <c r="N47" s="7">
        <f t="shared" si="23"/>
        <v>7.4964085804553049E-2</v>
      </c>
      <c r="O47" s="11"/>
      <c r="P47" s="6">
        <v>598295.11</v>
      </c>
      <c r="Q47" s="2"/>
      <c r="R47" s="7">
        <f t="shared" si="24"/>
        <v>5.8399033449931803E-2</v>
      </c>
      <c r="S47" s="2"/>
      <c r="T47" s="6">
        <v>477941.62</v>
      </c>
      <c r="U47" s="2"/>
      <c r="V47" s="7">
        <f t="shared" si="25"/>
        <v>4.7134296368208366E-2</v>
      </c>
      <c r="W47" s="2"/>
      <c r="X47" s="6">
        <f t="shared" si="26"/>
        <v>120353.48999999999</v>
      </c>
      <c r="Y47" s="2"/>
      <c r="Z47" s="7">
        <f t="shared" si="27"/>
        <v>0.25181629923755122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6">
        <v>393.25</v>
      </c>
      <c r="E48" s="2"/>
      <c r="F48" s="7">
        <f t="shared" si="20"/>
        <v>3.7124355100625841E-4</v>
      </c>
      <c r="G48" s="2"/>
      <c r="H48" s="6">
        <v>1625.55</v>
      </c>
      <c r="I48" s="2"/>
      <c r="J48" s="7">
        <f t="shared" si="21"/>
        <v>1.602713922993892E-3</v>
      </c>
      <c r="K48" s="2"/>
      <c r="L48" s="6">
        <f t="shared" si="22"/>
        <v>-1232.3</v>
      </c>
      <c r="M48" s="2"/>
      <c r="N48" s="7">
        <f t="shared" si="23"/>
        <v>-0.75808187997908405</v>
      </c>
      <c r="O48" s="11"/>
      <c r="P48" s="6">
        <v>40581.5</v>
      </c>
      <c r="Q48" s="2"/>
      <c r="R48" s="7">
        <f t="shared" si="24"/>
        <v>3.961122757544195E-3</v>
      </c>
      <c r="S48" s="2"/>
      <c r="T48" s="6">
        <v>13628.56</v>
      </c>
      <c r="U48" s="2"/>
      <c r="V48" s="7">
        <f t="shared" si="25"/>
        <v>1.3440398559805479E-3</v>
      </c>
      <c r="W48" s="2"/>
      <c r="X48" s="6">
        <f t="shared" si="26"/>
        <v>26952.940000000002</v>
      </c>
      <c r="Y48" s="2"/>
      <c r="Z48" s="7">
        <f t="shared" si="27"/>
        <v>1.9776806940718612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6">
        <v>171242.89</v>
      </c>
      <c r="E49" s="2"/>
      <c r="F49" s="7">
        <f t="shared" si="20"/>
        <v>0.16166005993178412</v>
      </c>
      <c r="G49" s="2"/>
      <c r="H49" s="6">
        <v>154478.47999999998</v>
      </c>
      <c r="I49" s="2"/>
      <c r="J49" s="7">
        <f t="shared" si="21"/>
        <v>0.15230833299433022</v>
      </c>
      <c r="K49" s="2"/>
      <c r="L49" s="6">
        <f t="shared" si="22"/>
        <v>16764.410000000033</v>
      </c>
      <c r="M49" s="2"/>
      <c r="N49" s="7">
        <f t="shared" si="23"/>
        <v>0.10852262399267545</v>
      </c>
      <c r="O49" s="11"/>
      <c r="P49" s="6">
        <v>1025427.1000000001</v>
      </c>
      <c r="Q49" s="2"/>
      <c r="R49" s="7">
        <f t="shared" si="24"/>
        <v>0.10009099274330785</v>
      </c>
      <c r="S49" s="2"/>
      <c r="T49" s="6">
        <v>927414.68</v>
      </c>
      <c r="U49" s="2"/>
      <c r="V49" s="7">
        <f t="shared" si="25"/>
        <v>9.1461041587772005E-2</v>
      </c>
      <c r="W49" s="2"/>
      <c r="X49" s="6">
        <f t="shared" si="26"/>
        <v>98012.420000000042</v>
      </c>
      <c r="Y49" s="2"/>
      <c r="Z49" s="7">
        <f t="shared" si="27"/>
        <v>0.10568348993569956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6">
        <v>5554.25</v>
      </c>
      <c r="E50" s="2"/>
      <c r="F50" s="7">
        <f t="shared" si="20"/>
        <v>5.2434316418983103E-3</v>
      </c>
      <c r="G50" s="2"/>
      <c r="H50" s="6">
        <v>7852.52</v>
      </c>
      <c r="I50" s="2"/>
      <c r="J50" s="7">
        <f t="shared" si="21"/>
        <v>7.7422061053723347E-3</v>
      </c>
      <c r="K50" s="2"/>
      <c r="L50" s="6">
        <f t="shared" si="22"/>
        <v>-2298.2700000000004</v>
      </c>
      <c r="M50" s="2"/>
      <c r="N50" s="7">
        <f t="shared" si="23"/>
        <v>-0.29267929276206878</v>
      </c>
      <c r="O50" s="11"/>
      <c r="P50" s="6">
        <v>142248.42000000001</v>
      </c>
      <c r="Q50" s="2"/>
      <c r="R50" s="7">
        <f t="shared" si="24"/>
        <v>1.3884736978344931E-2</v>
      </c>
      <c r="S50" s="2"/>
      <c r="T50" s="6">
        <v>152438.22999999998</v>
      </c>
      <c r="U50" s="2"/>
      <c r="V50" s="7">
        <f t="shared" si="25"/>
        <v>1.5033360582125304E-2</v>
      </c>
      <c r="W50" s="2"/>
      <c r="X50" s="6">
        <f t="shared" si="26"/>
        <v>-10189.809999999969</v>
      </c>
      <c r="Y50" s="2"/>
      <c r="Z50" s="7">
        <f t="shared" si="27"/>
        <v>-6.6845501945279537E-2</v>
      </c>
    </row>
    <row r="51" spans="1:26" s="26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4459.08</v>
      </c>
      <c r="E51" s="1"/>
      <c r="F51" s="5">
        <f t="shared" ref="F51:F60" si="28">IF(D$12=0,0,D51/D$12)</f>
        <v>4.2095478535816569E-3</v>
      </c>
      <c r="G51" s="1"/>
      <c r="H51" s="1">
        <f>SUM(OSRRefH22_2x_0)</f>
        <v>7522.62</v>
      </c>
      <c r="I51" s="1"/>
      <c r="J51" s="5">
        <f t="shared" ref="J51:J60" si="29">IF(H$12=0,0,H51/H$12)</f>
        <v>7.4169406117266844E-3</v>
      </c>
      <c r="K51" s="1"/>
      <c r="L51" s="1">
        <f t="shared" ref="L51:L60" si="30">+D51-H51</f>
        <v>-3063.54</v>
      </c>
      <c r="M51" s="1"/>
      <c r="N51" s="5">
        <f t="shared" ref="N51:N60" si="31">IF(H51=0,0,L51/H51)</f>
        <v>-0.40724375284143027</v>
      </c>
      <c r="O51" s="13"/>
      <c r="P51" s="1">
        <f>SUM(OSRRefP22_2x_0)</f>
        <v>32029.31</v>
      </c>
      <c r="Q51" s="1"/>
      <c r="R51" s="5">
        <f t="shared" ref="R51:R60" si="32">IF(P$12=0,0,P51/P$12)</f>
        <v>3.1263513854696812E-3</v>
      </c>
      <c r="S51" s="1"/>
      <c r="T51" s="1">
        <f>SUM(OSRRefT22_2x_0)</f>
        <v>30949.670000000002</v>
      </c>
      <c r="U51" s="1"/>
      <c r="V51" s="5">
        <f t="shared" ref="V51:V60" si="33">IF(T$12=0,0,T51/T$12)</f>
        <v>3.0522366273065893E-3</v>
      </c>
      <c r="W51" s="1"/>
      <c r="X51" s="1">
        <f t="shared" ref="X51:X60" si="34">+P51-T51</f>
        <v>1079.6399999999994</v>
      </c>
      <c r="Y51" s="1"/>
      <c r="Z51" s="5">
        <f t="shared" ref="Z51:Z60" si="35">IF(T51=0,0,X51/T51)</f>
        <v>3.4883732201344934E-2</v>
      </c>
    </row>
    <row r="52" spans="1:26" s="24" customFormat="1" hidden="1" outlineLevel="2" x14ac:dyDescent="0.25">
      <c r="A52" s="25"/>
      <c r="B52" s="11" t="str">
        <f>CONCATENATE("          ", "6362", " - ", "ADVERTISING EXPENSE")</f>
        <v xml:space="preserve">          6362 - ADVERTISING EXPENSE</v>
      </c>
      <c r="C52" s="11"/>
      <c r="D52" s="6">
        <v>4459.08</v>
      </c>
      <c r="E52" s="2"/>
      <c r="F52" s="7">
        <f t="shared" si="28"/>
        <v>4.2095478535816569E-3</v>
      </c>
      <c r="G52" s="2"/>
      <c r="H52" s="6">
        <v>7522.62</v>
      </c>
      <c r="I52" s="2"/>
      <c r="J52" s="7">
        <f t="shared" si="29"/>
        <v>7.4169406117266844E-3</v>
      </c>
      <c r="K52" s="2"/>
      <c r="L52" s="6">
        <f t="shared" si="30"/>
        <v>-3063.54</v>
      </c>
      <c r="M52" s="2"/>
      <c r="N52" s="7">
        <f t="shared" si="31"/>
        <v>-0.40724375284143027</v>
      </c>
      <c r="O52" s="11"/>
      <c r="P52" s="6">
        <v>32029.31</v>
      </c>
      <c r="Q52" s="2"/>
      <c r="R52" s="7">
        <f t="shared" si="32"/>
        <v>3.1263513854696812E-3</v>
      </c>
      <c r="S52" s="2"/>
      <c r="T52" s="6">
        <v>30949.670000000002</v>
      </c>
      <c r="U52" s="2"/>
      <c r="V52" s="7">
        <f t="shared" si="33"/>
        <v>3.0522366273065893E-3</v>
      </c>
      <c r="W52" s="2"/>
      <c r="X52" s="6">
        <f t="shared" si="34"/>
        <v>1079.6399999999994</v>
      </c>
      <c r="Y52" s="2"/>
      <c r="Z52" s="7">
        <f t="shared" si="35"/>
        <v>3.4883732201344934E-2</v>
      </c>
    </row>
    <row r="53" spans="1:26" s="26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-412.43</v>
      </c>
      <c r="E53" s="1"/>
      <c r="F53" s="5">
        <f t="shared" si="28"/>
        <v>-3.8935022947618854E-4</v>
      </c>
      <c r="G53" s="1"/>
      <c r="H53" s="1">
        <f>SUM(OSRRefH22_3x_0)</f>
        <v>1919.37</v>
      </c>
      <c r="I53" s="1"/>
      <c r="J53" s="5">
        <f t="shared" si="29"/>
        <v>1.8924062762614416E-3</v>
      </c>
      <c r="K53" s="1"/>
      <c r="L53" s="1">
        <f t="shared" si="30"/>
        <v>-2331.7999999999997</v>
      </c>
      <c r="M53" s="1"/>
      <c r="N53" s="5">
        <f t="shared" si="31"/>
        <v>-1.2148777984442811</v>
      </c>
      <c r="O53" s="13"/>
      <c r="P53" s="1">
        <f>SUM(OSRRefP22_3x_0)</f>
        <v>-475.42</v>
      </c>
      <c r="Q53" s="1"/>
      <c r="R53" s="5">
        <f t="shared" si="32"/>
        <v>-4.6405307378772622E-5</v>
      </c>
      <c r="S53" s="1"/>
      <c r="T53" s="1">
        <f>SUM(OSRRefT22_3x_0)</f>
        <v>1516.14</v>
      </c>
      <c r="U53" s="1"/>
      <c r="V53" s="5">
        <f t="shared" si="33"/>
        <v>1.4952075547573245E-4</v>
      </c>
      <c r="W53" s="1"/>
      <c r="X53" s="1">
        <f t="shared" si="34"/>
        <v>-1991.5600000000002</v>
      </c>
      <c r="Y53" s="1"/>
      <c r="Z53" s="5">
        <f t="shared" si="35"/>
        <v>-1.313572625219307</v>
      </c>
    </row>
    <row r="54" spans="1:26" s="24" customFormat="1" hidden="1" outlineLevel="2" x14ac:dyDescent="0.25">
      <c r="A54" s="25"/>
      <c r="B54" s="11" t="str">
        <f>CONCATENATE("          ", "6272", " - ", "CASH (OVER/SHORT)")</f>
        <v xml:space="preserve">          6272 - CASH (OVER/SHORT)</v>
      </c>
      <c r="C54" s="11"/>
      <c r="D54" s="6">
        <v>-412.43</v>
      </c>
      <c r="E54" s="2"/>
      <c r="F54" s="7">
        <f t="shared" si="28"/>
        <v>-3.8935022947618854E-4</v>
      </c>
      <c r="G54" s="2"/>
      <c r="H54" s="6">
        <v>1919.37</v>
      </c>
      <c r="I54" s="2"/>
      <c r="J54" s="7">
        <f t="shared" si="29"/>
        <v>1.8924062762614416E-3</v>
      </c>
      <c r="K54" s="2"/>
      <c r="L54" s="6">
        <f t="shared" si="30"/>
        <v>-2331.7999999999997</v>
      </c>
      <c r="M54" s="2"/>
      <c r="N54" s="7">
        <f t="shared" si="31"/>
        <v>-1.2148777984442811</v>
      </c>
      <c r="O54" s="11"/>
      <c r="P54" s="6">
        <v>-475.42</v>
      </c>
      <c r="Q54" s="2"/>
      <c r="R54" s="7">
        <f t="shared" si="32"/>
        <v>-4.6405307378772622E-5</v>
      </c>
      <c r="S54" s="2"/>
      <c r="T54" s="6">
        <v>1516.14</v>
      </c>
      <c r="U54" s="2"/>
      <c r="V54" s="7">
        <f t="shared" si="33"/>
        <v>1.4952075547573245E-4</v>
      </c>
      <c r="W54" s="2"/>
      <c r="X54" s="6">
        <f t="shared" si="34"/>
        <v>-1991.5600000000002</v>
      </c>
      <c r="Y54" s="2"/>
      <c r="Z54" s="7">
        <f t="shared" si="35"/>
        <v>-1.313572625219307</v>
      </c>
    </row>
    <row r="55" spans="1:26" s="26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11063.48</v>
      </c>
      <c r="E55" s="1"/>
      <c r="F55" s="5">
        <f t="shared" si="28"/>
        <v>1.0444362623488161E-2</v>
      </c>
      <c r="G55" s="1"/>
      <c r="H55" s="1">
        <f>SUM(OSRRefH22_4x_0)</f>
        <v>13410.12</v>
      </c>
      <c r="I55" s="1"/>
      <c r="J55" s="5">
        <f t="shared" si="29"/>
        <v>1.3221731741883579E-2</v>
      </c>
      <c r="K55" s="1"/>
      <c r="L55" s="1">
        <f t="shared" si="30"/>
        <v>-2346.6400000000012</v>
      </c>
      <c r="M55" s="1"/>
      <c r="N55" s="5">
        <f t="shared" si="31"/>
        <v>-0.17499023125818419</v>
      </c>
      <c r="O55" s="13"/>
      <c r="P55" s="1">
        <f>SUM(OSRRefP22_4x_0)</f>
        <v>117102.29000000001</v>
      </c>
      <c r="Q55" s="1"/>
      <c r="R55" s="5">
        <f t="shared" si="32"/>
        <v>1.1430246439376072E-2</v>
      </c>
      <c r="S55" s="1"/>
      <c r="T55" s="1">
        <f>SUM(OSRRefT22_4x_0)</f>
        <v>120991.2</v>
      </c>
      <c r="U55" s="1"/>
      <c r="V55" s="5">
        <f t="shared" si="33"/>
        <v>1.1932074630255409E-2</v>
      </c>
      <c r="W55" s="1"/>
      <c r="X55" s="1">
        <f t="shared" si="34"/>
        <v>-3888.9099999999889</v>
      </c>
      <c r="Y55" s="1"/>
      <c r="Z55" s="5">
        <f t="shared" si="35"/>
        <v>-3.2142089672637257E-2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6">
        <v>11063.48</v>
      </c>
      <c r="E56" s="2"/>
      <c r="F56" s="7">
        <f t="shared" si="28"/>
        <v>1.0444362623488161E-2</v>
      </c>
      <c r="G56" s="2"/>
      <c r="H56" s="6">
        <v>13410.12</v>
      </c>
      <c r="I56" s="2"/>
      <c r="J56" s="7">
        <f t="shared" si="29"/>
        <v>1.3221731741883579E-2</v>
      </c>
      <c r="K56" s="2"/>
      <c r="L56" s="6">
        <f t="shared" si="30"/>
        <v>-2346.6400000000012</v>
      </c>
      <c r="M56" s="2"/>
      <c r="N56" s="7">
        <f t="shared" si="31"/>
        <v>-0.17499023125818419</v>
      </c>
      <c r="O56" s="11"/>
      <c r="P56" s="6">
        <v>117102.29000000001</v>
      </c>
      <c r="Q56" s="2"/>
      <c r="R56" s="7">
        <f t="shared" si="32"/>
        <v>1.1430246439376072E-2</v>
      </c>
      <c r="S56" s="2"/>
      <c r="T56" s="6">
        <v>120991.2</v>
      </c>
      <c r="U56" s="2"/>
      <c r="V56" s="7">
        <f t="shared" si="33"/>
        <v>1.1932074630255409E-2</v>
      </c>
      <c r="W56" s="2"/>
      <c r="X56" s="6">
        <f t="shared" si="34"/>
        <v>-3888.9099999999889</v>
      </c>
      <c r="Y56" s="2"/>
      <c r="Z56" s="7">
        <f t="shared" si="35"/>
        <v>-3.2142089672637257E-2</v>
      </c>
    </row>
    <row r="57" spans="1:26" s="26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40745.619999999995</v>
      </c>
      <c r="E57" s="1"/>
      <c r="F57" s="5">
        <f t="shared" si="28"/>
        <v>3.8465476558808949E-2</v>
      </c>
      <c r="G57" s="1"/>
      <c r="H57" s="1">
        <f>SUM(OSRRefH22_5x_0)</f>
        <v>35444.590000000004</v>
      </c>
      <c r="I57" s="1"/>
      <c r="J57" s="5">
        <f t="shared" si="29"/>
        <v>3.4946656754827651E-2</v>
      </c>
      <c r="K57" s="1"/>
      <c r="L57" s="1">
        <f t="shared" si="30"/>
        <v>5301.0299999999916</v>
      </c>
      <c r="M57" s="1"/>
      <c r="N57" s="5">
        <f t="shared" si="31"/>
        <v>0.1495582259521126</v>
      </c>
      <c r="O57" s="13"/>
      <c r="P57" s="1">
        <f>SUM(OSRRefP22_5x_0)</f>
        <v>279346.49</v>
      </c>
      <c r="Q57" s="1"/>
      <c r="R57" s="5">
        <f t="shared" si="32"/>
        <v>2.7266753047055722E-2</v>
      </c>
      <c r="S57" s="1"/>
      <c r="T57" s="1">
        <f>SUM(OSRRefT22_5x_0)</f>
        <v>267085.99</v>
      </c>
      <c r="U57" s="1"/>
      <c r="V57" s="5">
        <f t="shared" si="33"/>
        <v>2.6339849223543946E-2</v>
      </c>
      <c r="W57" s="1"/>
      <c r="X57" s="1">
        <f t="shared" si="34"/>
        <v>12260.5</v>
      </c>
      <c r="Y57" s="1"/>
      <c r="Z57" s="5">
        <f t="shared" si="35"/>
        <v>4.5904691593894535E-2</v>
      </c>
    </row>
    <row r="58" spans="1:26" s="24" customFormat="1" hidden="1" outlineLevel="2" x14ac:dyDescent="0.25">
      <c r="A58" s="25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8"/>
        <v>2.269750501487967E-2</v>
      </c>
      <c r="G58" s="2"/>
      <c r="H58" s="6">
        <v>21516.510000000002</v>
      </c>
      <c r="I58" s="2"/>
      <c r="J58" s="7">
        <f t="shared" si="29"/>
        <v>2.1214241426740065E-2</v>
      </c>
      <c r="K58" s="2"/>
      <c r="L58" s="6">
        <f t="shared" si="30"/>
        <v>2526.4499999999971</v>
      </c>
      <c r="M58" s="2"/>
      <c r="N58" s="7">
        <f t="shared" si="31"/>
        <v>0.11741913535234091</v>
      </c>
      <c r="O58" s="11"/>
      <c r="P58" s="6">
        <v>168300.72</v>
      </c>
      <c r="Q58" s="2"/>
      <c r="R58" s="7">
        <f t="shared" si="32"/>
        <v>1.642767793460255E-2</v>
      </c>
      <c r="S58" s="2"/>
      <c r="T58" s="6">
        <v>169589.43</v>
      </c>
      <c r="U58" s="2"/>
      <c r="V58" s="7">
        <f t="shared" si="33"/>
        <v>1.6724800938105217E-2</v>
      </c>
      <c r="W58" s="2"/>
      <c r="X58" s="6">
        <f t="shared" si="34"/>
        <v>-1288.7099999999919</v>
      </c>
      <c r="Y58" s="2"/>
      <c r="Z58" s="7">
        <f t="shared" si="35"/>
        <v>-7.5989995367045692E-3</v>
      </c>
    </row>
    <row r="59" spans="1:26" s="24" customFormat="1" hidden="1" outlineLevel="2" x14ac:dyDescent="0.25">
      <c r="A59" s="25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16278.409999999998</v>
      </c>
      <c r="E59" s="2"/>
      <c r="F59" s="7">
        <f t="shared" si="28"/>
        <v>1.5367462767033149E-2</v>
      </c>
      <c r="G59" s="2"/>
      <c r="H59" s="6">
        <v>13503.83</v>
      </c>
      <c r="I59" s="2"/>
      <c r="J59" s="7">
        <f t="shared" si="29"/>
        <v>1.3314125283591775E-2</v>
      </c>
      <c r="K59" s="2"/>
      <c r="L59" s="6">
        <f t="shared" si="30"/>
        <v>2774.5799999999981</v>
      </c>
      <c r="M59" s="2"/>
      <c r="N59" s="7">
        <f t="shared" si="31"/>
        <v>0.20546615293587064</v>
      </c>
      <c r="O59" s="11"/>
      <c r="P59" s="6">
        <v>108076.01999999999</v>
      </c>
      <c r="Q59" s="2"/>
      <c r="R59" s="7">
        <f t="shared" si="32"/>
        <v>1.0549200556085939E-2</v>
      </c>
      <c r="S59" s="2"/>
      <c r="T59" s="6">
        <v>94526.81</v>
      </c>
      <c r="U59" s="2"/>
      <c r="V59" s="7">
        <f t="shared" si="33"/>
        <v>9.3221734430270417E-3</v>
      </c>
      <c r="W59" s="2"/>
      <c r="X59" s="6">
        <f t="shared" si="34"/>
        <v>13549.209999999992</v>
      </c>
      <c r="Y59" s="2"/>
      <c r="Z59" s="7">
        <f t="shared" si="35"/>
        <v>0.14333721829817372</v>
      </c>
    </row>
    <row r="60" spans="1:26" s="24" customFormat="1" hidden="1" outlineLevel="2" x14ac:dyDescent="0.25">
      <c r="A60" s="25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424.25</v>
      </c>
      <c r="E60" s="2"/>
      <c r="F60" s="7">
        <f t="shared" si="28"/>
        <v>4.0050877689613509E-4</v>
      </c>
      <c r="G60" s="2"/>
      <c r="H60" s="6">
        <v>424.25</v>
      </c>
      <c r="I60" s="2"/>
      <c r="J60" s="7">
        <f t="shared" si="29"/>
        <v>4.1829004449580676E-4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2969.75</v>
      </c>
      <c r="Q60" s="2"/>
      <c r="R60" s="7">
        <f t="shared" si="32"/>
        <v>2.8987455636723318E-4</v>
      </c>
      <c r="S60" s="2"/>
      <c r="T60" s="6">
        <v>2969.75</v>
      </c>
      <c r="U60" s="2"/>
      <c r="V60" s="7">
        <f t="shared" si="33"/>
        <v>2.9287484241168781E-4</v>
      </c>
      <c r="W60" s="2"/>
      <c r="X60" s="6">
        <f t="shared" si="34"/>
        <v>0</v>
      </c>
      <c r="Y60" s="2"/>
      <c r="Z60" s="7">
        <f t="shared" si="35"/>
        <v>0</v>
      </c>
    </row>
    <row r="61" spans="1:26" s="26" customFormat="1" outlineLevel="1" collapsed="1" x14ac:dyDescent="0.25">
      <c r="A61" s="27"/>
      <c r="B61" s="13" t="str">
        <f>CONCATENATE("     ","Discounts and Markdowns                           ")</f>
        <v xml:space="preserve">     Discounts and Markdowns                           </v>
      </c>
      <c r="C61" s="13"/>
      <c r="D61" s="1">
        <f>SUM(OSRRefD22_6x_0)</f>
        <v>0.09</v>
      </c>
      <c r="E61" s="1"/>
      <c r="F61" s="5">
        <f t="shared" ref="F61:F73" si="36">IF(D$12=0,0,D61/D$12)</f>
        <v>8.4963559035125881E-8</v>
      </c>
      <c r="G61" s="1"/>
      <c r="H61" s="1">
        <f>SUM(OSRRefH22_6x_0)</f>
        <v>0</v>
      </c>
      <c r="I61" s="1"/>
      <c r="J61" s="5">
        <f t="shared" ref="J61:J73" si="37">IF(H$12=0,0,H61/H$12)</f>
        <v>0</v>
      </c>
      <c r="K61" s="1"/>
      <c r="L61" s="1">
        <f t="shared" ref="L61:L73" si="38">+D61-H61</f>
        <v>0.09</v>
      </c>
      <c r="M61" s="1"/>
      <c r="N61" s="5">
        <f t="shared" ref="N61:N73" si="39">IF(H61=0,0,L61/H61)</f>
        <v>0</v>
      </c>
      <c r="O61" s="13"/>
      <c r="P61" s="1">
        <f>SUM(OSRRefP22_6x_0)</f>
        <v>0.09</v>
      </c>
      <c r="Q61" s="1"/>
      <c r="R61" s="5">
        <f t="shared" ref="R61:R73" si="40">IF(P$12=0,0,P61/P$12)</f>
        <v>8.7848169283781416E-9</v>
      </c>
      <c r="S61" s="1"/>
      <c r="T61" s="1">
        <f>SUM(OSRRefT22_6x_0)</f>
        <v>0</v>
      </c>
      <c r="U61" s="1"/>
      <c r="V61" s="5">
        <f t="shared" ref="V61:V73" si="41">IF(T$12=0,0,T61/T$12)</f>
        <v>0</v>
      </c>
      <c r="W61" s="1"/>
      <c r="X61" s="1">
        <f t="shared" ref="X61:X73" si="42">+P61-T61</f>
        <v>0.09</v>
      </c>
      <c r="Y61" s="1"/>
      <c r="Z61" s="5">
        <f t="shared" ref="Z61:Z73" si="43">IF(T61=0,0,X61/T61)</f>
        <v>0</v>
      </c>
    </row>
    <row r="62" spans="1:26" s="24" customFormat="1" hidden="1" outlineLevel="2" x14ac:dyDescent="0.25">
      <c r="A62" s="25"/>
      <c r="B62" s="11" t="str">
        <f>CONCATENATE("          ", "6382", " - ", "DISCOUNTS/MARK DOWNS")</f>
        <v xml:space="preserve">          6382 - DISCOUNTS/MARK DOWNS</v>
      </c>
      <c r="C62" s="11"/>
      <c r="D62" s="6">
        <v>0.09</v>
      </c>
      <c r="E62" s="2"/>
      <c r="F62" s="7">
        <f t="shared" si="36"/>
        <v>8.4963559035125881E-8</v>
      </c>
      <c r="G62" s="2"/>
      <c r="H62" s="6"/>
      <c r="I62" s="2"/>
      <c r="J62" s="7">
        <f t="shared" si="37"/>
        <v>0</v>
      </c>
      <c r="K62" s="2"/>
      <c r="L62" s="6">
        <f t="shared" si="38"/>
        <v>0.09</v>
      </c>
      <c r="M62" s="2"/>
      <c r="N62" s="7">
        <f t="shared" si="39"/>
        <v>0</v>
      </c>
      <c r="O62" s="11"/>
      <c r="P62" s="6">
        <v>0.09</v>
      </c>
      <c r="Q62" s="2"/>
      <c r="R62" s="7">
        <f t="shared" si="40"/>
        <v>8.7848169283781416E-9</v>
      </c>
      <c r="S62" s="2"/>
      <c r="T62" s="6"/>
      <c r="U62" s="2"/>
      <c r="V62" s="7">
        <f t="shared" si="41"/>
        <v>0</v>
      </c>
      <c r="W62" s="2"/>
      <c r="X62" s="6">
        <f t="shared" si="42"/>
        <v>0.09</v>
      </c>
      <c r="Y62" s="2"/>
      <c r="Z62" s="7">
        <f t="shared" si="43"/>
        <v>0</v>
      </c>
    </row>
    <row r="63" spans="1:26" s="26" customFormat="1" outlineLevel="1" collapsed="1" x14ac:dyDescent="0.25">
      <c r="A63" s="27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SUM(OSRRefD22_7x_0)</f>
        <v>9545.3799999999992</v>
      </c>
      <c r="E63" s="1"/>
      <c r="F63" s="5">
        <f t="shared" si="36"/>
        <v>9.0112161904745535E-3</v>
      </c>
      <c r="G63" s="1"/>
      <c r="H63" s="1">
        <f>SUM(OSRRefH22_7x_0)</f>
        <v>8182.67</v>
      </c>
      <c r="I63" s="1"/>
      <c r="J63" s="5">
        <f t="shared" si="37"/>
        <v>8.0677180869640625E-3</v>
      </c>
      <c r="K63" s="1"/>
      <c r="L63" s="1">
        <f t="shared" si="38"/>
        <v>1362.7099999999991</v>
      </c>
      <c r="M63" s="1"/>
      <c r="N63" s="5">
        <f t="shared" si="39"/>
        <v>0.16653610618538925</v>
      </c>
      <c r="O63" s="13"/>
      <c r="P63" s="1">
        <f>SUM(OSRRefP22_7x_0)</f>
        <v>87155.89</v>
      </c>
      <c r="Q63" s="1"/>
      <c r="R63" s="5">
        <f t="shared" si="40"/>
        <v>8.5072059764429234E-3</v>
      </c>
      <c r="S63" s="1"/>
      <c r="T63" s="1">
        <f>SUM(OSRRefT22_7x_0)</f>
        <v>74914.41</v>
      </c>
      <c r="U63" s="1"/>
      <c r="V63" s="5">
        <f t="shared" si="41"/>
        <v>7.3880111198298083E-3</v>
      </c>
      <c r="W63" s="1"/>
      <c r="X63" s="1">
        <f t="shared" si="42"/>
        <v>12241.479999999996</v>
      </c>
      <c r="Y63" s="1"/>
      <c r="Z63" s="5">
        <f t="shared" si="43"/>
        <v>0.16340621250304174</v>
      </c>
    </row>
    <row r="64" spans="1:26" s="24" customFormat="1" hidden="1" outlineLevel="2" x14ac:dyDescent="0.25">
      <c r="A64" s="25"/>
      <c r="B64" s="11" t="str">
        <f>CONCATENATE("          ", "6399", " - ", "DONATION-ON CAMPUS")</f>
        <v xml:space="preserve">          6399 - DONATION-ON CAMPUS</v>
      </c>
      <c r="C64" s="11"/>
      <c r="D64" s="6">
        <v>9545.3799999999992</v>
      </c>
      <c r="E64" s="2"/>
      <c r="F64" s="7">
        <f t="shared" si="36"/>
        <v>9.0112161904745535E-3</v>
      </c>
      <c r="G64" s="2"/>
      <c r="H64" s="6">
        <v>8182.67</v>
      </c>
      <c r="I64" s="2"/>
      <c r="J64" s="7">
        <f t="shared" si="37"/>
        <v>8.0677180869640625E-3</v>
      </c>
      <c r="K64" s="2"/>
      <c r="L64" s="6">
        <f t="shared" si="38"/>
        <v>1362.7099999999991</v>
      </c>
      <c r="M64" s="2"/>
      <c r="N64" s="7">
        <f t="shared" si="39"/>
        <v>0.16653610618538925</v>
      </c>
      <c r="O64" s="11"/>
      <c r="P64" s="6">
        <v>87155.89</v>
      </c>
      <c r="Q64" s="2"/>
      <c r="R64" s="7">
        <f t="shared" si="40"/>
        <v>8.5072059764429234E-3</v>
      </c>
      <c r="S64" s="2"/>
      <c r="T64" s="6">
        <v>74914.41</v>
      </c>
      <c r="U64" s="2"/>
      <c r="V64" s="7">
        <f t="shared" si="41"/>
        <v>7.3880111198298083E-3</v>
      </c>
      <c r="W64" s="2"/>
      <c r="X64" s="6">
        <f t="shared" si="42"/>
        <v>12241.479999999996</v>
      </c>
      <c r="Y64" s="2"/>
      <c r="Z64" s="7">
        <f t="shared" si="43"/>
        <v>0.16340621250304174</v>
      </c>
    </row>
    <row r="65" spans="1:26" s="26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SUM(OSRRefD22_8x_0)</f>
        <v>777.53</v>
      </c>
      <c r="E65" s="1"/>
      <c r="F65" s="5">
        <f t="shared" si="36"/>
        <v>7.3401906729534923E-4</v>
      </c>
      <c r="G65" s="1"/>
      <c r="H65" s="1">
        <f>SUM(OSRRefH22_8x_0)</f>
        <v>824.9</v>
      </c>
      <c r="I65" s="1"/>
      <c r="J65" s="5">
        <f t="shared" si="37"/>
        <v>8.1331162688177017E-4</v>
      </c>
      <c r="K65" s="1"/>
      <c r="L65" s="1">
        <f t="shared" si="38"/>
        <v>-47.370000000000005</v>
      </c>
      <c r="M65" s="1"/>
      <c r="N65" s="5">
        <f t="shared" si="39"/>
        <v>-5.7425142441508072E-2</v>
      </c>
      <c r="O65" s="13"/>
      <c r="P65" s="1">
        <f>SUM(OSRRefP22_8x_0)</f>
        <v>3171.08</v>
      </c>
      <c r="Q65" s="1"/>
      <c r="R65" s="5">
        <f t="shared" si="40"/>
        <v>3.0952619183601508E-4</v>
      </c>
      <c r="S65" s="1"/>
      <c r="T65" s="1">
        <f>SUM(OSRRefT22_8x_0)</f>
        <v>2840.39</v>
      </c>
      <c r="U65" s="1"/>
      <c r="V65" s="5">
        <f t="shared" si="41"/>
        <v>2.801174420869548E-4</v>
      </c>
      <c r="W65" s="1"/>
      <c r="X65" s="1">
        <f t="shared" si="42"/>
        <v>330.69000000000005</v>
      </c>
      <c r="Y65" s="1"/>
      <c r="Z65" s="5">
        <f t="shared" si="43"/>
        <v>0.11642415302124007</v>
      </c>
    </row>
    <row r="66" spans="1:26" s="24" customFormat="1" hidden="1" outlineLevel="2" x14ac:dyDescent="0.25">
      <c r="A66" s="25"/>
      <c r="B66" s="11" t="str">
        <f>CONCATENATE("          ", "6277", " - ", "EMPLOYEE APPRECIATION")</f>
        <v xml:space="preserve">          6277 - EMPLOYEE APPRECIATION</v>
      </c>
      <c r="C66" s="11"/>
      <c r="D66" s="6">
        <v>777.53</v>
      </c>
      <c r="E66" s="2"/>
      <c r="F66" s="7">
        <f t="shared" si="36"/>
        <v>7.3401906729534923E-4</v>
      </c>
      <c r="G66" s="2"/>
      <c r="H66" s="6">
        <v>824.9</v>
      </c>
      <c r="I66" s="2"/>
      <c r="J66" s="7">
        <f t="shared" si="37"/>
        <v>8.1331162688177017E-4</v>
      </c>
      <c r="K66" s="2"/>
      <c r="L66" s="6">
        <f t="shared" si="38"/>
        <v>-47.370000000000005</v>
      </c>
      <c r="M66" s="2"/>
      <c r="N66" s="7">
        <f t="shared" si="39"/>
        <v>-5.7425142441508072E-2</v>
      </c>
      <c r="O66" s="11"/>
      <c r="P66" s="6">
        <v>3171.08</v>
      </c>
      <c r="Q66" s="2"/>
      <c r="R66" s="7">
        <f t="shared" si="40"/>
        <v>3.0952619183601508E-4</v>
      </c>
      <c r="S66" s="2"/>
      <c r="T66" s="6">
        <v>2840.39</v>
      </c>
      <c r="U66" s="2"/>
      <c r="V66" s="7">
        <f t="shared" si="41"/>
        <v>2.801174420869548E-4</v>
      </c>
      <c r="W66" s="2"/>
      <c r="X66" s="6">
        <f t="shared" si="42"/>
        <v>330.69000000000005</v>
      </c>
      <c r="Y66" s="2"/>
      <c r="Z66" s="7">
        <f t="shared" si="43"/>
        <v>0.11642415302124007</v>
      </c>
    </row>
    <row r="67" spans="1:26" s="26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SUM(OSRRefD22_9x_0)</f>
        <v>5791.56</v>
      </c>
      <c r="E67" s="1"/>
      <c r="F67" s="5">
        <f t="shared" si="36"/>
        <v>5.4674616662830416E-3</v>
      </c>
      <c r="G67" s="1"/>
      <c r="H67" s="1">
        <f>SUM(OSRRefH22_9x_0)</f>
        <v>2745.78</v>
      </c>
      <c r="I67" s="1"/>
      <c r="J67" s="5">
        <f t="shared" si="37"/>
        <v>2.7072066903375282E-3</v>
      </c>
      <c r="K67" s="1"/>
      <c r="L67" s="1">
        <f t="shared" si="38"/>
        <v>3045.78</v>
      </c>
      <c r="M67" s="1"/>
      <c r="N67" s="5">
        <f t="shared" si="39"/>
        <v>1.1092585713349212</v>
      </c>
      <c r="O67" s="13"/>
      <c r="P67" s="1">
        <f>SUM(OSRRefP22_9x_0)</f>
        <v>23457.190000000002</v>
      </c>
      <c r="Q67" s="1"/>
      <c r="R67" s="5">
        <f t="shared" si="40"/>
        <v>2.2896346644909163E-3</v>
      </c>
      <c r="S67" s="1"/>
      <c r="T67" s="1">
        <f>SUM(OSRRefT22_9x_0)</f>
        <v>14921.609999999999</v>
      </c>
      <c r="U67" s="1"/>
      <c r="V67" s="5">
        <f t="shared" si="41"/>
        <v>1.471559618580239E-3</v>
      </c>
      <c r="W67" s="1"/>
      <c r="X67" s="1">
        <f t="shared" si="42"/>
        <v>8535.5800000000036</v>
      </c>
      <c r="Y67" s="1"/>
      <c r="Z67" s="5">
        <f t="shared" si="43"/>
        <v>0.57202808544118255</v>
      </c>
    </row>
    <row r="68" spans="1:26" s="24" customFormat="1" hidden="1" outlineLevel="2" x14ac:dyDescent="0.25">
      <c r="A68" s="25"/>
      <c r="B68" s="11" t="str">
        <f>CONCATENATE("          ", "6351", " - ", "EQUIPMENT RENTAL")</f>
        <v xml:space="preserve">          6351 - EQUIPMENT RENTAL</v>
      </c>
      <c r="C68" s="11"/>
      <c r="D68" s="6">
        <v>5791.56</v>
      </c>
      <c r="E68" s="2"/>
      <c r="F68" s="7">
        <f t="shared" si="36"/>
        <v>5.4674616662830416E-3</v>
      </c>
      <c r="G68" s="2"/>
      <c r="H68" s="6">
        <v>2745.78</v>
      </c>
      <c r="I68" s="2"/>
      <c r="J68" s="7">
        <f t="shared" si="37"/>
        <v>2.7072066903375282E-3</v>
      </c>
      <c r="K68" s="2"/>
      <c r="L68" s="6">
        <f t="shared" si="38"/>
        <v>3045.78</v>
      </c>
      <c r="M68" s="2"/>
      <c r="N68" s="7">
        <f t="shared" si="39"/>
        <v>1.1092585713349212</v>
      </c>
      <c r="O68" s="11"/>
      <c r="P68" s="6">
        <v>23457.190000000002</v>
      </c>
      <c r="Q68" s="2"/>
      <c r="R68" s="7">
        <f t="shared" si="40"/>
        <v>2.2896346644909163E-3</v>
      </c>
      <c r="S68" s="2"/>
      <c r="T68" s="6">
        <v>14921.609999999999</v>
      </c>
      <c r="U68" s="2"/>
      <c r="V68" s="7">
        <f t="shared" si="41"/>
        <v>1.471559618580239E-3</v>
      </c>
      <c r="W68" s="2"/>
      <c r="X68" s="6">
        <f t="shared" si="42"/>
        <v>8535.5800000000036</v>
      </c>
      <c r="Y68" s="2"/>
      <c r="Z68" s="7">
        <f t="shared" si="43"/>
        <v>0.57202808544118255</v>
      </c>
    </row>
    <row r="69" spans="1:26" s="26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SUM(OSRRefD22_10x_0)</f>
        <v>0</v>
      </c>
      <c r="E69" s="1"/>
      <c r="F69" s="5">
        <f t="shared" si="36"/>
        <v>0</v>
      </c>
      <c r="G69" s="1"/>
      <c r="H69" s="1">
        <f>SUM(OSRRefH22_10x_0)</f>
        <v>3.7</v>
      </c>
      <c r="I69" s="1"/>
      <c r="J69" s="5">
        <f t="shared" si="37"/>
        <v>3.6480216019669656E-6</v>
      </c>
      <c r="K69" s="1"/>
      <c r="L69" s="1">
        <f t="shared" si="38"/>
        <v>-3.7</v>
      </c>
      <c r="M69" s="1"/>
      <c r="N69" s="5">
        <f t="shared" si="39"/>
        <v>-1</v>
      </c>
      <c r="O69" s="13"/>
      <c r="P69" s="1">
        <f>SUM(OSRRefP22_10x_0)</f>
        <v>0</v>
      </c>
      <c r="Q69" s="1"/>
      <c r="R69" s="5">
        <f t="shared" si="40"/>
        <v>0</v>
      </c>
      <c r="S69" s="1"/>
      <c r="T69" s="1">
        <f>SUM(OSRRefT22_10x_0)</f>
        <v>16.41</v>
      </c>
      <c r="U69" s="1"/>
      <c r="V69" s="5">
        <f t="shared" si="41"/>
        <v>1.618343686834177E-6</v>
      </c>
      <c r="W69" s="1"/>
      <c r="X69" s="1">
        <f t="shared" si="42"/>
        <v>-16.41</v>
      </c>
      <c r="Y69" s="1"/>
      <c r="Z69" s="5">
        <f t="shared" si="43"/>
        <v>-1</v>
      </c>
    </row>
    <row r="70" spans="1:26" s="24" customFormat="1" hidden="1" outlineLevel="2" x14ac:dyDescent="0.25">
      <c r="A70" s="25"/>
      <c r="B70" s="11" t="str">
        <f>CONCATENATE("          ", "6307", " - ", "POSTAGE")</f>
        <v xml:space="preserve">          6307 - POSTAGE</v>
      </c>
      <c r="C70" s="11"/>
      <c r="D70" s="6"/>
      <c r="E70" s="2"/>
      <c r="F70" s="7">
        <f t="shared" si="36"/>
        <v>0</v>
      </c>
      <c r="G70" s="2"/>
      <c r="H70" s="6">
        <v>3.7</v>
      </c>
      <c r="I70" s="2"/>
      <c r="J70" s="7">
        <f t="shared" si="37"/>
        <v>3.6480216019669656E-6</v>
      </c>
      <c r="K70" s="2"/>
      <c r="L70" s="6">
        <f t="shared" si="38"/>
        <v>-3.7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16.41</v>
      </c>
      <c r="U70" s="2"/>
      <c r="V70" s="7">
        <f t="shared" si="41"/>
        <v>1.618343686834177E-6</v>
      </c>
      <c r="W70" s="2"/>
      <c r="X70" s="6">
        <f t="shared" si="42"/>
        <v>-16.41</v>
      </c>
      <c r="Y70" s="2"/>
      <c r="Z70" s="7">
        <f t="shared" si="43"/>
        <v>-1</v>
      </c>
    </row>
    <row r="71" spans="1:26" s="26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SUM(OSRRefD22_11x_0)</f>
        <v>10376.799999999999</v>
      </c>
      <c r="E71" s="1"/>
      <c r="F71" s="5">
        <f t="shared" si="36"/>
        <v>9.7961095488410463E-3</v>
      </c>
      <c r="G71" s="1"/>
      <c r="H71" s="1">
        <f>SUM(OSRRefH22_11x_0)</f>
        <v>5323.4400000000005</v>
      </c>
      <c r="I71" s="1"/>
      <c r="J71" s="5">
        <f t="shared" si="37"/>
        <v>5.2486551666959527E-3</v>
      </c>
      <c r="K71" s="1"/>
      <c r="L71" s="1">
        <f t="shared" si="38"/>
        <v>5053.3599999999988</v>
      </c>
      <c r="M71" s="1"/>
      <c r="N71" s="5">
        <f t="shared" si="39"/>
        <v>0.94926588822265268</v>
      </c>
      <c r="O71" s="13"/>
      <c r="P71" s="1">
        <f>SUM(OSRRefP22_11x_0)</f>
        <v>83358.12000000001</v>
      </c>
      <c r="Q71" s="1"/>
      <c r="R71" s="5">
        <f t="shared" si="40"/>
        <v>8.1365091521530732E-3</v>
      </c>
      <c r="S71" s="1"/>
      <c r="T71" s="1">
        <f>SUM(OSRRefT22_11x_0)</f>
        <v>46630.82</v>
      </c>
      <c r="U71" s="1"/>
      <c r="V71" s="5">
        <f t="shared" si="41"/>
        <v>4.5987015940829297E-3</v>
      </c>
      <c r="W71" s="1"/>
      <c r="X71" s="1">
        <f t="shared" si="42"/>
        <v>36727.30000000001</v>
      </c>
      <c r="Y71" s="1"/>
      <c r="Z71" s="5">
        <f t="shared" si="43"/>
        <v>0.78761857501111943</v>
      </c>
    </row>
    <row r="72" spans="1:26" s="24" customFormat="1" hidden="1" outlineLevel="2" x14ac:dyDescent="0.25">
      <c r="A72" s="25"/>
      <c r="B72" s="11" t="str">
        <f>CONCATENATE("          ", "6269", " - ", "ENTERTAINMENT")</f>
        <v xml:space="preserve">          6269 - ENTERTAINMENT</v>
      </c>
      <c r="C72" s="11"/>
      <c r="D72" s="6"/>
      <c r="E72" s="2"/>
      <c r="F72" s="7">
        <f t="shared" si="36"/>
        <v>0</v>
      </c>
      <c r="G72" s="2"/>
      <c r="H72" s="6">
        <v>1250</v>
      </c>
      <c r="I72" s="2"/>
      <c r="J72" s="7">
        <f t="shared" si="37"/>
        <v>1.2324397303942452E-3</v>
      </c>
      <c r="K72" s="2"/>
      <c r="L72" s="6">
        <f t="shared" si="38"/>
        <v>-1250</v>
      </c>
      <c r="M72" s="2"/>
      <c r="N72" s="7">
        <f t="shared" si="39"/>
        <v>-1</v>
      </c>
      <c r="O72" s="11"/>
      <c r="P72" s="6">
        <v>7350</v>
      </c>
      <c r="Q72" s="2"/>
      <c r="R72" s="7">
        <f t="shared" si="40"/>
        <v>7.1742671581754821E-4</v>
      </c>
      <c r="S72" s="2"/>
      <c r="T72" s="6">
        <v>6110</v>
      </c>
      <c r="U72" s="2"/>
      <c r="V72" s="7">
        <f t="shared" si="41"/>
        <v>6.0256428559151874E-4</v>
      </c>
      <c r="W72" s="2"/>
      <c r="X72" s="6">
        <f t="shared" si="42"/>
        <v>1240</v>
      </c>
      <c r="Y72" s="2"/>
      <c r="Z72" s="7">
        <f t="shared" si="43"/>
        <v>0.20294599018003273</v>
      </c>
    </row>
    <row r="73" spans="1:26" s="24" customFormat="1" hidden="1" outlineLevel="2" x14ac:dyDescent="0.25">
      <c r="A73" s="25"/>
      <c r="B73" s="11" t="str">
        <f>CONCATENATE("          ", "6279", " - ", "GENERAL EXPENSE")</f>
        <v xml:space="preserve">          6279 - GENERAL EXPENSE</v>
      </c>
      <c r="C73" s="11"/>
      <c r="D73" s="6">
        <v>10376.799999999999</v>
      </c>
      <c r="E73" s="2"/>
      <c r="F73" s="7">
        <f t="shared" si="36"/>
        <v>9.7961095488410463E-3</v>
      </c>
      <c r="G73" s="2"/>
      <c r="H73" s="6">
        <v>4073.44</v>
      </c>
      <c r="I73" s="2"/>
      <c r="J73" s="7">
        <f t="shared" si="37"/>
        <v>4.0162154363017066E-3</v>
      </c>
      <c r="K73" s="2"/>
      <c r="L73" s="6">
        <f t="shared" si="38"/>
        <v>6303.3599999999988</v>
      </c>
      <c r="M73" s="2"/>
      <c r="N73" s="7">
        <f t="shared" si="39"/>
        <v>1.5474291998900189</v>
      </c>
      <c r="O73" s="11"/>
      <c r="P73" s="6">
        <v>76008.12000000001</v>
      </c>
      <c r="Q73" s="2"/>
      <c r="R73" s="7">
        <f t="shared" si="40"/>
        <v>7.4190824363355255E-3</v>
      </c>
      <c r="S73" s="2"/>
      <c r="T73" s="6">
        <v>40520.82</v>
      </c>
      <c r="U73" s="2"/>
      <c r="V73" s="7">
        <f t="shared" si="41"/>
        <v>3.9961373084914115E-3</v>
      </c>
      <c r="W73" s="2"/>
      <c r="X73" s="6">
        <f t="shared" si="42"/>
        <v>35487.30000000001</v>
      </c>
      <c r="Y73" s="2"/>
      <c r="Z73" s="7">
        <f t="shared" si="43"/>
        <v>0.8757794141382137</v>
      </c>
    </row>
    <row r="74" spans="1:26" s="26" customFormat="1" outlineLevel="1" collapsed="1" x14ac:dyDescent="0.25">
      <c r="A74" s="27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SUM(OSRRefD22_12x_0)</f>
        <v>4246.03</v>
      </c>
      <c r="E74" s="1"/>
      <c r="F74" s="5">
        <f t="shared" ref="F74:F88" si="44">IF(D$12=0,0,D74/D$12)</f>
        <v>4.0084202285546175E-3</v>
      </c>
      <c r="G74" s="1"/>
      <c r="H74" s="1">
        <f>SUM(OSRRefH22_12x_0)</f>
        <v>3998.11</v>
      </c>
      <c r="I74" s="1"/>
      <c r="J74" s="5">
        <f t="shared" ref="J74:J88" si="45">IF(H$12=0,0,H74/H$12)</f>
        <v>3.9419436883892283E-3</v>
      </c>
      <c r="K74" s="1"/>
      <c r="L74" s="1">
        <f t="shared" ref="L74:L88" si="46">+D74-H74</f>
        <v>247.91999999999962</v>
      </c>
      <c r="M74" s="1"/>
      <c r="N74" s="5">
        <f t="shared" ref="N74:N88" si="47">IF(H74=0,0,L74/H74)</f>
        <v>6.2009299393963553E-2</v>
      </c>
      <c r="O74" s="13"/>
      <c r="P74" s="1">
        <f>SUM(OSRRefP22_12x_0)</f>
        <v>29722.21</v>
      </c>
      <c r="Q74" s="1"/>
      <c r="R74" s="5">
        <f t="shared" ref="R74:R88" si="48">IF(P$12=0,0,P74/P$12)</f>
        <v>2.9011574839645565E-3</v>
      </c>
      <c r="S74" s="1"/>
      <c r="T74" s="1">
        <f>SUM(OSRRefT22_12x_0)</f>
        <v>32574.769999999997</v>
      </c>
      <c r="U74" s="1"/>
      <c r="V74" s="5">
        <f t="shared" ref="V74:V88" si="49">IF(T$12=0,0,T74/T$12)</f>
        <v>3.2125029481764374E-3</v>
      </c>
      <c r="W74" s="1"/>
      <c r="X74" s="1">
        <f t="shared" ref="X74:X88" si="50">+P74-T74</f>
        <v>-2852.5599999999977</v>
      </c>
      <c r="Y74" s="1"/>
      <c r="Z74" s="5">
        <f t="shared" ref="Z74:Z88" si="51">IF(T74=0,0,X74/T74)</f>
        <v>-8.7569612924358262E-2</v>
      </c>
    </row>
    <row r="75" spans="1:26" s="24" customFormat="1" hidden="1" outlineLevel="2" x14ac:dyDescent="0.25">
      <c r="A75" s="25"/>
      <c r="B75" s="11" t="str">
        <f>CONCATENATE("          ", "6314", " - ", "LIABILITY INSURANCE")</f>
        <v xml:space="preserve">          6314 - LIABILITY INSURANCE</v>
      </c>
      <c r="C75" s="11"/>
      <c r="D75" s="6">
        <v>4246.03</v>
      </c>
      <c r="E75" s="2"/>
      <c r="F75" s="7">
        <f t="shared" si="44"/>
        <v>4.0084202285546175E-3</v>
      </c>
      <c r="G75" s="2"/>
      <c r="H75" s="6">
        <v>3998.11</v>
      </c>
      <c r="I75" s="2"/>
      <c r="J75" s="7">
        <f t="shared" si="45"/>
        <v>3.9419436883892283E-3</v>
      </c>
      <c r="K75" s="2"/>
      <c r="L75" s="6">
        <f t="shared" si="46"/>
        <v>247.91999999999962</v>
      </c>
      <c r="M75" s="2"/>
      <c r="N75" s="7">
        <f t="shared" si="47"/>
        <v>6.2009299393963553E-2</v>
      </c>
      <c r="O75" s="11"/>
      <c r="P75" s="6">
        <v>29722.21</v>
      </c>
      <c r="Q75" s="2"/>
      <c r="R75" s="7">
        <f t="shared" si="48"/>
        <v>2.9011574839645565E-3</v>
      </c>
      <c r="S75" s="2"/>
      <c r="T75" s="6">
        <v>32574.769999999997</v>
      </c>
      <c r="U75" s="2"/>
      <c r="V75" s="7">
        <f t="shared" si="49"/>
        <v>3.2125029481764374E-3</v>
      </c>
      <c r="W75" s="2"/>
      <c r="X75" s="6">
        <f t="shared" si="50"/>
        <v>-2852.5599999999977</v>
      </c>
      <c r="Y75" s="2"/>
      <c r="Z75" s="7">
        <f t="shared" si="51"/>
        <v>-8.7569612924358262E-2</v>
      </c>
    </row>
    <row r="76" spans="1:26" s="26" customFormat="1" outlineLevel="1" collapsed="1" x14ac:dyDescent="0.25">
      <c r="A76" s="27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SUM(OSRRefD22_13x_0)</f>
        <v>7754</v>
      </c>
      <c r="E76" s="1"/>
      <c r="F76" s="5">
        <f t="shared" si="44"/>
        <v>7.3200826306485129E-3</v>
      </c>
      <c r="G76" s="1"/>
      <c r="H76" s="1">
        <f>SUM(OSRRefH22_13x_0)</f>
        <v>7949</v>
      </c>
      <c r="I76" s="1"/>
      <c r="J76" s="5">
        <f t="shared" si="45"/>
        <v>7.8373307335230843E-3</v>
      </c>
      <c r="K76" s="1"/>
      <c r="L76" s="1">
        <f t="shared" si="46"/>
        <v>-195</v>
      </c>
      <c r="M76" s="1"/>
      <c r="N76" s="5">
        <f t="shared" si="47"/>
        <v>-2.4531387595924017E-2</v>
      </c>
      <c r="O76" s="13"/>
      <c r="P76" s="1">
        <f>SUM(OSRRefP22_13x_0)</f>
        <v>53885.049999999996</v>
      </c>
      <c r="Q76" s="1"/>
      <c r="R76" s="5">
        <f t="shared" si="48"/>
        <v>5.2596699936278057E-3</v>
      </c>
      <c r="S76" s="1"/>
      <c r="T76" s="1">
        <f>SUM(OSRRefT22_13x_0)</f>
        <v>55243.100000000006</v>
      </c>
      <c r="U76" s="1"/>
      <c r="V76" s="5">
        <f t="shared" si="49"/>
        <v>5.4480391301736219E-3</v>
      </c>
      <c r="W76" s="1"/>
      <c r="X76" s="1">
        <f t="shared" si="50"/>
        <v>-1358.0500000000102</v>
      </c>
      <c r="Y76" s="1"/>
      <c r="Z76" s="5">
        <f t="shared" si="51"/>
        <v>-2.4583160611913707E-2</v>
      </c>
    </row>
    <row r="77" spans="1:26" s="24" customFormat="1" hidden="1" outlineLevel="2" x14ac:dyDescent="0.25">
      <c r="A77" s="25"/>
      <c r="B77" s="11" t="str">
        <f>CONCATENATE("          ", "6401", " - ", "INTEREST EXPENSE")</f>
        <v xml:space="preserve">          6401 - INTEREST EXPENSE</v>
      </c>
      <c r="C77" s="11"/>
      <c r="D77" s="6">
        <v>7754</v>
      </c>
      <c r="E77" s="2"/>
      <c r="F77" s="7">
        <f t="shared" si="44"/>
        <v>7.3200826306485129E-3</v>
      </c>
      <c r="G77" s="2"/>
      <c r="H77" s="6">
        <v>7949</v>
      </c>
      <c r="I77" s="2"/>
      <c r="J77" s="7">
        <f t="shared" si="45"/>
        <v>7.8373307335230843E-3</v>
      </c>
      <c r="K77" s="2"/>
      <c r="L77" s="6">
        <f t="shared" si="46"/>
        <v>-195</v>
      </c>
      <c r="M77" s="2"/>
      <c r="N77" s="7">
        <f t="shared" si="47"/>
        <v>-2.4531387595924017E-2</v>
      </c>
      <c r="O77" s="11"/>
      <c r="P77" s="6">
        <v>53885.049999999996</v>
      </c>
      <c r="Q77" s="2"/>
      <c r="R77" s="7">
        <f t="shared" si="48"/>
        <v>5.2596699936278057E-3</v>
      </c>
      <c r="S77" s="2"/>
      <c r="T77" s="6">
        <v>55243.100000000006</v>
      </c>
      <c r="U77" s="2"/>
      <c r="V77" s="7">
        <f t="shared" si="49"/>
        <v>5.4480391301736219E-3</v>
      </c>
      <c r="W77" s="2"/>
      <c r="X77" s="6">
        <f t="shared" si="50"/>
        <v>-1358.0500000000102</v>
      </c>
      <c r="Y77" s="2"/>
      <c r="Z77" s="7">
        <f t="shared" si="51"/>
        <v>-2.4583160611913707E-2</v>
      </c>
    </row>
    <row r="78" spans="1:26" s="26" customFormat="1" outlineLevel="1" collapsed="1" x14ac:dyDescent="0.25">
      <c r="A78" s="27"/>
      <c r="B78" s="13" t="str">
        <f>CONCATENATE("     ","Professional Services                             ")</f>
        <v xml:space="preserve">     Professional Services                             </v>
      </c>
      <c r="C78" s="13"/>
      <c r="D78" s="1">
        <f>SUM(OSRRefD22_14x_0)</f>
        <v>0</v>
      </c>
      <c r="E78" s="1"/>
      <c r="F78" s="5">
        <f t="shared" si="44"/>
        <v>0</v>
      </c>
      <c r="G78" s="1"/>
      <c r="H78" s="1">
        <f>SUM(OSRRefH22_14x_0)</f>
        <v>0</v>
      </c>
      <c r="I78" s="1"/>
      <c r="J78" s="5">
        <f t="shared" si="45"/>
        <v>0</v>
      </c>
      <c r="K78" s="1"/>
      <c r="L78" s="1">
        <f t="shared" si="46"/>
        <v>0</v>
      </c>
      <c r="M78" s="1"/>
      <c r="N78" s="5">
        <f t="shared" si="47"/>
        <v>0</v>
      </c>
      <c r="O78" s="13"/>
      <c r="P78" s="1">
        <f>SUM(OSRRefP22_14x_0)</f>
        <v>125</v>
      </c>
      <c r="Q78" s="1"/>
      <c r="R78" s="5">
        <f t="shared" si="48"/>
        <v>1.2201134622747419E-5</v>
      </c>
      <c r="S78" s="1"/>
      <c r="T78" s="1">
        <f>SUM(OSRRefT22_14x_0)</f>
        <v>0</v>
      </c>
      <c r="U78" s="1"/>
      <c r="V78" s="5">
        <f t="shared" si="49"/>
        <v>0</v>
      </c>
      <c r="W78" s="1"/>
      <c r="X78" s="1">
        <f t="shared" si="50"/>
        <v>125</v>
      </c>
      <c r="Y78" s="1"/>
      <c r="Z78" s="5">
        <f t="shared" si="51"/>
        <v>0</v>
      </c>
    </row>
    <row r="79" spans="1:26" s="24" customFormat="1" hidden="1" outlineLevel="2" x14ac:dyDescent="0.25">
      <c r="A79" s="25"/>
      <c r="B79" s="11" t="str">
        <f>CONCATENATE("          ", "6336", " - ", "PROFESSIONAL SERVICES")</f>
        <v xml:space="preserve">          6336 - PROFESSIONAL SERVICES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125</v>
      </c>
      <c r="Q79" s="2"/>
      <c r="R79" s="7">
        <f t="shared" si="48"/>
        <v>1.2201134622747419E-5</v>
      </c>
      <c r="S79" s="2"/>
      <c r="T79" s="6"/>
      <c r="U79" s="2"/>
      <c r="V79" s="7">
        <f t="shared" si="49"/>
        <v>0</v>
      </c>
      <c r="W79" s="2"/>
      <c r="X79" s="6">
        <f t="shared" si="50"/>
        <v>125</v>
      </c>
      <c r="Y79" s="2"/>
      <c r="Z79" s="7">
        <f t="shared" si="51"/>
        <v>0</v>
      </c>
    </row>
    <row r="80" spans="1:26" s="26" customFormat="1" outlineLevel="1" collapsed="1" x14ac:dyDescent="0.25">
      <c r="A80" s="27"/>
      <c r="B80" s="13" t="str">
        <f>CONCATENATE("     ","R/H Commissions                                   ")</f>
        <v xml:space="preserve">     R/H Commissions                                   </v>
      </c>
      <c r="C80" s="13"/>
      <c r="D80" s="1">
        <f>SUM(OSRRefD22_15x_0)</f>
        <v>52199.14</v>
      </c>
      <c r="E80" s="1"/>
      <c r="F80" s="5">
        <f t="shared" si="44"/>
        <v>4.9278052366364455E-2</v>
      </c>
      <c r="G80" s="1"/>
      <c r="H80" s="1">
        <f>SUM(OSRRefH22_15x_0)</f>
        <v>50133.85</v>
      </c>
      <c r="I80" s="1"/>
      <c r="J80" s="5">
        <f t="shared" si="45"/>
        <v>4.9429558862100417E-2</v>
      </c>
      <c r="K80" s="1"/>
      <c r="L80" s="1">
        <f t="shared" si="46"/>
        <v>2065.2900000000009</v>
      </c>
      <c r="M80" s="1"/>
      <c r="N80" s="5">
        <f t="shared" si="47"/>
        <v>4.1195519594046756E-2</v>
      </c>
      <c r="O80" s="13"/>
      <c r="P80" s="1">
        <f>SUM(OSRRefP22_15x_0)</f>
        <v>523790.01000000007</v>
      </c>
      <c r="Q80" s="1"/>
      <c r="R80" s="5">
        <f t="shared" si="48"/>
        <v>5.1126659408481739E-2</v>
      </c>
      <c r="S80" s="1"/>
      <c r="T80" s="1">
        <f>SUM(OSRRefT22_15x_0)</f>
        <v>499632.82000000007</v>
      </c>
      <c r="U80" s="1"/>
      <c r="V80" s="5">
        <f t="shared" si="49"/>
        <v>4.92734686156098E-2</v>
      </c>
      <c r="W80" s="1"/>
      <c r="X80" s="1">
        <f t="shared" si="50"/>
        <v>24157.190000000002</v>
      </c>
      <c r="Y80" s="1"/>
      <c r="Z80" s="5">
        <f t="shared" si="51"/>
        <v>4.8349886222446313E-2</v>
      </c>
    </row>
    <row r="81" spans="1:26" s="24" customFormat="1" hidden="1" outlineLevel="2" x14ac:dyDescent="0.25">
      <c r="A81" s="25"/>
      <c r="B81" s="11" t="str">
        <f>CONCATENATE("          ", "6387", " - ", "COMMISSION DUE HOUSING")</f>
        <v xml:space="preserve">          6387 - COMMISSION DUE HOUSING</v>
      </c>
      <c r="C81" s="11"/>
      <c r="D81" s="6">
        <v>52199.14</v>
      </c>
      <c r="E81" s="2"/>
      <c r="F81" s="7">
        <f t="shared" si="44"/>
        <v>4.9278052366364455E-2</v>
      </c>
      <c r="G81" s="2"/>
      <c r="H81" s="6">
        <v>50133.85</v>
      </c>
      <c r="I81" s="2"/>
      <c r="J81" s="7">
        <f t="shared" si="45"/>
        <v>4.9429558862100417E-2</v>
      </c>
      <c r="K81" s="2"/>
      <c r="L81" s="6">
        <f t="shared" si="46"/>
        <v>2065.2900000000009</v>
      </c>
      <c r="M81" s="2"/>
      <c r="N81" s="7">
        <f t="shared" si="47"/>
        <v>4.1195519594046756E-2</v>
      </c>
      <c r="O81" s="11"/>
      <c r="P81" s="6">
        <v>523790.01000000007</v>
      </c>
      <c r="Q81" s="2"/>
      <c r="R81" s="7">
        <f t="shared" si="48"/>
        <v>5.1126659408481739E-2</v>
      </c>
      <c r="S81" s="2"/>
      <c r="T81" s="6">
        <v>499632.82000000007</v>
      </c>
      <c r="U81" s="2"/>
      <c r="V81" s="7">
        <f t="shared" si="49"/>
        <v>4.92734686156098E-2</v>
      </c>
      <c r="W81" s="2"/>
      <c r="X81" s="6">
        <f t="shared" si="50"/>
        <v>24157.190000000002</v>
      </c>
      <c r="Y81" s="2"/>
      <c r="Z81" s="7">
        <f t="shared" si="51"/>
        <v>4.8349886222446313E-2</v>
      </c>
    </row>
    <row r="82" spans="1:26" s="26" customFormat="1" outlineLevel="1" collapsed="1" x14ac:dyDescent="0.25">
      <c r="A82" s="27"/>
      <c r="B82" s="13" t="str">
        <f>CONCATENATE("     ","Rent                                              ")</f>
        <v xml:space="preserve">     Rent                                              </v>
      </c>
      <c r="C82" s="13"/>
      <c r="D82" s="1">
        <f>SUM(OSRRefD22_16x_0)</f>
        <v>1850</v>
      </c>
      <c r="E82" s="1"/>
      <c r="F82" s="5">
        <f t="shared" si="44"/>
        <v>1.7464731579442544E-3</v>
      </c>
      <c r="G82" s="1"/>
      <c r="H82" s="1">
        <f>SUM(OSRRefH22_16x_0)</f>
        <v>1850</v>
      </c>
      <c r="I82" s="1"/>
      <c r="J82" s="5">
        <f t="shared" si="45"/>
        <v>1.8240108009834827E-3</v>
      </c>
      <c r="K82" s="1"/>
      <c r="L82" s="1">
        <f t="shared" si="46"/>
        <v>0</v>
      </c>
      <c r="M82" s="1"/>
      <c r="N82" s="5">
        <f t="shared" si="47"/>
        <v>0</v>
      </c>
      <c r="O82" s="13"/>
      <c r="P82" s="1">
        <f>SUM(OSRRefP22_16x_0)</f>
        <v>12950</v>
      </c>
      <c r="Q82" s="1"/>
      <c r="R82" s="5">
        <f t="shared" si="48"/>
        <v>1.2640375469166326E-3</v>
      </c>
      <c r="S82" s="1"/>
      <c r="T82" s="1">
        <f>SUM(OSRRefT22_16x_0)</f>
        <v>12950</v>
      </c>
      <c r="U82" s="1"/>
      <c r="V82" s="5">
        <f t="shared" si="49"/>
        <v>1.277120703504119E-3</v>
      </c>
      <c r="W82" s="1"/>
      <c r="X82" s="1">
        <f t="shared" si="50"/>
        <v>0</v>
      </c>
      <c r="Y82" s="1"/>
      <c r="Z82" s="5">
        <f t="shared" si="51"/>
        <v>0</v>
      </c>
    </row>
    <row r="83" spans="1:26" s="24" customFormat="1" hidden="1" outlineLevel="2" x14ac:dyDescent="0.25">
      <c r="A83" s="25"/>
      <c r="B83" s="11" t="str">
        <f>CONCATENATE("          ", "6273", " - ", "RENT")</f>
        <v xml:space="preserve">          6273 - RENT</v>
      </c>
      <c r="C83" s="11"/>
      <c r="D83" s="6">
        <v>1850</v>
      </c>
      <c r="E83" s="2"/>
      <c r="F83" s="7">
        <f t="shared" si="44"/>
        <v>1.7464731579442544E-3</v>
      </c>
      <c r="G83" s="2"/>
      <c r="H83" s="6">
        <v>1850</v>
      </c>
      <c r="I83" s="2"/>
      <c r="J83" s="7">
        <f t="shared" si="45"/>
        <v>1.8240108009834827E-3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12950</v>
      </c>
      <c r="Q83" s="2"/>
      <c r="R83" s="7">
        <f t="shared" si="48"/>
        <v>1.2640375469166326E-3</v>
      </c>
      <c r="S83" s="2"/>
      <c r="T83" s="6">
        <v>12950</v>
      </c>
      <c r="U83" s="2"/>
      <c r="V83" s="7">
        <f t="shared" si="49"/>
        <v>1.277120703504119E-3</v>
      </c>
      <c r="W83" s="2"/>
      <c r="X83" s="6">
        <f t="shared" si="50"/>
        <v>0</v>
      </c>
      <c r="Y83" s="2"/>
      <c r="Z83" s="7">
        <f t="shared" si="51"/>
        <v>0</v>
      </c>
    </row>
    <row r="84" spans="1:26" s="26" customFormat="1" outlineLevel="1" collapsed="1" x14ac:dyDescent="0.25">
      <c r="A84" s="27"/>
      <c r="B84" s="13" t="str">
        <f>CONCATENATE("     ","Repair and Maintenance                            ")</f>
        <v xml:space="preserve">     Repair and Maintenance                            </v>
      </c>
      <c r="C84" s="13"/>
      <c r="D84" s="1">
        <f>SUM(OSRRefD22_17x_0)</f>
        <v>32479.58</v>
      </c>
      <c r="E84" s="1"/>
      <c r="F84" s="5">
        <f t="shared" si="44"/>
        <v>3.0662007919623268E-2</v>
      </c>
      <c r="G84" s="1"/>
      <c r="H84" s="1">
        <f>SUM(OSRRefH22_17x_0)</f>
        <v>19999.18</v>
      </c>
      <c r="I84" s="1"/>
      <c r="J84" s="5">
        <f t="shared" si="45"/>
        <v>1.9718227205844784E-2</v>
      </c>
      <c r="K84" s="1"/>
      <c r="L84" s="1">
        <f t="shared" si="46"/>
        <v>12480.400000000001</v>
      </c>
      <c r="M84" s="1"/>
      <c r="N84" s="5">
        <f t="shared" si="47"/>
        <v>0.6240455858690207</v>
      </c>
      <c r="O84" s="13"/>
      <c r="P84" s="1">
        <f>SUM(OSRRefP22_17x_0)</f>
        <v>200739.24</v>
      </c>
      <c r="Q84" s="1"/>
      <c r="R84" s="5">
        <f t="shared" si="48"/>
        <v>1.9593971930464027E-2</v>
      </c>
      <c r="S84" s="1"/>
      <c r="T84" s="1">
        <f>SUM(OSRRefT22_17x_0)</f>
        <v>197289.92</v>
      </c>
      <c r="U84" s="1"/>
      <c r="V84" s="5">
        <f t="shared" si="49"/>
        <v>1.945660551541864E-2</v>
      </c>
      <c r="W84" s="1"/>
      <c r="X84" s="1">
        <f t="shared" si="50"/>
        <v>3449.3199999999779</v>
      </c>
      <c r="Y84" s="1"/>
      <c r="Z84" s="5">
        <f t="shared" si="51"/>
        <v>1.7483508534039537E-2</v>
      </c>
    </row>
    <row r="85" spans="1:26" s="24" customFormat="1" hidden="1" outlineLevel="2" x14ac:dyDescent="0.25">
      <c r="A85" s="25"/>
      <c r="B85" s="11" t="str">
        <f>CONCATENATE("          ", "6371", " - ", "COMPUTER SOFTWARE MAINTENANCE")</f>
        <v xml:space="preserve">          6371 - COMPUTER SOFTWARE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>
        <v>33750.620000000003</v>
      </c>
      <c r="Q85" s="2"/>
      <c r="R85" s="7">
        <f t="shared" si="48"/>
        <v>3.294366865769532E-3</v>
      </c>
      <c r="S85" s="2"/>
      <c r="T85" s="6">
        <v>26992.76</v>
      </c>
      <c r="U85" s="2"/>
      <c r="V85" s="7">
        <f t="shared" si="49"/>
        <v>2.6620086981249298E-3</v>
      </c>
      <c r="W85" s="2"/>
      <c r="X85" s="6">
        <f t="shared" si="50"/>
        <v>6757.8600000000042</v>
      </c>
      <c r="Y85" s="2"/>
      <c r="Z85" s="7">
        <f t="shared" si="51"/>
        <v>0.25035824421066999</v>
      </c>
    </row>
    <row r="86" spans="1:26" s="24" customFormat="1" hidden="1" outlineLevel="2" x14ac:dyDescent="0.25">
      <c r="A86" s="25"/>
      <c r="B86" s="11" t="str">
        <f>CONCATENATE("          ", "6372", " - ", "COMPUTER HARDWARE MAINTENANCE")</f>
        <v xml:space="preserve">          6372 - COMPUTER HARDWARE MAINTENANCE</v>
      </c>
      <c r="C86" s="11"/>
      <c r="D86" s="6">
        <v>-0.01</v>
      </c>
      <c r="E86" s="2"/>
      <c r="F86" s="7">
        <f t="shared" si="44"/>
        <v>-9.4403954483473212E-9</v>
      </c>
      <c r="G86" s="2"/>
      <c r="H86" s="6">
        <v>880.96</v>
      </c>
      <c r="I86" s="2"/>
      <c r="J86" s="7">
        <f t="shared" si="45"/>
        <v>8.6858408391049134E-4</v>
      </c>
      <c r="K86" s="2"/>
      <c r="L86" s="6">
        <f t="shared" si="46"/>
        <v>-880.97</v>
      </c>
      <c r="M86" s="2"/>
      <c r="N86" s="7">
        <f t="shared" si="47"/>
        <v>-1.0000113512531783</v>
      </c>
      <c r="O86" s="11"/>
      <c r="P86" s="6">
        <v>-0.01</v>
      </c>
      <c r="Q86" s="2"/>
      <c r="R86" s="7">
        <f t="shared" si="48"/>
        <v>-9.7609076981979354E-10</v>
      </c>
      <c r="S86" s="2"/>
      <c r="T86" s="6">
        <v>880.96</v>
      </c>
      <c r="U86" s="2"/>
      <c r="V86" s="7">
        <f t="shared" si="49"/>
        <v>8.6879710807643925E-5</v>
      </c>
      <c r="W86" s="2"/>
      <c r="X86" s="6">
        <f t="shared" si="50"/>
        <v>-880.97</v>
      </c>
      <c r="Y86" s="2"/>
      <c r="Z86" s="7">
        <f t="shared" si="51"/>
        <v>-1.0000113512531783</v>
      </c>
    </row>
    <row r="87" spans="1:26" s="24" customFormat="1" hidden="1" outlineLevel="2" x14ac:dyDescent="0.25">
      <c r="A87" s="25"/>
      <c r="B87" s="11" t="str">
        <f>CONCATENATE("          ", "6373", " - ", "MAINTENANCE CONTRACTS")</f>
        <v xml:space="preserve">          6373 - MAINTENANCE CONTRACTS</v>
      </c>
      <c r="C87" s="11"/>
      <c r="D87" s="6">
        <v>6799</v>
      </c>
      <c r="E87" s="2"/>
      <c r="F87" s="7">
        <f t="shared" si="44"/>
        <v>6.4185248653313431E-3</v>
      </c>
      <c r="G87" s="2"/>
      <c r="H87" s="6">
        <v>7580.84</v>
      </c>
      <c r="I87" s="2"/>
      <c r="J87" s="7">
        <f t="shared" si="45"/>
        <v>7.474342724609527E-3</v>
      </c>
      <c r="K87" s="2"/>
      <c r="L87" s="6">
        <f t="shared" si="46"/>
        <v>-781.84000000000015</v>
      </c>
      <c r="M87" s="2"/>
      <c r="N87" s="7">
        <f t="shared" si="47"/>
        <v>-0.10313368967027402</v>
      </c>
      <c r="O87" s="11"/>
      <c r="P87" s="6">
        <v>65602.439999999988</v>
      </c>
      <c r="Q87" s="2"/>
      <c r="R87" s="7">
        <f t="shared" si="48"/>
        <v>6.4033936161656804E-3</v>
      </c>
      <c r="S87" s="2"/>
      <c r="T87" s="6">
        <v>77040.3</v>
      </c>
      <c r="U87" s="2"/>
      <c r="V87" s="7">
        <f t="shared" si="49"/>
        <v>7.5976650296655122E-3</v>
      </c>
      <c r="W87" s="2"/>
      <c r="X87" s="6">
        <f t="shared" si="50"/>
        <v>-11437.860000000015</v>
      </c>
      <c r="Y87" s="2"/>
      <c r="Z87" s="7">
        <f t="shared" si="51"/>
        <v>-0.14846593276505951</v>
      </c>
    </row>
    <row r="88" spans="1:26" s="24" customFormat="1" hidden="1" outlineLevel="2" x14ac:dyDescent="0.25">
      <c r="A88" s="25"/>
      <c r="B88" s="11" t="str">
        <f>CONCATENATE("          ", "6375", " - ", "OUTSIDE REPAIRS &amp; MAINTENANCE")</f>
        <v xml:space="preserve">          6375 - OUTSIDE REPAIRS &amp; MAINTENANCE</v>
      </c>
      <c r="C88" s="11"/>
      <c r="D88" s="6">
        <v>25680.59</v>
      </c>
      <c r="E88" s="2"/>
      <c r="F88" s="7">
        <f t="shared" si="44"/>
        <v>2.4243492494687373E-2</v>
      </c>
      <c r="G88" s="2"/>
      <c r="H88" s="6">
        <v>11537.38</v>
      </c>
      <c r="I88" s="2"/>
      <c r="J88" s="7">
        <f t="shared" si="45"/>
        <v>1.1375300397324763E-2</v>
      </c>
      <c r="K88" s="2"/>
      <c r="L88" s="6">
        <f t="shared" si="46"/>
        <v>14143.210000000001</v>
      </c>
      <c r="M88" s="2"/>
      <c r="N88" s="7">
        <f t="shared" si="47"/>
        <v>1.2258597705891634</v>
      </c>
      <c r="O88" s="11"/>
      <c r="P88" s="6">
        <v>101386.19</v>
      </c>
      <c r="Q88" s="2"/>
      <c r="R88" s="7">
        <f t="shared" si="48"/>
        <v>9.8962124246195857E-3</v>
      </c>
      <c r="S88" s="2"/>
      <c r="T88" s="6">
        <v>92375.900000000009</v>
      </c>
      <c r="U88" s="2"/>
      <c r="V88" s="7">
        <f t="shared" si="49"/>
        <v>9.1100520768205521E-3</v>
      </c>
      <c r="W88" s="2"/>
      <c r="X88" s="6">
        <f t="shared" si="50"/>
        <v>9010.2899999999936</v>
      </c>
      <c r="Y88" s="2"/>
      <c r="Z88" s="7">
        <f t="shared" si="51"/>
        <v>9.7539401510567073E-2</v>
      </c>
    </row>
    <row r="89" spans="1:26" s="26" customFormat="1" outlineLevel="1" collapsed="1" x14ac:dyDescent="0.25">
      <c r="A89" s="27"/>
      <c r="B89" s="13" t="str">
        <f>CONCATENATE("     ","Royalty &amp; Commissions                             ")</f>
        <v xml:space="preserve">     Royalty &amp; Commissions                             </v>
      </c>
      <c r="C89" s="13"/>
      <c r="D89" s="1">
        <f>SUM(OSRRefD22_18x_0)</f>
        <v>25849.93</v>
      </c>
      <c r="E89" s="1"/>
      <c r="F89" s="5">
        <f t="shared" ref="F89:F91" si="52">IF(D$12=0,0,D89/D$12)</f>
        <v>2.4403356151209685E-2</v>
      </c>
      <c r="G89" s="1"/>
      <c r="H89" s="1">
        <f>SUM(OSRRefH22_18x_0)</f>
        <v>29126.34</v>
      </c>
      <c r="I89" s="1"/>
      <c r="J89" s="5">
        <f t="shared" ref="J89:J91" si="53">IF(H$12=0,0,H89/H$12)</f>
        <v>2.8717166893576892E-2</v>
      </c>
      <c r="K89" s="1"/>
      <c r="L89" s="1">
        <f t="shared" ref="L89:L91" si="54">+D89-H89</f>
        <v>-3276.41</v>
      </c>
      <c r="M89" s="1"/>
      <c r="N89" s="5">
        <f t="shared" ref="N89:N91" si="55">IF(H89=0,0,L89/H89)</f>
        <v>-0.11248958846185274</v>
      </c>
      <c r="O89" s="13"/>
      <c r="P89" s="1">
        <f>SUM(OSRRefP22_18x_0)</f>
        <v>159522.10999999999</v>
      </c>
      <c r="Q89" s="1"/>
      <c r="R89" s="5">
        <f t="shared" ref="R89:R91" si="56">IF(P$12=0,0,P89/P$12)</f>
        <v>1.5570805915317776E-2</v>
      </c>
      <c r="S89" s="1"/>
      <c r="T89" s="1">
        <f>SUM(OSRRefT22_18x_0)</f>
        <v>175423.93</v>
      </c>
      <c r="U89" s="1"/>
      <c r="V89" s="5">
        <f t="shared" ref="V89:V91" si="57">IF(T$12=0,0,T89/T$12)</f>
        <v>1.7300195590197475E-2</v>
      </c>
      <c r="W89" s="1"/>
      <c r="X89" s="1">
        <f t="shared" ref="X89:X91" si="58">+P89-T89</f>
        <v>-15901.820000000007</v>
      </c>
      <c r="Y89" s="1"/>
      <c r="Z89" s="5">
        <f t="shared" ref="Z89:Z91" si="59">IF(T89=0,0,X89/T89)</f>
        <v>-9.0647952078145827E-2</v>
      </c>
    </row>
    <row r="90" spans="1:26" s="24" customFormat="1" hidden="1" outlineLevel="2" x14ac:dyDescent="0.25">
      <c r="A90" s="25"/>
      <c r="B90" s="11" t="str">
        <f>CONCATENATE("          ", "6254", " - ", "ROYALTY &amp; COMMISSIONS")</f>
        <v xml:space="preserve">          6254 - ROYALTY &amp; COMMISSIONS</v>
      </c>
      <c r="C90" s="11"/>
      <c r="D90" s="6">
        <v>17641.37</v>
      </c>
      <c r="E90" s="2"/>
      <c r="F90" s="7">
        <f t="shared" si="52"/>
        <v>1.6654150905061095E-2</v>
      </c>
      <c r="G90" s="2"/>
      <c r="H90" s="6">
        <v>20823.38</v>
      </c>
      <c r="I90" s="2"/>
      <c r="J90" s="7">
        <f t="shared" si="53"/>
        <v>2.0530848666477534E-2</v>
      </c>
      <c r="K90" s="2"/>
      <c r="L90" s="6">
        <f t="shared" si="54"/>
        <v>-3182.010000000002</v>
      </c>
      <c r="M90" s="2"/>
      <c r="N90" s="7">
        <f t="shared" si="55"/>
        <v>-0.15280948626015575</v>
      </c>
      <c r="O90" s="11"/>
      <c r="P90" s="6">
        <v>78668.429999999993</v>
      </c>
      <c r="Q90" s="2"/>
      <c r="R90" s="7">
        <f t="shared" si="56"/>
        <v>7.6787528399214532E-3</v>
      </c>
      <c r="S90" s="2"/>
      <c r="T90" s="6">
        <v>94511.37</v>
      </c>
      <c r="U90" s="2"/>
      <c r="V90" s="7">
        <f t="shared" si="57"/>
        <v>9.3206507601187715E-3</v>
      </c>
      <c r="W90" s="2"/>
      <c r="X90" s="6">
        <f t="shared" si="58"/>
        <v>-15842.940000000002</v>
      </c>
      <c r="Y90" s="2"/>
      <c r="Z90" s="7">
        <f t="shared" si="59"/>
        <v>-0.1676299899154991</v>
      </c>
    </row>
    <row r="91" spans="1:26" s="24" customFormat="1" hidden="1" outlineLevel="2" x14ac:dyDescent="0.25">
      <c r="A91" s="25"/>
      <c r="B91" s="11" t="str">
        <f>CONCATENATE("          ", "6259", " - ", "ROYALTY &amp; COMMISSIONS")</f>
        <v xml:space="preserve">          6259 - ROYALTY &amp; COMMISSIONS</v>
      </c>
      <c r="C91" s="11"/>
      <c r="D91" s="6">
        <v>8208.56</v>
      </c>
      <c r="E91" s="2"/>
      <c r="F91" s="7">
        <f t="shared" si="52"/>
        <v>7.749205246148588E-3</v>
      </c>
      <c r="G91" s="2"/>
      <c r="H91" s="6">
        <v>8302.9599999999991</v>
      </c>
      <c r="I91" s="2"/>
      <c r="J91" s="7">
        <f t="shared" si="53"/>
        <v>8.1863182270993599E-3</v>
      </c>
      <c r="K91" s="2"/>
      <c r="L91" s="6">
        <f t="shared" si="54"/>
        <v>-94.399999999999636</v>
      </c>
      <c r="M91" s="2"/>
      <c r="N91" s="7">
        <f t="shared" si="55"/>
        <v>-1.1369439332478977E-2</v>
      </c>
      <c r="O91" s="11"/>
      <c r="P91" s="6">
        <v>80853.679999999993</v>
      </c>
      <c r="Q91" s="2"/>
      <c r="R91" s="7">
        <f t="shared" si="56"/>
        <v>7.8920530753963224E-3</v>
      </c>
      <c r="S91" s="2"/>
      <c r="T91" s="6">
        <v>80912.56</v>
      </c>
      <c r="U91" s="2"/>
      <c r="V91" s="7">
        <f t="shared" si="57"/>
        <v>7.9795448300787053E-3</v>
      </c>
      <c r="W91" s="2"/>
      <c r="X91" s="6">
        <f t="shared" si="58"/>
        <v>-58.880000000004657</v>
      </c>
      <c r="Y91" s="2"/>
      <c r="Z91" s="7">
        <f t="shared" si="59"/>
        <v>-7.2769913595620577E-4</v>
      </c>
    </row>
    <row r="92" spans="1:26" s="26" customFormat="1" outlineLevel="1" collapsed="1" x14ac:dyDescent="0.25">
      <c r="A92" s="27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SUM(OSRRefD22_19x_0)</f>
        <v>41158.04</v>
      </c>
      <c r="E92" s="1"/>
      <c r="F92" s="5">
        <f t="shared" ref="F92:F97" si="60">IF(D$12=0,0,D92/D$12)</f>
        <v>3.8854817347889696E-2</v>
      </c>
      <c r="G92" s="1"/>
      <c r="H92" s="1">
        <f>SUM(OSRRefH22_19x_0)</f>
        <v>38484.61</v>
      </c>
      <c r="I92" s="1"/>
      <c r="J92" s="5">
        <f t="shared" ref="J92:J97" si="61">IF(H$12=0,0,H92/H$12)</f>
        <v>3.7943969898182134E-2</v>
      </c>
      <c r="K92" s="1"/>
      <c r="L92" s="1">
        <f t="shared" ref="L92:L97" si="62">+D92-H92</f>
        <v>2673.4300000000003</v>
      </c>
      <c r="M92" s="1"/>
      <c r="N92" s="5">
        <f t="shared" ref="N92:N97" si="63">IF(H92=0,0,L92/H92)</f>
        <v>6.9467509219919343E-2</v>
      </c>
      <c r="O92" s="13"/>
      <c r="P92" s="1">
        <f>SUM(OSRRefP22_19x_0)</f>
        <v>285952.71999999997</v>
      </c>
      <c r="Q92" s="1"/>
      <c r="R92" s="5">
        <f t="shared" ref="R92:R97" si="64">IF(P$12=0,0,P92/P$12)</f>
        <v>2.7911581059686382E-2</v>
      </c>
      <c r="S92" s="1"/>
      <c r="T92" s="1">
        <f>SUM(OSRRefT22_19x_0)</f>
        <v>258828.5</v>
      </c>
      <c r="U92" s="1"/>
      <c r="V92" s="5">
        <f t="shared" ref="V92:V97" si="65">IF(T$12=0,0,T92/T$12)</f>
        <v>2.5525500849954894E-2</v>
      </c>
      <c r="W92" s="1"/>
      <c r="X92" s="1">
        <f t="shared" ref="X92:X97" si="66">+P92-T92</f>
        <v>27124.219999999972</v>
      </c>
      <c r="Y92" s="1"/>
      <c r="Z92" s="5">
        <f t="shared" ref="Z92:Z97" si="67">IF(T92=0,0,X92/T92)</f>
        <v>0.10479611016561148</v>
      </c>
    </row>
    <row r="93" spans="1:26" s="24" customFormat="1" hidden="1" outlineLevel="2" x14ac:dyDescent="0.25">
      <c r="A93" s="25"/>
      <c r="B93" s="11" t="str">
        <f>CONCATENATE("          ", "6282", " - ", "JANITORIAL/EXTERMINATOR EXPENS")</f>
        <v xml:space="preserve">          6282 - JANITORIAL/EXTERMINATOR EXPENS</v>
      </c>
      <c r="C93" s="11"/>
      <c r="D93" s="6">
        <v>949.03</v>
      </c>
      <c r="E93" s="2"/>
      <c r="F93" s="7">
        <f t="shared" si="60"/>
        <v>8.9592184923450579E-4</v>
      </c>
      <c r="G93" s="2"/>
      <c r="H93" s="6">
        <v>3085.87</v>
      </c>
      <c r="I93" s="2"/>
      <c r="J93" s="7">
        <f t="shared" si="61"/>
        <v>3.0425190326653514E-3</v>
      </c>
      <c r="K93" s="2"/>
      <c r="L93" s="6">
        <f t="shared" si="62"/>
        <v>-2136.84</v>
      </c>
      <c r="M93" s="2"/>
      <c r="N93" s="7">
        <f t="shared" si="63"/>
        <v>-0.69245950088629793</v>
      </c>
      <c r="O93" s="11"/>
      <c r="P93" s="6">
        <v>20720.12</v>
      </c>
      <c r="Q93" s="2"/>
      <c r="R93" s="7">
        <f t="shared" si="64"/>
        <v>2.0224717881558497E-3</v>
      </c>
      <c r="S93" s="2"/>
      <c r="T93" s="6">
        <v>16835.419999999998</v>
      </c>
      <c r="U93" s="2"/>
      <c r="V93" s="7">
        <f t="shared" si="65"/>
        <v>1.6602983346862791E-3</v>
      </c>
      <c r="W93" s="2"/>
      <c r="X93" s="6">
        <f t="shared" si="66"/>
        <v>3884.7000000000007</v>
      </c>
      <c r="Y93" s="2"/>
      <c r="Z93" s="7">
        <f t="shared" si="67"/>
        <v>0.2307456541030756</v>
      </c>
    </row>
    <row r="94" spans="1:26" s="24" customFormat="1" hidden="1" outlineLevel="2" x14ac:dyDescent="0.25">
      <c r="A94" s="25"/>
      <c r="B94" s="11" t="str">
        <f>CONCATENATE("          ", "6283", " - ", "PLANT SERVICE")</f>
        <v xml:space="preserve">          6283 - PLANT SERVICE</v>
      </c>
      <c r="C94" s="11"/>
      <c r="D94" s="6"/>
      <c r="E94" s="2"/>
      <c r="F94" s="7">
        <f t="shared" si="60"/>
        <v>0</v>
      </c>
      <c r="G94" s="2"/>
      <c r="H94" s="6">
        <v>176</v>
      </c>
      <c r="I94" s="2"/>
      <c r="J94" s="7">
        <f t="shared" si="61"/>
        <v>1.7352751403950972E-4</v>
      </c>
      <c r="K94" s="2"/>
      <c r="L94" s="6">
        <f t="shared" si="62"/>
        <v>-176</v>
      </c>
      <c r="M94" s="2"/>
      <c r="N94" s="7">
        <f t="shared" si="63"/>
        <v>-1</v>
      </c>
      <c r="O94" s="11"/>
      <c r="P94" s="6">
        <v>799.12</v>
      </c>
      <c r="Q94" s="2"/>
      <c r="R94" s="7">
        <f t="shared" si="64"/>
        <v>7.8001365597839343E-5</v>
      </c>
      <c r="S94" s="2"/>
      <c r="T94" s="6">
        <v>1232</v>
      </c>
      <c r="U94" s="2"/>
      <c r="V94" s="7">
        <f t="shared" si="65"/>
        <v>1.2149905071174322E-4</v>
      </c>
      <c r="W94" s="2"/>
      <c r="X94" s="6">
        <f t="shared" si="66"/>
        <v>-432.88</v>
      </c>
      <c r="Y94" s="2"/>
      <c r="Z94" s="7">
        <f t="shared" si="67"/>
        <v>-0.35136363636363638</v>
      </c>
    </row>
    <row r="95" spans="1:26" s="24" customFormat="1" hidden="1" outlineLevel="2" x14ac:dyDescent="0.25">
      <c r="A95" s="25"/>
      <c r="B95" s="11" t="str">
        <f>CONCATENATE("          ", "6284", " - ", "TRASH REMOVAL EXPENSE")</f>
        <v xml:space="preserve">          6284 - TRASH REMOVAL EXPENSE</v>
      </c>
      <c r="C95" s="11"/>
      <c r="D95" s="6">
        <v>5130</v>
      </c>
      <c r="E95" s="2"/>
      <c r="F95" s="7">
        <f t="shared" si="60"/>
        <v>4.8429228650021753E-3</v>
      </c>
      <c r="G95" s="2"/>
      <c r="H95" s="6">
        <v>4199</v>
      </c>
      <c r="I95" s="2"/>
      <c r="J95" s="7">
        <f t="shared" si="61"/>
        <v>4.1400115423403478E-3</v>
      </c>
      <c r="K95" s="2"/>
      <c r="L95" s="6">
        <f t="shared" si="62"/>
        <v>931</v>
      </c>
      <c r="M95" s="2"/>
      <c r="N95" s="7">
        <f t="shared" si="63"/>
        <v>0.22171945701357465</v>
      </c>
      <c r="O95" s="11"/>
      <c r="P95" s="6">
        <v>28023</v>
      </c>
      <c r="Q95" s="2"/>
      <c r="R95" s="7">
        <f t="shared" si="64"/>
        <v>2.7352991642660071E-3</v>
      </c>
      <c r="S95" s="2"/>
      <c r="T95" s="6">
        <v>38899.270000000004</v>
      </c>
      <c r="U95" s="2"/>
      <c r="V95" s="7">
        <f t="shared" si="65"/>
        <v>3.836221086347234E-3</v>
      </c>
      <c r="W95" s="2"/>
      <c r="X95" s="6">
        <f t="shared" si="66"/>
        <v>-10876.270000000004</v>
      </c>
      <c r="Y95" s="2"/>
      <c r="Z95" s="7">
        <f t="shared" si="67"/>
        <v>-0.27960087682879403</v>
      </c>
    </row>
    <row r="96" spans="1:26" s="24" customFormat="1" hidden="1" outlineLevel="2" x14ac:dyDescent="0.25">
      <c r="A96" s="25"/>
      <c r="B96" s="11" t="str">
        <f>CONCATENATE("          ", "6285", " - ", "JANITORIAL SERVICES")</f>
        <v xml:space="preserve">          6285 - JANITORIAL SERVICES</v>
      </c>
      <c r="C96" s="11"/>
      <c r="D96" s="6">
        <v>28418.02</v>
      </c>
      <c r="E96" s="2"/>
      <c r="F96" s="7">
        <f t="shared" si="60"/>
        <v>2.6827734665904313E-2</v>
      </c>
      <c r="G96" s="2"/>
      <c r="H96" s="6">
        <v>25620.47</v>
      </c>
      <c r="I96" s="2"/>
      <c r="J96" s="7">
        <f t="shared" si="61"/>
        <v>2.5260548111499078E-2</v>
      </c>
      <c r="K96" s="2"/>
      <c r="L96" s="6">
        <f t="shared" si="62"/>
        <v>2797.5499999999993</v>
      </c>
      <c r="M96" s="2"/>
      <c r="N96" s="7">
        <f t="shared" si="63"/>
        <v>0.10919198593936798</v>
      </c>
      <c r="O96" s="11"/>
      <c r="P96" s="6">
        <v>182149.8</v>
      </c>
      <c r="Q96" s="2"/>
      <c r="R96" s="7">
        <f t="shared" si="64"/>
        <v>1.777947385045214E-2</v>
      </c>
      <c r="S96" s="2"/>
      <c r="T96" s="6">
        <v>154286.06999999998</v>
      </c>
      <c r="U96" s="2"/>
      <c r="V96" s="7">
        <f t="shared" si="65"/>
        <v>1.5215593379095423E-2</v>
      </c>
      <c r="W96" s="2"/>
      <c r="X96" s="6">
        <f t="shared" si="66"/>
        <v>27863.73000000001</v>
      </c>
      <c r="Y96" s="2"/>
      <c r="Z96" s="7">
        <f t="shared" si="67"/>
        <v>0.18059783362166146</v>
      </c>
    </row>
    <row r="97" spans="1:26" s="24" customFormat="1" hidden="1" outlineLevel="2" x14ac:dyDescent="0.25">
      <c r="A97" s="25"/>
      <c r="B97" s="11" t="str">
        <f>CONCATENATE("          ", "6286", " - ", "LAUNDRY EXPENSE")</f>
        <v xml:space="preserve">          6286 - LAUNDRY EXPENSE</v>
      </c>
      <c r="C97" s="11"/>
      <c r="D97" s="6">
        <v>6660.99</v>
      </c>
      <c r="E97" s="2"/>
      <c r="F97" s="7">
        <f t="shared" si="60"/>
        <v>6.2882379677487018E-3</v>
      </c>
      <c r="G97" s="2"/>
      <c r="H97" s="6">
        <v>5403.27</v>
      </c>
      <c r="I97" s="2"/>
      <c r="J97" s="7">
        <f t="shared" si="61"/>
        <v>5.327363697637851E-3</v>
      </c>
      <c r="K97" s="2"/>
      <c r="L97" s="6">
        <f t="shared" si="62"/>
        <v>1257.7199999999993</v>
      </c>
      <c r="M97" s="2"/>
      <c r="N97" s="7">
        <f t="shared" si="63"/>
        <v>0.23277015585006844</v>
      </c>
      <c r="O97" s="11"/>
      <c r="P97" s="6">
        <v>54260.68</v>
      </c>
      <c r="Q97" s="2"/>
      <c r="R97" s="7">
        <f t="shared" si="64"/>
        <v>5.2963348912145472E-3</v>
      </c>
      <c r="S97" s="2"/>
      <c r="T97" s="6">
        <v>47575.740000000005</v>
      </c>
      <c r="U97" s="2"/>
      <c r="V97" s="7">
        <f t="shared" si="65"/>
        <v>4.6918889991142132E-3</v>
      </c>
      <c r="W97" s="2"/>
      <c r="X97" s="6">
        <f t="shared" si="66"/>
        <v>6684.9399999999951</v>
      </c>
      <c r="Y97" s="2"/>
      <c r="Z97" s="7">
        <f t="shared" si="67"/>
        <v>0.14051152961572419</v>
      </c>
    </row>
    <row r="98" spans="1:26" s="26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SUM(OSRRefD22_20x_0)</f>
        <v>585.98</v>
      </c>
      <c r="E98" s="1"/>
      <c r="F98" s="5">
        <f t="shared" ref="F98:F100" si="68">IF(D$12=0,0,D98/D$12)</f>
        <v>5.5318829248225633E-4</v>
      </c>
      <c r="G98" s="1"/>
      <c r="H98" s="1">
        <f>SUM(OSRRefH22_20x_0)</f>
        <v>1635.16</v>
      </c>
      <c r="I98" s="1"/>
      <c r="J98" s="5">
        <f t="shared" ref="J98:J100" si="69">IF(H$12=0,0,H98/H$12)</f>
        <v>1.6121889196411632E-3</v>
      </c>
      <c r="K98" s="1"/>
      <c r="L98" s="1">
        <f t="shared" ref="L98:L100" si="70">+D98-H98</f>
        <v>-1049.18</v>
      </c>
      <c r="M98" s="1"/>
      <c r="N98" s="5">
        <f t="shared" ref="N98:N100" si="71">IF(H98=0,0,L98/H98)</f>
        <v>-0.6416375155948042</v>
      </c>
      <c r="O98" s="13"/>
      <c r="P98" s="1">
        <f>SUM(OSRRefP22_20x_0)</f>
        <v>6860.58</v>
      </c>
      <c r="Q98" s="1"/>
      <c r="R98" s="5">
        <f t="shared" ref="R98:R100" si="72">IF(P$12=0,0,P98/P$12)</f>
        <v>6.6965488136102788E-4</v>
      </c>
      <c r="S98" s="1"/>
      <c r="T98" s="1">
        <f>SUM(OSRRefT22_20x_0)</f>
        <v>3591.95</v>
      </c>
      <c r="U98" s="1"/>
      <c r="V98" s="5">
        <f t="shared" ref="V98:V100" si="73">IF(T$12=0,0,T98/T$12)</f>
        <v>3.542358077954919E-4</v>
      </c>
      <c r="W98" s="1"/>
      <c r="X98" s="1">
        <f t="shared" ref="X98:X100" si="74">+P98-T98</f>
        <v>3268.63</v>
      </c>
      <c r="Y98" s="1"/>
      <c r="Z98" s="5">
        <f t="shared" ref="Z98:Z100" si="75">IF(T98=0,0,X98/T98)</f>
        <v>0.90998761118612459</v>
      </c>
    </row>
    <row r="99" spans="1:26" s="24" customFormat="1" hidden="1" outlineLevel="2" x14ac:dyDescent="0.25">
      <c r="A99" s="25"/>
      <c r="B99" s="11" t="str">
        <f>CONCATENATE("          ", "6258", " - ", "MEMBERSHIP DUES")</f>
        <v xml:space="preserve">          6258 - MEMBERSHIP DUES</v>
      </c>
      <c r="C99" s="11"/>
      <c r="D99" s="6">
        <v>131.19999999999999</v>
      </c>
      <c r="E99" s="2"/>
      <c r="F99" s="7">
        <f t="shared" si="68"/>
        <v>1.2385798828231683E-4</v>
      </c>
      <c r="G99" s="2"/>
      <c r="H99" s="6"/>
      <c r="I99" s="2"/>
      <c r="J99" s="7">
        <f t="shared" si="69"/>
        <v>0</v>
      </c>
      <c r="K99" s="2"/>
      <c r="L99" s="6">
        <f t="shared" si="70"/>
        <v>131.19999999999999</v>
      </c>
      <c r="M99" s="2"/>
      <c r="N99" s="7">
        <f t="shared" si="71"/>
        <v>0</v>
      </c>
      <c r="O99" s="11"/>
      <c r="P99" s="6">
        <v>3861.2</v>
      </c>
      <c r="Q99" s="2"/>
      <c r="R99" s="7">
        <f t="shared" si="72"/>
        <v>3.7688816804281862E-4</v>
      </c>
      <c r="S99" s="2"/>
      <c r="T99" s="6"/>
      <c r="U99" s="2"/>
      <c r="V99" s="7">
        <f t="shared" si="73"/>
        <v>0</v>
      </c>
      <c r="W99" s="2"/>
      <c r="X99" s="6">
        <f t="shared" si="74"/>
        <v>3861.2</v>
      </c>
      <c r="Y99" s="2"/>
      <c r="Z99" s="7">
        <f t="shared" si="75"/>
        <v>0</v>
      </c>
    </row>
    <row r="100" spans="1:26" s="24" customFormat="1" hidden="1" outlineLevel="2" x14ac:dyDescent="0.25">
      <c r="A100" s="25"/>
      <c r="B100" s="11" t="str">
        <f>CONCATENATE("          ", "6275", " - ", "SUBSCRIPTIONS")</f>
        <v xml:space="preserve">          6275 - SUBSCRIPTIONS</v>
      </c>
      <c r="C100" s="11"/>
      <c r="D100" s="6">
        <v>454.78</v>
      </c>
      <c r="E100" s="2"/>
      <c r="F100" s="7">
        <f t="shared" si="68"/>
        <v>4.2933030419993945E-4</v>
      </c>
      <c r="G100" s="2"/>
      <c r="H100" s="6">
        <v>1635.16</v>
      </c>
      <c r="I100" s="2"/>
      <c r="J100" s="7">
        <f t="shared" si="69"/>
        <v>1.6121889196411632E-3</v>
      </c>
      <c r="K100" s="2"/>
      <c r="L100" s="6">
        <f t="shared" si="70"/>
        <v>-1180.3800000000001</v>
      </c>
      <c r="M100" s="2"/>
      <c r="N100" s="7">
        <f t="shared" si="71"/>
        <v>-0.72187431199393337</v>
      </c>
      <c r="O100" s="11"/>
      <c r="P100" s="6">
        <v>2999.38</v>
      </c>
      <c r="Q100" s="2"/>
      <c r="R100" s="7">
        <f t="shared" si="72"/>
        <v>2.9276671331820921E-4</v>
      </c>
      <c r="S100" s="2"/>
      <c r="T100" s="6">
        <v>3591.95</v>
      </c>
      <c r="U100" s="2"/>
      <c r="V100" s="7">
        <f t="shared" si="73"/>
        <v>3.542358077954919E-4</v>
      </c>
      <c r="W100" s="2"/>
      <c r="X100" s="6">
        <f t="shared" si="74"/>
        <v>-592.56999999999971</v>
      </c>
      <c r="Y100" s="2"/>
      <c r="Z100" s="7">
        <f t="shared" si="75"/>
        <v>-0.16497167276827343</v>
      </c>
    </row>
    <row r="101" spans="1:26" s="26" customFormat="1" outlineLevel="1" collapsed="1" x14ac:dyDescent="0.25">
      <c r="A101" s="27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SUM(OSRRefD22_21x_0)</f>
        <v>30438.14</v>
      </c>
      <c r="E101" s="1"/>
      <c r="F101" s="5">
        <f t="shared" ref="F101:F109" si="76">IF(D$12=0,0,D101/D$12)</f>
        <v>2.8734807831215851E-2</v>
      </c>
      <c r="G101" s="1"/>
      <c r="H101" s="1">
        <f>SUM(OSRRefH22_21x_0)</f>
        <v>31598.780000000002</v>
      </c>
      <c r="I101" s="1"/>
      <c r="J101" s="5">
        <f t="shared" ref="J101:J109" si="77">IF(H$12=0,0,H101/H$12)</f>
        <v>3.1154873523189654E-2</v>
      </c>
      <c r="K101" s="1"/>
      <c r="L101" s="1">
        <f t="shared" ref="L101:L109" si="78">+D101-H101</f>
        <v>-1160.6400000000031</v>
      </c>
      <c r="M101" s="1"/>
      <c r="N101" s="5">
        <f t="shared" ref="N101:N109" si="79">IF(H101=0,0,L101/H101)</f>
        <v>-3.6730532001552053E-2</v>
      </c>
      <c r="O101" s="13"/>
      <c r="P101" s="1">
        <f>SUM(OSRRefP22_21x_0)</f>
        <v>281440.42</v>
      </c>
      <c r="Q101" s="1"/>
      <c r="R101" s="5">
        <f t="shared" ref="R101:R109" si="80">IF(P$12=0,0,P101/P$12)</f>
        <v>2.7471139621620597E-2</v>
      </c>
      <c r="S101" s="1"/>
      <c r="T101" s="1">
        <f>SUM(OSRRefT22_21x_0)</f>
        <v>269079.81</v>
      </c>
      <c r="U101" s="1"/>
      <c r="V101" s="5">
        <f t="shared" ref="V101:V109" si="81">IF(T$12=0,0,T101/T$12)</f>
        <v>2.6536478474591094E-2</v>
      </c>
      <c r="W101" s="1"/>
      <c r="X101" s="1">
        <f t="shared" ref="X101:X109" si="82">+P101-T101</f>
        <v>12360.609999999986</v>
      </c>
      <c r="Y101" s="1"/>
      <c r="Z101" s="5">
        <f t="shared" ref="Z101:Z109" si="83">IF(T101=0,0,X101/T101)</f>
        <v>4.5936594053637786E-2</v>
      </c>
    </row>
    <row r="102" spans="1:26" s="24" customFormat="1" hidden="1" outlineLevel="2" x14ac:dyDescent="0.25">
      <c r="A102" s="25"/>
      <c r="B102" s="11" t="str">
        <f>CONCATENATE("          ", "6234", " - ", "EXPENDABLE SUPPLIES &amp; EQUIPMEN")</f>
        <v xml:space="preserve">          6234 - EXPENDABLE SUPPLIES &amp; EQUIPMEN</v>
      </c>
      <c r="C102" s="11"/>
      <c r="D102" s="6">
        <v>1008.79</v>
      </c>
      <c r="E102" s="2"/>
      <c r="F102" s="7">
        <f t="shared" si="76"/>
        <v>9.5233765243382933E-4</v>
      </c>
      <c r="G102" s="2"/>
      <c r="H102" s="6">
        <v>39.630000000000003</v>
      </c>
      <c r="I102" s="2"/>
      <c r="J102" s="7">
        <f t="shared" si="77"/>
        <v>3.9073269212419152E-5</v>
      </c>
      <c r="K102" s="2"/>
      <c r="L102" s="6">
        <f t="shared" si="78"/>
        <v>969.16</v>
      </c>
      <c r="M102" s="2"/>
      <c r="N102" s="7">
        <f t="shared" si="79"/>
        <v>24.455210698965427</v>
      </c>
      <c r="O102" s="11"/>
      <c r="P102" s="6">
        <v>13311.51</v>
      </c>
      <c r="Q102" s="2"/>
      <c r="R102" s="7">
        <f t="shared" si="80"/>
        <v>1.299324204336388E-3</v>
      </c>
      <c r="S102" s="2"/>
      <c r="T102" s="6">
        <v>7046.89</v>
      </c>
      <c r="U102" s="2"/>
      <c r="V102" s="7">
        <f t="shared" si="81"/>
        <v>6.9495977716726965E-4</v>
      </c>
      <c r="W102" s="2"/>
      <c r="X102" s="6">
        <f t="shared" si="82"/>
        <v>6264.62</v>
      </c>
      <c r="Y102" s="2"/>
      <c r="Z102" s="7">
        <f t="shared" si="83"/>
        <v>0.8889907462724691</v>
      </c>
    </row>
    <row r="103" spans="1:26" s="24" customFormat="1" hidden="1" outlineLevel="2" x14ac:dyDescent="0.25">
      <c r="A103" s="25"/>
      <c r="B103" s="11" t="str">
        <f>CONCATENATE("          ", "6237", " - ", "JANITORIAL SUPPLIES")</f>
        <v xml:space="preserve">          6237 - JANITORIAL SUPPLIES</v>
      </c>
      <c r="C103" s="11"/>
      <c r="D103" s="6">
        <v>12137.63</v>
      </c>
      <c r="E103" s="2"/>
      <c r="F103" s="7">
        <f t="shared" si="76"/>
        <v>1.1458402700572388E-2</v>
      </c>
      <c r="G103" s="2"/>
      <c r="H103" s="6">
        <v>11124.57</v>
      </c>
      <c r="I103" s="2"/>
      <c r="J103" s="7">
        <f t="shared" si="77"/>
        <v>1.0968289641241526E-2</v>
      </c>
      <c r="K103" s="2"/>
      <c r="L103" s="6">
        <f t="shared" si="78"/>
        <v>1013.0599999999995</v>
      </c>
      <c r="M103" s="2"/>
      <c r="N103" s="7">
        <f t="shared" si="79"/>
        <v>9.106509285302708E-2</v>
      </c>
      <c r="O103" s="11"/>
      <c r="P103" s="6">
        <v>92326.3</v>
      </c>
      <c r="Q103" s="2"/>
      <c r="R103" s="7">
        <f t="shared" si="80"/>
        <v>9.0118849241613199E-3</v>
      </c>
      <c r="S103" s="2"/>
      <c r="T103" s="6">
        <v>98745.05</v>
      </c>
      <c r="U103" s="2"/>
      <c r="V103" s="7">
        <f t="shared" si="81"/>
        <v>9.7381735693860549E-3</v>
      </c>
      <c r="W103" s="2"/>
      <c r="X103" s="6">
        <f t="shared" si="82"/>
        <v>-6418.75</v>
      </c>
      <c r="Y103" s="2"/>
      <c r="Z103" s="7">
        <f t="shared" si="83"/>
        <v>-6.500325839118011E-2</v>
      </c>
    </row>
    <row r="104" spans="1:26" s="24" customFormat="1" hidden="1" outlineLevel="2" x14ac:dyDescent="0.25">
      <c r="A104" s="25"/>
      <c r="B104" s="11" t="str">
        <f>CONCATENATE("          ", "6239", " - ", "KITCHEN SUPPLIES")</f>
        <v xml:space="preserve">          6239 - KITCHEN SUPPLIES</v>
      </c>
      <c r="C104" s="11"/>
      <c r="D104" s="6">
        <v>5717.52</v>
      </c>
      <c r="E104" s="2"/>
      <c r="F104" s="7">
        <f t="shared" si="76"/>
        <v>5.3975649783834781E-3</v>
      </c>
      <c r="G104" s="2"/>
      <c r="H104" s="6">
        <v>4840.05</v>
      </c>
      <c r="I104" s="2"/>
      <c r="J104" s="7">
        <f t="shared" si="77"/>
        <v>4.772055933675733E-3</v>
      </c>
      <c r="K104" s="2"/>
      <c r="L104" s="6">
        <f t="shared" si="78"/>
        <v>877.47000000000025</v>
      </c>
      <c r="M104" s="2"/>
      <c r="N104" s="7">
        <f t="shared" si="79"/>
        <v>0.18129358167787527</v>
      </c>
      <c r="O104" s="11"/>
      <c r="P104" s="6">
        <v>60779.549999999996</v>
      </c>
      <c r="Q104" s="2"/>
      <c r="R104" s="7">
        <f t="shared" si="80"/>
        <v>5.9326357748800624E-3</v>
      </c>
      <c r="S104" s="2"/>
      <c r="T104" s="6">
        <v>38041.18</v>
      </c>
      <c r="U104" s="2"/>
      <c r="V104" s="7">
        <f t="shared" si="81"/>
        <v>3.7515968002877855E-3</v>
      </c>
      <c r="W104" s="2"/>
      <c r="X104" s="6">
        <f t="shared" si="82"/>
        <v>22738.369999999995</v>
      </c>
      <c r="Y104" s="2"/>
      <c r="Z104" s="7">
        <f t="shared" si="83"/>
        <v>0.59773040689063783</v>
      </c>
    </row>
    <row r="105" spans="1:26" s="24" customFormat="1" hidden="1" outlineLevel="2" x14ac:dyDescent="0.25">
      <c r="A105" s="25"/>
      <c r="B105" s="11" t="str">
        <f>CONCATENATE("          ", "6241", " - ", "OFFICE EXPENSE")</f>
        <v xml:space="preserve">          6241 - OFFICE EXPENSE</v>
      </c>
      <c r="C105" s="11"/>
      <c r="D105" s="6">
        <v>416.34</v>
      </c>
      <c r="E105" s="2"/>
      <c r="F105" s="7">
        <f t="shared" si="76"/>
        <v>3.9304142409649231E-4</v>
      </c>
      <c r="G105" s="2"/>
      <c r="H105" s="6">
        <v>4086.4</v>
      </c>
      <c r="I105" s="2"/>
      <c r="J105" s="7">
        <f t="shared" si="77"/>
        <v>4.0289933714264346E-3</v>
      </c>
      <c r="K105" s="2"/>
      <c r="L105" s="6">
        <f t="shared" si="78"/>
        <v>-3670.06</v>
      </c>
      <c r="M105" s="2"/>
      <c r="N105" s="7">
        <f t="shared" si="79"/>
        <v>-0.89811570086139381</v>
      </c>
      <c r="O105" s="11"/>
      <c r="P105" s="6">
        <v>41654.89</v>
      </c>
      <c r="Q105" s="2"/>
      <c r="R105" s="7">
        <f t="shared" si="80"/>
        <v>4.0658953646858812E-3</v>
      </c>
      <c r="S105" s="2"/>
      <c r="T105" s="6">
        <v>23709.72</v>
      </c>
      <c r="U105" s="2"/>
      <c r="V105" s="7">
        <f t="shared" si="81"/>
        <v>2.338237396624377E-3</v>
      </c>
      <c r="W105" s="2"/>
      <c r="X105" s="6">
        <f t="shared" si="82"/>
        <v>17945.169999999998</v>
      </c>
      <c r="Y105" s="2"/>
      <c r="Z105" s="7">
        <f t="shared" si="83"/>
        <v>0.75686975636996123</v>
      </c>
    </row>
    <row r="106" spans="1:26" s="24" customFormat="1" hidden="1" outlineLevel="2" x14ac:dyDescent="0.25">
      <c r="A106" s="25"/>
      <c r="B106" s="11" t="str">
        <f>CONCATENATE("          ", "6243", " - ", "PAPER SUPPLIES")</f>
        <v xml:space="preserve">          6243 - PAPER SUPPLIES</v>
      </c>
      <c r="C106" s="11"/>
      <c r="D106" s="6">
        <v>9175.48</v>
      </c>
      <c r="E106" s="2"/>
      <c r="F106" s="7">
        <f t="shared" si="76"/>
        <v>8.6620159628401864E-3</v>
      </c>
      <c r="G106" s="2"/>
      <c r="H106" s="6">
        <v>9404.92</v>
      </c>
      <c r="I106" s="2"/>
      <c r="J106" s="7">
        <f t="shared" si="77"/>
        <v>9.2727976553435548E-3</v>
      </c>
      <c r="K106" s="2"/>
      <c r="L106" s="6">
        <f t="shared" si="78"/>
        <v>-229.44000000000051</v>
      </c>
      <c r="M106" s="2"/>
      <c r="N106" s="7">
        <f t="shared" si="79"/>
        <v>-2.4395741803226449E-2</v>
      </c>
      <c r="O106" s="11"/>
      <c r="P106" s="6">
        <v>65854.7</v>
      </c>
      <c r="Q106" s="2"/>
      <c r="R106" s="7">
        <f t="shared" si="80"/>
        <v>6.4280164819251551E-3</v>
      </c>
      <c r="S106" s="2"/>
      <c r="T106" s="6">
        <v>75649.72</v>
      </c>
      <c r="U106" s="2"/>
      <c r="V106" s="7">
        <f t="shared" si="81"/>
        <v>7.4605269209490057E-3</v>
      </c>
      <c r="W106" s="2"/>
      <c r="X106" s="6">
        <f t="shared" si="82"/>
        <v>-9795.0200000000041</v>
      </c>
      <c r="Y106" s="2"/>
      <c r="Z106" s="7">
        <f t="shared" si="83"/>
        <v>-0.1294786021679922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6">
        <v>260.38</v>
      </c>
      <c r="E107" s="2"/>
      <c r="F107" s="7">
        <f t="shared" si="76"/>
        <v>2.4580901668406753E-4</v>
      </c>
      <c r="G107" s="2"/>
      <c r="H107" s="6">
        <v>106.18</v>
      </c>
      <c r="I107" s="2"/>
      <c r="J107" s="7">
        <f t="shared" si="77"/>
        <v>1.0468836045860876E-4</v>
      </c>
      <c r="K107" s="2"/>
      <c r="L107" s="6">
        <f t="shared" si="78"/>
        <v>154.19999999999999</v>
      </c>
      <c r="M107" s="2"/>
      <c r="N107" s="7">
        <f t="shared" si="79"/>
        <v>1.4522508947071009</v>
      </c>
      <c r="O107" s="11"/>
      <c r="P107" s="6">
        <v>1882.72</v>
      </c>
      <c r="Q107" s="2"/>
      <c r="R107" s="7">
        <f t="shared" si="80"/>
        <v>1.8377056141551215E-4</v>
      </c>
      <c r="S107" s="2"/>
      <c r="T107" s="6">
        <v>1935.05</v>
      </c>
      <c r="U107" s="2"/>
      <c r="V107" s="7">
        <f t="shared" si="81"/>
        <v>1.9083339129850543E-4</v>
      </c>
      <c r="W107" s="2"/>
      <c r="X107" s="6">
        <f t="shared" si="82"/>
        <v>-52.329999999999927</v>
      </c>
      <c r="Y107" s="2"/>
      <c r="Z107" s="7">
        <f t="shared" si="83"/>
        <v>-2.7043228857135438E-2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6">
        <v>-615.96</v>
      </c>
      <c r="E108" s="2"/>
      <c r="F108" s="7">
        <f t="shared" si="76"/>
        <v>-5.8149059803640159E-4</v>
      </c>
      <c r="G108" s="2"/>
      <c r="H108" s="6">
        <v>1650.4</v>
      </c>
      <c r="I108" s="2"/>
      <c r="J108" s="7">
        <f t="shared" si="77"/>
        <v>1.6272148248341297E-3</v>
      </c>
      <c r="K108" s="2"/>
      <c r="L108" s="6">
        <f t="shared" si="78"/>
        <v>-2266.36</v>
      </c>
      <c r="M108" s="2"/>
      <c r="N108" s="7">
        <f t="shared" si="79"/>
        <v>-1.3732186136694136</v>
      </c>
      <c r="O108" s="11"/>
      <c r="P108" s="6">
        <v>3444.39</v>
      </c>
      <c r="Q108" s="2"/>
      <c r="R108" s="7">
        <f t="shared" si="80"/>
        <v>3.3620372866595985E-4</v>
      </c>
      <c r="S108" s="2"/>
      <c r="T108" s="6">
        <v>5461.55</v>
      </c>
      <c r="U108" s="2"/>
      <c r="V108" s="7">
        <f t="shared" si="81"/>
        <v>5.3861456202493601E-4</v>
      </c>
      <c r="W108" s="2"/>
      <c r="X108" s="6">
        <f t="shared" si="82"/>
        <v>-2017.1600000000003</v>
      </c>
      <c r="Y108" s="2"/>
      <c r="Z108" s="7">
        <f t="shared" si="83"/>
        <v>-0.36933837463723673</v>
      </c>
    </row>
    <row r="109" spans="1:26" s="24" customFormat="1" hidden="1" outlineLevel="2" x14ac:dyDescent="0.25">
      <c r="A109" s="25"/>
      <c r="B109" s="11" t="str">
        <f>CONCATENATE("          ", "6248", " - ", "UNIFORMS")</f>
        <v xml:space="preserve">          6248 - UNIFORMS</v>
      </c>
      <c r="C109" s="11"/>
      <c r="D109" s="6">
        <v>2337.96</v>
      </c>
      <c r="E109" s="2"/>
      <c r="F109" s="7">
        <f t="shared" si="76"/>
        <v>2.2071266942418101E-3</v>
      </c>
      <c r="G109" s="2"/>
      <c r="H109" s="6">
        <v>346.63</v>
      </c>
      <c r="I109" s="2"/>
      <c r="J109" s="7">
        <f t="shared" si="77"/>
        <v>3.4176046699724576E-4</v>
      </c>
      <c r="K109" s="2"/>
      <c r="L109" s="6">
        <f t="shared" si="78"/>
        <v>1991.33</v>
      </c>
      <c r="M109" s="2"/>
      <c r="N109" s="7">
        <f t="shared" si="79"/>
        <v>5.7448287799671114</v>
      </c>
      <c r="O109" s="11"/>
      <c r="P109" s="6">
        <v>2186.36</v>
      </c>
      <c r="Q109" s="2"/>
      <c r="R109" s="7">
        <f t="shared" si="80"/>
        <v>2.1340858155032038E-4</v>
      </c>
      <c r="S109" s="2"/>
      <c r="T109" s="6">
        <v>18490.649999999998</v>
      </c>
      <c r="U109" s="2"/>
      <c r="V109" s="7">
        <f t="shared" si="81"/>
        <v>1.823536056853161E-3</v>
      </c>
      <c r="W109" s="2"/>
      <c r="X109" s="6">
        <f t="shared" si="82"/>
        <v>-16304.289999999997</v>
      </c>
      <c r="Y109" s="2"/>
      <c r="Z109" s="7">
        <f t="shared" si="83"/>
        <v>-0.88175861854504844</v>
      </c>
    </row>
    <row r="110" spans="1:26" s="26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SUM(OSRRefD22_22x_0)</f>
        <v>3604.76</v>
      </c>
      <c r="E110" s="1"/>
      <c r="F110" s="5">
        <f t="shared" ref="F110:F117" si="84">IF(D$12=0,0,D110/D$12)</f>
        <v>3.4030359896384489E-3</v>
      </c>
      <c r="G110" s="1"/>
      <c r="H110" s="1">
        <f>SUM(OSRRefH22_22x_0)</f>
        <v>69.02</v>
      </c>
      <c r="I110" s="1"/>
      <c r="J110" s="5">
        <f t="shared" ref="J110:J117" si="85">IF(H$12=0,0,H110/H$12)</f>
        <v>6.8050392153448631E-5</v>
      </c>
      <c r="K110" s="1"/>
      <c r="L110" s="1">
        <f t="shared" ref="L110:L117" si="86">+D110-H110</f>
        <v>3535.7400000000002</v>
      </c>
      <c r="M110" s="1"/>
      <c r="N110" s="5">
        <f t="shared" ref="N110:N117" si="87">IF(H110=0,0,L110/H110)</f>
        <v>51.227760069545063</v>
      </c>
      <c r="O110" s="13"/>
      <c r="P110" s="1">
        <f>SUM(OSRRefP22_22x_0)</f>
        <v>17794.329999999998</v>
      </c>
      <c r="Q110" s="1"/>
      <c r="R110" s="5">
        <f t="shared" ref="R110:R117" si="88">IF(P$12=0,0,P110/P$12)</f>
        <v>1.7368881268127444E-3</v>
      </c>
      <c r="S110" s="1"/>
      <c r="T110" s="1">
        <f>SUM(OSRRefT22_22x_0)</f>
        <v>15808.18</v>
      </c>
      <c r="U110" s="1"/>
      <c r="V110" s="5">
        <f t="shared" ref="V110:V117" si="89">IF(T$12=0,0,T110/T$12)</f>
        <v>1.5589925839938027E-3</v>
      </c>
      <c r="W110" s="1"/>
      <c r="X110" s="1">
        <f t="shared" ref="X110:X117" si="90">+P110-T110</f>
        <v>1986.1499999999978</v>
      </c>
      <c r="Y110" s="1"/>
      <c r="Z110" s="5">
        <f t="shared" ref="Z110:Z117" si="91">IF(T110=0,0,X110/T110)</f>
        <v>0.12564064933471139</v>
      </c>
    </row>
    <row r="111" spans="1:26" s="24" customFormat="1" hidden="1" outlineLevel="2" x14ac:dyDescent="0.25">
      <c r="A111" s="25"/>
      <c r="B111" s="11" t="str">
        <f>CONCATENATE("          ", "6309", " - ", "TELEPHONE")</f>
        <v xml:space="preserve">          6309 - TELEPHONE</v>
      </c>
      <c r="C111" s="11"/>
      <c r="D111" s="6">
        <v>3604.76</v>
      </c>
      <c r="E111" s="2"/>
      <c r="F111" s="7">
        <f t="shared" si="84"/>
        <v>3.4030359896384489E-3</v>
      </c>
      <c r="G111" s="2"/>
      <c r="H111" s="6">
        <v>69.02</v>
      </c>
      <c r="I111" s="2"/>
      <c r="J111" s="7">
        <f t="shared" si="85"/>
        <v>6.8050392153448631E-5</v>
      </c>
      <c r="K111" s="2"/>
      <c r="L111" s="6">
        <f t="shared" si="86"/>
        <v>3535.7400000000002</v>
      </c>
      <c r="M111" s="2"/>
      <c r="N111" s="7">
        <f t="shared" si="87"/>
        <v>51.227760069545063</v>
      </c>
      <c r="O111" s="11"/>
      <c r="P111" s="6">
        <v>17794.329999999998</v>
      </c>
      <c r="Q111" s="2"/>
      <c r="R111" s="7">
        <f t="shared" si="88"/>
        <v>1.7368881268127444E-3</v>
      </c>
      <c r="S111" s="2"/>
      <c r="T111" s="6">
        <v>15808.18</v>
      </c>
      <c r="U111" s="2"/>
      <c r="V111" s="7">
        <f t="shared" si="89"/>
        <v>1.5589925839938027E-3</v>
      </c>
      <c r="W111" s="2"/>
      <c r="X111" s="6">
        <f t="shared" si="90"/>
        <v>1986.1499999999978</v>
      </c>
      <c r="Y111" s="2"/>
      <c r="Z111" s="7">
        <f t="shared" si="91"/>
        <v>0.12564064933471139</v>
      </c>
    </row>
    <row r="112" spans="1:26" s="26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SUM(OSRRefD22_23x_0)</f>
        <v>273.32</v>
      </c>
      <c r="E112" s="1"/>
      <c r="F112" s="5">
        <f t="shared" si="84"/>
        <v>2.5802488839422899E-4</v>
      </c>
      <c r="G112" s="1"/>
      <c r="H112" s="1">
        <f>SUM(OSRRefH22_23x_0)</f>
        <v>486.16</v>
      </c>
      <c r="I112" s="1"/>
      <c r="J112" s="5">
        <f t="shared" si="85"/>
        <v>4.79330319462773E-4</v>
      </c>
      <c r="K112" s="1"/>
      <c r="L112" s="1">
        <f t="shared" si="86"/>
        <v>-212.84000000000003</v>
      </c>
      <c r="M112" s="1"/>
      <c r="N112" s="5">
        <f t="shared" si="87"/>
        <v>-0.43779825571828207</v>
      </c>
      <c r="O112" s="13"/>
      <c r="P112" s="1">
        <f>SUM(OSRRefP22_23x_0)</f>
        <v>7846.19</v>
      </c>
      <c r="Q112" s="1"/>
      <c r="R112" s="5">
        <f t="shared" si="88"/>
        <v>7.6585936372523648E-4</v>
      </c>
      <c r="S112" s="1"/>
      <c r="T112" s="1">
        <f>SUM(OSRRefT22_23x_0)</f>
        <v>8212.34</v>
      </c>
      <c r="U112" s="1"/>
      <c r="V112" s="5">
        <f t="shared" si="89"/>
        <v>8.0989570951467318E-4</v>
      </c>
      <c r="W112" s="1"/>
      <c r="X112" s="1">
        <f t="shared" si="90"/>
        <v>-366.15000000000055</v>
      </c>
      <c r="Y112" s="1"/>
      <c r="Z112" s="5">
        <f t="shared" si="91"/>
        <v>-4.4585343519630283E-2</v>
      </c>
    </row>
    <row r="113" spans="1:26" s="24" customFormat="1" hidden="1" outlineLevel="2" x14ac:dyDescent="0.25">
      <c r="A113" s="25"/>
      <c r="B113" s="11" t="str">
        <f>CONCATENATE("          ", "6376", " - ", "TRAINING")</f>
        <v xml:space="preserve">          6376 - TRAINING</v>
      </c>
      <c r="C113" s="11"/>
      <c r="D113" s="6">
        <v>273.32</v>
      </c>
      <c r="E113" s="2"/>
      <c r="F113" s="7">
        <f t="shared" si="84"/>
        <v>2.5802488839422899E-4</v>
      </c>
      <c r="G113" s="2"/>
      <c r="H113" s="6">
        <v>486.16</v>
      </c>
      <c r="I113" s="2"/>
      <c r="J113" s="7">
        <f t="shared" si="85"/>
        <v>4.79330319462773E-4</v>
      </c>
      <c r="K113" s="2"/>
      <c r="L113" s="6">
        <f t="shared" si="86"/>
        <v>-212.84000000000003</v>
      </c>
      <c r="M113" s="2"/>
      <c r="N113" s="7">
        <f t="shared" si="87"/>
        <v>-0.43779825571828207</v>
      </c>
      <c r="O113" s="11"/>
      <c r="P113" s="6">
        <v>7846.19</v>
      </c>
      <c r="Q113" s="2"/>
      <c r="R113" s="7">
        <f t="shared" si="88"/>
        <v>7.6585936372523648E-4</v>
      </c>
      <c r="S113" s="2"/>
      <c r="T113" s="6">
        <v>8212.34</v>
      </c>
      <c r="U113" s="2"/>
      <c r="V113" s="7">
        <f t="shared" si="89"/>
        <v>8.0989570951467318E-4</v>
      </c>
      <c r="W113" s="2"/>
      <c r="X113" s="6">
        <f t="shared" si="90"/>
        <v>-366.15000000000055</v>
      </c>
      <c r="Y113" s="2"/>
      <c r="Z113" s="7">
        <f t="shared" si="91"/>
        <v>-4.4585343519630283E-2</v>
      </c>
    </row>
    <row r="114" spans="1:26" s="26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SUM(OSRRefD22_24x_0)</f>
        <v>280.51</v>
      </c>
      <c r="E114" s="1"/>
      <c r="F114" s="5">
        <f t="shared" si="84"/>
        <v>2.648125327215907E-4</v>
      </c>
      <c r="G114" s="1"/>
      <c r="H114" s="1">
        <f>SUM(OSRRefH22_24x_0)</f>
        <v>196.04</v>
      </c>
      <c r="I114" s="1"/>
      <c r="J114" s="5">
        <f t="shared" si="85"/>
        <v>1.9328598779719025E-4</v>
      </c>
      <c r="K114" s="1"/>
      <c r="L114" s="1">
        <f t="shared" si="86"/>
        <v>84.47</v>
      </c>
      <c r="M114" s="1"/>
      <c r="N114" s="5">
        <f t="shared" si="87"/>
        <v>0.43088145276474188</v>
      </c>
      <c r="O114" s="13"/>
      <c r="P114" s="1">
        <f>SUM(OSRRefP22_24x_0)</f>
        <v>4963.6099999999997</v>
      </c>
      <c r="Q114" s="1"/>
      <c r="R114" s="5">
        <f t="shared" si="88"/>
        <v>4.8449339059852245E-4</v>
      </c>
      <c r="S114" s="1"/>
      <c r="T114" s="1">
        <f>SUM(OSRRefT22_24x_0)</f>
        <v>5014.6099999999997</v>
      </c>
      <c r="U114" s="1"/>
      <c r="V114" s="5">
        <f t="shared" si="89"/>
        <v>4.9453762555975208E-4</v>
      </c>
      <c r="W114" s="1"/>
      <c r="X114" s="1">
        <f t="shared" si="90"/>
        <v>-51</v>
      </c>
      <c r="Y114" s="1"/>
      <c r="Z114" s="5">
        <f t="shared" si="91"/>
        <v>-1.0170282434725732E-2</v>
      </c>
    </row>
    <row r="115" spans="1:26" s="24" customFormat="1" hidden="1" outlineLevel="2" x14ac:dyDescent="0.25">
      <c r="A115" s="25"/>
      <c r="B115" s="11" t="str">
        <f>CONCATENATE("          ", "6292", " - ", "TRAVEL/CONFERENCE")</f>
        <v xml:space="preserve">          6292 - TRAVEL/CONFERENCE</v>
      </c>
      <c r="C115" s="11"/>
      <c r="D115" s="6">
        <v>176.42</v>
      </c>
      <c r="E115" s="2"/>
      <c r="F115" s="7">
        <f t="shared" si="84"/>
        <v>1.6654745649974343E-4</v>
      </c>
      <c r="G115" s="2"/>
      <c r="H115" s="6">
        <v>196.04</v>
      </c>
      <c r="I115" s="2"/>
      <c r="J115" s="7">
        <f t="shared" si="85"/>
        <v>1.9328598779719025E-4</v>
      </c>
      <c r="K115" s="2"/>
      <c r="L115" s="6">
        <f t="shared" si="86"/>
        <v>-19.620000000000005</v>
      </c>
      <c r="M115" s="2"/>
      <c r="N115" s="7">
        <f t="shared" si="87"/>
        <v>-0.10008161599673539</v>
      </c>
      <c r="O115" s="11"/>
      <c r="P115" s="6">
        <v>4041.3</v>
      </c>
      <c r="Q115" s="2"/>
      <c r="R115" s="7">
        <f t="shared" si="88"/>
        <v>3.9446756280727313E-4</v>
      </c>
      <c r="S115" s="2"/>
      <c r="T115" s="6">
        <v>2514.5500000000002</v>
      </c>
      <c r="U115" s="2"/>
      <c r="V115" s="7">
        <f t="shared" si="89"/>
        <v>2.4798331003832299E-4</v>
      </c>
      <c r="W115" s="2"/>
      <c r="X115" s="6">
        <f t="shared" si="90"/>
        <v>1526.75</v>
      </c>
      <c r="Y115" s="2"/>
      <c r="Z115" s="7">
        <f t="shared" si="91"/>
        <v>0.60716629217951523</v>
      </c>
    </row>
    <row r="116" spans="1:26" s="24" customFormat="1" hidden="1" outlineLevel="2" x14ac:dyDescent="0.25">
      <c r="A116" s="25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84"/>
        <v>0</v>
      </c>
      <c r="G116" s="2"/>
      <c r="H116" s="6"/>
      <c r="I116" s="2"/>
      <c r="J116" s="7">
        <f t="shared" si="85"/>
        <v>0</v>
      </c>
      <c r="K116" s="2"/>
      <c r="L116" s="6">
        <f t="shared" si="86"/>
        <v>0</v>
      </c>
      <c r="M116" s="2"/>
      <c r="N116" s="7">
        <f t="shared" si="87"/>
        <v>0</v>
      </c>
      <c r="O116" s="11"/>
      <c r="P116" s="6">
        <v>45.49</v>
      </c>
      <c r="Q116" s="2"/>
      <c r="R116" s="7">
        <f t="shared" si="88"/>
        <v>4.4402369119102411E-6</v>
      </c>
      <c r="S116" s="2"/>
      <c r="T116" s="6">
        <v>1829.28</v>
      </c>
      <c r="U116" s="2"/>
      <c r="V116" s="7">
        <f t="shared" si="89"/>
        <v>1.8040242166069613E-4</v>
      </c>
      <c r="W116" s="2"/>
      <c r="X116" s="6">
        <f t="shared" si="90"/>
        <v>-1783.79</v>
      </c>
      <c r="Y116" s="2"/>
      <c r="Z116" s="7">
        <f t="shared" si="91"/>
        <v>-0.97513229248666144</v>
      </c>
    </row>
    <row r="117" spans="1:26" s="24" customFormat="1" hidden="1" outlineLevel="2" x14ac:dyDescent="0.25">
      <c r="A117" s="25"/>
      <c r="B117" s="11" t="str">
        <f>CONCATENATE("          ", "6298", " - ", "VEHICLE MILEAGE")</f>
        <v xml:space="preserve">          6298 - VEHICLE MILEAGE</v>
      </c>
      <c r="C117" s="11"/>
      <c r="D117" s="6">
        <v>104.09</v>
      </c>
      <c r="E117" s="2"/>
      <c r="F117" s="7">
        <f t="shared" si="84"/>
        <v>9.826507622184727E-5</v>
      </c>
      <c r="G117" s="2"/>
      <c r="H117" s="6"/>
      <c r="I117" s="2"/>
      <c r="J117" s="7">
        <f t="shared" si="85"/>
        <v>0</v>
      </c>
      <c r="K117" s="2"/>
      <c r="L117" s="6">
        <f t="shared" si="86"/>
        <v>104.09</v>
      </c>
      <c r="M117" s="2"/>
      <c r="N117" s="7">
        <f t="shared" si="87"/>
        <v>0</v>
      </c>
      <c r="O117" s="11"/>
      <c r="P117" s="6">
        <v>876.82</v>
      </c>
      <c r="Q117" s="2"/>
      <c r="R117" s="7">
        <f t="shared" si="88"/>
        <v>8.5585590879339138E-5</v>
      </c>
      <c r="S117" s="2"/>
      <c r="T117" s="6">
        <v>670.78</v>
      </c>
      <c r="U117" s="2"/>
      <c r="V117" s="7">
        <f t="shared" si="89"/>
        <v>6.6151893860733041E-5</v>
      </c>
      <c r="W117" s="2"/>
      <c r="X117" s="6">
        <f t="shared" si="90"/>
        <v>206.04000000000008</v>
      </c>
      <c r="Y117" s="2"/>
      <c r="Z117" s="7">
        <f t="shared" si="91"/>
        <v>0.30716479322579698</v>
      </c>
    </row>
    <row r="118" spans="1:26" s="26" customFormat="1" outlineLevel="1" collapsed="1" x14ac:dyDescent="0.25">
      <c r="A118" s="27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SUM(OSRRefD22_25x_0)</f>
        <v>15583</v>
      </c>
      <c r="E118" s="1"/>
      <c r="F118" s="5">
        <f t="shared" ref="F118:F119" si="92">IF(D$12=0,0,D118/D$12)</f>
        <v>1.4710968227159629E-2</v>
      </c>
      <c r="G118" s="1"/>
      <c r="H118" s="1">
        <f>SUM(OSRRefH22_25x_0)</f>
        <v>13693</v>
      </c>
      <c r="I118" s="1"/>
      <c r="J118" s="5">
        <f t="shared" ref="J118:J119" si="93">IF(H$12=0,0,H118/H$12)</f>
        <v>1.3500637782630718E-2</v>
      </c>
      <c r="K118" s="1"/>
      <c r="L118" s="1">
        <f t="shared" ref="L118:L119" si="94">+D118-H118</f>
        <v>1890</v>
      </c>
      <c r="M118" s="1"/>
      <c r="N118" s="5">
        <f t="shared" ref="N118:N119" si="95">IF(H118=0,0,L118/H118)</f>
        <v>0.13802672898561308</v>
      </c>
      <c r="O118" s="13"/>
      <c r="P118" s="1">
        <f>SUM(OSRRefP22_25x_0)</f>
        <v>112470</v>
      </c>
      <c r="Q118" s="1"/>
      <c r="R118" s="5">
        <f t="shared" ref="R118:R119" si="96">IF(P$12=0,0,P118/P$12)</f>
        <v>1.0978092888163217E-2</v>
      </c>
      <c r="S118" s="1"/>
      <c r="T118" s="1">
        <f>SUM(OSRRefT22_25x_0)</f>
        <v>72037.62</v>
      </c>
      <c r="U118" s="1"/>
      <c r="V118" s="5">
        <f t="shared" ref="V118:V119" si="97">IF(T$12=0,0,T118/T$12)</f>
        <v>7.1043039330627323E-3</v>
      </c>
      <c r="W118" s="1"/>
      <c r="X118" s="1">
        <f t="shared" ref="X118:X119" si="98">+P118-T118</f>
        <v>40432.380000000005</v>
      </c>
      <c r="Y118" s="1"/>
      <c r="Z118" s="5">
        <f t="shared" ref="Z118:Z119" si="99">IF(T118=0,0,X118/T118)</f>
        <v>0.5612675710274716</v>
      </c>
    </row>
    <row r="119" spans="1:26" s="24" customFormat="1" hidden="1" outlineLevel="2" x14ac:dyDescent="0.25">
      <c r="A119" s="25"/>
      <c r="B119" s="11" t="str">
        <f>CONCATENATE("          ", "6274", " - ", "UTILITIES")</f>
        <v xml:space="preserve">          6274 - UTILITIES</v>
      </c>
      <c r="C119" s="11"/>
      <c r="D119" s="6">
        <v>15583</v>
      </c>
      <c r="E119" s="2"/>
      <c r="F119" s="7">
        <f t="shared" si="92"/>
        <v>1.4710968227159629E-2</v>
      </c>
      <c r="G119" s="2"/>
      <c r="H119" s="6">
        <v>13693</v>
      </c>
      <c r="I119" s="2"/>
      <c r="J119" s="7">
        <f t="shared" si="93"/>
        <v>1.3500637782630718E-2</v>
      </c>
      <c r="K119" s="2"/>
      <c r="L119" s="6">
        <f t="shared" si="94"/>
        <v>1890</v>
      </c>
      <c r="M119" s="2"/>
      <c r="N119" s="7">
        <f t="shared" si="95"/>
        <v>0.13802672898561308</v>
      </c>
      <c r="O119" s="11"/>
      <c r="P119" s="6">
        <v>112470</v>
      </c>
      <c r="Q119" s="2"/>
      <c r="R119" s="7">
        <f t="shared" si="96"/>
        <v>1.0978092888163217E-2</v>
      </c>
      <c r="S119" s="2"/>
      <c r="T119" s="6">
        <v>72037.62</v>
      </c>
      <c r="U119" s="2"/>
      <c r="V119" s="7">
        <f t="shared" si="97"/>
        <v>7.1043039330627323E-3</v>
      </c>
      <c r="W119" s="2"/>
      <c r="X119" s="6">
        <f t="shared" si="98"/>
        <v>40432.380000000005</v>
      </c>
      <c r="Y119" s="2"/>
      <c r="Z119" s="7">
        <f t="shared" si="99"/>
        <v>0.5612675710274716</v>
      </c>
    </row>
    <row r="120" spans="1:26" s="59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9" t="s">
        <v>0</v>
      </c>
      <c r="C121" s="10"/>
      <c r="D121" s="4">
        <f>SUM(OSRRefD25x_0)</f>
        <v>65507.39</v>
      </c>
      <c r="E121" s="4"/>
      <c r="F121" s="12">
        <f t="shared" ref="F121:F124" si="100">IF(D$12=0,0,D121/D$12)</f>
        <v>6.1841566638911279E-2</v>
      </c>
      <c r="G121" s="4"/>
      <c r="H121" s="4">
        <f>SUM(OSRRefH25x_0)</f>
        <v>39019.89</v>
      </c>
      <c r="I121" s="4"/>
      <c r="J121" s="12">
        <f t="shared" ref="J121:J124" si="101">IF(H$12=0,0,H121/H$12)</f>
        <v>3.847173016929048E-2</v>
      </c>
      <c r="K121" s="4"/>
      <c r="L121" s="4">
        <f t="shared" ref="L121:L124" si="102">+D121-H121</f>
        <v>26487.5</v>
      </c>
      <c r="M121" s="4"/>
      <c r="N121" s="12">
        <f t="shared" ref="N121:N124" si="103">IF(H121=0,0,L121/H121)</f>
        <v>0.67882046822787045</v>
      </c>
      <c r="O121" s="10"/>
      <c r="P121" s="4">
        <f>SUM(OSRRefP25x_0)</f>
        <v>579944.91999999993</v>
      </c>
      <c r="Q121" s="4"/>
      <c r="R121" s="12">
        <f t="shared" ref="R121:R124" si="104">IF(P$12=0,0,P121/P$12)</f>
        <v>5.6607888341587843E-2</v>
      </c>
      <c r="S121" s="4"/>
      <c r="T121" s="4">
        <f>SUM(OSRRefT25x_0)</f>
        <v>497237.75</v>
      </c>
      <c r="U121" s="4"/>
      <c r="V121" s="12">
        <f t="shared" ref="V121:V124" si="105">IF(T$12=0,0,T121/T$12)</f>
        <v>4.903726834662589E-2</v>
      </c>
      <c r="W121" s="4"/>
      <c r="X121" s="4">
        <f t="shared" ref="X121:X124" si="106">+P121-T121</f>
        <v>82707.169999999925</v>
      </c>
      <c r="Y121" s="4"/>
      <c r="Z121" s="12">
        <f t="shared" ref="Z121:Z124" si="107">IF(T121=0,0,X121/T121)</f>
        <v>0.16633324802873459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--47160.59</f>
        <v>47160.59</v>
      </c>
      <c r="E122" s="2"/>
      <c r="F122" s="19">
        <f t="shared" si="100"/>
        <v>4.4521461917737412E-2</v>
      </c>
      <c r="G122" s="2"/>
      <c r="H122" s="2">
        <f>--18804.95</f>
        <v>18804.95</v>
      </c>
      <c r="I122" s="2"/>
      <c r="J122" s="19">
        <f t="shared" si="101"/>
        <v>1.854077400646181E-2</v>
      </c>
      <c r="K122" s="2"/>
      <c r="L122" s="2">
        <f t="shared" si="102"/>
        <v>28355.639999999996</v>
      </c>
      <c r="M122" s="2"/>
      <c r="N122" s="19">
        <f t="shared" si="103"/>
        <v>1.5078817013605457</v>
      </c>
      <c r="O122" s="11"/>
      <c r="P122" s="2">
        <f>--230131.86</f>
        <v>230131.86</v>
      </c>
      <c r="Q122" s="2"/>
      <c r="R122" s="19">
        <f t="shared" si="104"/>
        <v>2.2462958438746093E-2</v>
      </c>
      <c r="S122" s="2"/>
      <c r="T122" s="2">
        <f>--198706.14</f>
        <v>198706.14</v>
      </c>
      <c r="U122" s="2"/>
      <c r="V122" s="19">
        <f t="shared" si="105"/>
        <v>1.9596272224508725E-2</v>
      </c>
      <c r="W122" s="2"/>
      <c r="X122" s="2">
        <f t="shared" si="106"/>
        <v>31425.719999999972</v>
      </c>
      <c r="Y122" s="2"/>
      <c r="Z122" s="19">
        <f t="shared" si="107"/>
        <v>0.15815173099331489</v>
      </c>
    </row>
    <row r="123" spans="1:26" s="24" customFormat="1" hidden="1" outlineLevel="1" x14ac:dyDescent="0.25">
      <c r="A123" s="44"/>
      <c r="B123" s="11" t="str">
        <f>CONCATENATE("          ", "9160", " - ", "MISC. INCOME")</f>
        <v xml:space="preserve">          9160 - MISC. INCOME</v>
      </c>
      <c r="C123" s="11"/>
      <c r="D123" s="2">
        <f>--18346.8</f>
        <v>18346.8</v>
      </c>
      <c r="E123" s="2"/>
      <c r="F123" s="19">
        <f t="shared" si="100"/>
        <v>1.7320104721173863E-2</v>
      </c>
      <c r="G123" s="2"/>
      <c r="H123" s="2">
        <f>--11250.38</f>
        <v>11250.38</v>
      </c>
      <c r="I123" s="2"/>
      <c r="J123" s="19">
        <f t="shared" si="101"/>
        <v>1.1092332235226245E-2</v>
      </c>
      <c r="K123" s="2"/>
      <c r="L123" s="2">
        <f t="shared" si="102"/>
        <v>7096.42</v>
      </c>
      <c r="M123" s="2"/>
      <c r="N123" s="19">
        <f t="shared" si="103"/>
        <v>0.63077158282653567</v>
      </c>
      <c r="O123" s="11"/>
      <c r="P123" s="2">
        <f>--122397</f>
        <v>122397</v>
      </c>
      <c r="Q123" s="2"/>
      <c r="R123" s="19">
        <f t="shared" si="104"/>
        <v>1.1947058195363326E-2</v>
      </c>
      <c r="S123" s="2"/>
      <c r="T123" s="2">
        <f>--71636.05</f>
        <v>71636.05</v>
      </c>
      <c r="U123" s="2"/>
      <c r="V123" s="19">
        <f t="shared" si="105"/>
        <v>7.0647013569309844E-3</v>
      </c>
      <c r="W123" s="2"/>
      <c r="X123" s="2">
        <f t="shared" si="106"/>
        <v>50760.95</v>
      </c>
      <c r="Y123" s="2"/>
      <c r="Z123" s="19">
        <f t="shared" si="107"/>
        <v>0.70859504397576356</v>
      </c>
    </row>
    <row r="124" spans="1:26" s="24" customFormat="1" hidden="1" outlineLevel="1" x14ac:dyDescent="0.25">
      <c r="A124" s="44"/>
      <c r="B124" s="11" t="str">
        <f>CONCATENATE("          ", "9165", " - ", "OTHER INCOME")</f>
        <v xml:space="preserve">          9165 - OTHER INCOME</v>
      </c>
      <c r="C124" s="11"/>
      <c r="D124" s="2">
        <f>0</f>
        <v>0</v>
      </c>
      <c r="E124" s="2"/>
      <c r="F124" s="19">
        <f t="shared" si="100"/>
        <v>0</v>
      </c>
      <c r="G124" s="2"/>
      <c r="H124" s="2">
        <f>--8964.56</f>
        <v>8964.56</v>
      </c>
      <c r="I124" s="2"/>
      <c r="J124" s="19">
        <f t="shared" si="101"/>
        <v>8.8386239276024257E-3</v>
      </c>
      <c r="K124" s="2"/>
      <c r="L124" s="2">
        <f t="shared" si="102"/>
        <v>-8964.56</v>
      </c>
      <c r="M124" s="2"/>
      <c r="N124" s="19">
        <f t="shared" si="103"/>
        <v>-1</v>
      </c>
      <c r="O124" s="11"/>
      <c r="P124" s="2">
        <f>--227416.06</f>
        <v>227416.06</v>
      </c>
      <c r="Q124" s="2"/>
      <c r="R124" s="19">
        <f t="shared" si="104"/>
        <v>2.2197871707478434E-2</v>
      </c>
      <c r="S124" s="2"/>
      <c r="T124" s="2">
        <f>--226895.56</f>
        <v>226895.56</v>
      </c>
      <c r="U124" s="2"/>
      <c r="V124" s="19">
        <f t="shared" si="105"/>
        <v>2.237629476518618E-2</v>
      </c>
      <c r="W124" s="2"/>
      <c r="X124" s="2">
        <f t="shared" si="106"/>
        <v>520.5</v>
      </c>
      <c r="Y124" s="2"/>
      <c r="Z124" s="19">
        <f t="shared" si="107"/>
        <v>2.2940069871794761E-3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8" t="s">
        <v>3</v>
      </c>
      <c r="C126" s="28"/>
      <c r="D126" s="21">
        <f>+D30-D32+D121</f>
        <v>-101529.1800000003</v>
      </c>
      <c r="E126" s="14"/>
      <c r="F126" s="22">
        <f>IF(D$12=0,0,D126/D$12)</f>
        <v>-9.584756087464387E-2</v>
      </c>
      <c r="G126" s="14"/>
      <c r="H126" s="21">
        <f>+H30-H32+H121</f>
        <v>-55738.82000000008</v>
      </c>
      <c r="I126" s="14"/>
      <c r="J126" s="22">
        <f>IF(H$12=0,0,H126/H$12)</f>
        <v>-5.4955789034634765E-2</v>
      </c>
      <c r="K126" s="16"/>
      <c r="L126" s="21">
        <f>+D126-H126</f>
        <v>-45790.360000000219</v>
      </c>
      <c r="M126" s="16"/>
      <c r="N126" s="22">
        <f>IF(H126=0,0,L126/H126)</f>
        <v>0.82151649424943252</v>
      </c>
      <c r="O126" s="29"/>
      <c r="P126" s="21">
        <f>+P30-P32+P121</f>
        <v>1303852.0900000017</v>
      </c>
      <c r="Q126" s="14"/>
      <c r="R126" s="22">
        <f>IF(P$12=0,0,P126/P$12)</f>
        <v>0.12726779902592483</v>
      </c>
      <c r="S126" s="14"/>
      <c r="T126" s="21">
        <f>+T30-T32+T121</f>
        <v>1769846.6600000011</v>
      </c>
      <c r="U126" s="14"/>
      <c r="V126" s="22">
        <f>IF(T$12=0,0,T126/T$12)</f>
        <v>0.17454114374622523</v>
      </c>
      <c r="W126" s="16"/>
      <c r="X126" s="21">
        <f>+P126-T126</f>
        <v>-465994.56999999937</v>
      </c>
      <c r="Y126" s="16"/>
      <c r="Z126" s="22">
        <f>IF(T126=0,0,X126/T126)</f>
        <v>-0.26329657847307464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1"/>
      <c r="B128" s="10" t="s">
        <v>13</v>
      </c>
      <c r="C128" s="10"/>
      <c r="D128" s="4">
        <v>76279.83</v>
      </c>
      <c r="E128" s="4"/>
      <c r="F128" s="12">
        <f>IF(D$12=0,0,D128/D$12)</f>
        <v>7.201117599327074E-2</v>
      </c>
      <c r="G128" s="4"/>
      <c r="H128" s="4">
        <v>46943.19</v>
      </c>
      <c r="I128" s="4"/>
      <c r="J128" s="12">
        <f>IF(H$12=0,0,H128/H$12)</f>
        <v>4.6283721941956658E-2</v>
      </c>
      <c r="K128" s="4"/>
      <c r="L128" s="4">
        <f>+D128-H128</f>
        <v>29336.639999999999</v>
      </c>
      <c r="M128" s="4"/>
      <c r="N128" s="12">
        <f>IF(H128=0,0,L128/H128)</f>
        <v>0.62493920843470585</v>
      </c>
      <c r="O128" s="10"/>
      <c r="P128" s="4">
        <v>1068403.06</v>
      </c>
      <c r="Q128" s="4"/>
      <c r="R128" s="12">
        <f>IF(P$12=0,0,P128/P$12)</f>
        <v>0.1042858365313223</v>
      </c>
      <c r="S128" s="4"/>
      <c r="T128" s="4">
        <v>1031749.5900000001</v>
      </c>
      <c r="U128" s="4"/>
      <c r="V128" s="12">
        <f>IF(T$12=0,0,T128/T$12)</f>
        <v>0.10175048356918043</v>
      </c>
      <c r="W128" s="4"/>
      <c r="X128" s="4">
        <f>+P128-T128</f>
        <v>36653.469999999972</v>
      </c>
      <c r="Y128" s="4"/>
      <c r="Z128" s="12">
        <f>IF(T128=0,0,X128/T128)</f>
        <v>3.5525548403658652E-2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4</v>
      </c>
      <c r="C130" s="28"/>
      <c r="D130" s="34">
        <f>+D126-D128</f>
        <v>-177809.0100000003</v>
      </c>
      <c r="E130" s="14"/>
      <c r="F130" s="31">
        <f>IF(D$12=0,0,D130/D$12)</f>
        <v>-0.16785873686791461</v>
      </c>
      <c r="G130" s="14"/>
      <c r="H130" s="34">
        <f>+H126-H128</f>
        <v>-102682.01000000008</v>
      </c>
      <c r="I130" s="14"/>
      <c r="J130" s="31">
        <f>IF(H$12=0,0,H130/H$12)</f>
        <v>-0.10123951097659142</v>
      </c>
      <c r="K130" s="16"/>
      <c r="L130" s="34">
        <f>D130-H130</f>
        <v>-75127.000000000218</v>
      </c>
      <c r="M130" s="16"/>
      <c r="N130" s="31">
        <f>IF(H130=0,0,L130/H130)</f>
        <v>0.73164715026517457</v>
      </c>
      <c r="O130" s="29"/>
      <c r="P130" s="34">
        <f>+P126-P128</f>
        <v>235449.03000000166</v>
      </c>
      <c r="Q130" s="14"/>
      <c r="R130" s="31">
        <f>IF(P$12=0,0,P130/P$12)</f>
        <v>2.2981962494602527E-2</v>
      </c>
      <c r="S130" s="14"/>
      <c r="T130" s="34">
        <f>+T126-T128</f>
        <v>738097.070000001</v>
      </c>
      <c r="U130" s="14"/>
      <c r="V130" s="31">
        <f>IF(T$12=0,0,T130/T$12)</f>
        <v>7.2790660177044803E-2</v>
      </c>
      <c r="W130" s="16"/>
      <c r="X130" s="34">
        <f>P130-T130</f>
        <v>-502648.03999999934</v>
      </c>
      <c r="Y130" s="16"/>
      <c r="Z130" s="31">
        <f>IF(T130=0,0,X130/T130)</f>
        <v>-0.68100533172418454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5</v>
      </c>
      <c r="C133" s="28"/>
      <c r="D133" s="30">
        <f>SUM(D130:D132)</f>
        <v>-177809.0100000003</v>
      </c>
      <c r="E133" s="14"/>
      <c r="F133" s="33">
        <f>IF(D$12=0,0,D133/D$12)</f>
        <v>-0.16785873686791461</v>
      </c>
      <c r="G133" s="14"/>
      <c r="H133" s="30">
        <f>SUM(H130:H132)</f>
        <v>-102682.01000000008</v>
      </c>
      <c r="I133" s="14"/>
      <c r="J133" s="33">
        <f>IF(H$12=0,0,H133/H$12)</f>
        <v>-0.10123951097659142</v>
      </c>
      <c r="K133" s="16"/>
      <c r="L133" s="30">
        <f>+D133-H133</f>
        <v>-75127.000000000218</v>
      </c>
      <c r="M133" s="16"/>
      <c r="N133" s="33">
        <f>IF(H133=0,0,L133/H133)</f>
        <v>0.73164715026517457</v>
      </c>
      <c r="O133" s="29"/>
      <c r="P133" s="30">
        <f>SUM(P130:P132)</f>
        <v>235449.03000000166</v>
      </c>
      <c r="Q133" s="14"/>
      <c r="R133" s="33">
        <f>IF(P$12=0,0,P133/P$12)</f>
        <v>2.2981962494602527E-2</v>
      </c>
      <c r="S133" s="14"/>
      <c r="T133" s="30">
        <f>SUM(T130:T132)</f>
        <v>738097.070000001</v>
      </c>
      <c r="U133" s="14"/>
      <c r="V133" s="33">
        <f>IF(T$12=0,0,T133/T$12)</f>
        <v>7.2790660177044803E-2</v>
      </c>
      <c r="W133" s="16"/>
      <c r="X133" s="30">
        <f>+P133-T133</f>
        <v>-502648.03999999934</v>
      </c>
      <c r="Y133" s="16"/>
      <c r="Z133" s="33">
        <f>IF(T133=0,0,X133/T133)</f>
        <v>-0.68100533172418454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1">
        <v>43879.553408680556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5" t="s">
        <v>313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8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591479.30000000005</v>
      </c>
      <c r="E12" s="4"/>
      <c r="F12" s="12"/>
      <c r="G12" s="4"/>
      <c r="H12" s="4">
        <f>SUM(OSRRefH13x_0)</f>
        <v>582821.44000000006</v>
      </c>
      <c r="I12" s="4"/>
      <c r="J12" s="12"/>
      <c r="K12" s="4"/>
      <c r="L12" s="4">
        <f t="shared" ref="L12:L31" si="0">+D12-H12</f>
        <v>8657.859999999986</v>
      </c>
      <c r="M12" s="4"/>
      <c r="N12" s="12">
        <f t="shared" ref="N12:N31" si="1">IF(H12=0,0,L12/H12)</f>
        <v>1.4855081515189258E-2</v>
      </c>
      <c r="O12" s="10"/>
      <c r="P12" s="4">
        <f>SUM(OSRRefP13x_0)</f>
        <v>5315629.1700000009</v>
      </c>
      <c r="Q12" s="4"/>
      <c r="R12" s="12"/>
      <c r="S12" s="4"/>
      <c r="T12" s="4">
        <f>SUM(OSRRefT13x_0)</f>
        <v>5410519.54</v>
      </c>
      <c r="U12" s="4"/>
      <c r="V12" s="12"/>
      <c r="W12" s="4"/>
      <c r="X12" s="4">
        <f t="shared" ref="X12:X31" si="2">+P12-T12</f>
        <v>-94890.36999999918</v>
      </c>
      <c r="Y12" s="4"/>
      <c r="Z12" s="12">
        <f t="shared" ref="Z12:Z31" si="3">IF(T12=0,0,X12/T12)</f>
        <v>-1.753812536827086E-2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--21457.4</f>
        <v>21457.4</v>
      </c>
      <c r="E13" s="2"/>
      <c r="F13" s="19"/>
      <c r="G13" s="2"/>
      <c r="H13" s="2">
        <f>--22566.65</f>
        <v>22566.65</v>
      </c>
      <c r="I13" s="2"/>
      <c r="J13" s="19"/>
      <c r="K13" s="2"/>
      <c r="L13" s="2">
        <f t="shared" si="0"/>
        <v>-1109.25</v>
      </c>
      <c r="M13" s="2"/>
      <c r="N13" s="19">
        <f t="shared" si="1"/>
        <v>-4.9154393762476926E-2</v>
      </c>
      <c r="O13" s="11"/>
      <c r="P13" s="2">
        <f>--211406.28</f>
        <v>211406.28</v>
      </c>
      <c r="Q13" s="2"/>
      <c r="R13" s="19"/>
      <c r="S13" s="2"/>
      <c r="T13" s="2">
        <f>--220038.42</f>
        <v>220038.42</v>
      </c>
      <c r="U13" s="2"/>
      <c r="V13" s="19"/>
      <c r="W13" s="2"/>
      <c r="X13" s="2">
        <f t="shared" si="2"/>
        <v>-8632.140000000014</v>
      </c>
      <c r="Y13" s="2"/>
      <c r="Z13" s="19">
        <f t="shared" si="3"/>
        <v>-3.923014898943563E-2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--302.09</f>
        <v>302.08999999999997</v>
      </c>
      <c r="E15" s="2"/>
      <c r="F15" s="19"/>
      <c r="G15" s="2"/>
      <c r="H15" s="2">
        <f>--203.72</f>
        <v>203.72</v>
      </c>
      <c r="I15" s="2"/>
      <c r="J15" s="19"/>
      <c r="K15" s="2"/>
      <c r="L15" s="2">
        <f t="shared" si="0"/>
        <v>98.369999999999976</v>
      </c>
      <c r="M15" s="2"/>
      <c r="N15" s="19">
        <f t="shared" si="1"/>
        <v>0.48286864323581374</v>
      </c>
      <c r="O15" s="11"/>
      <c r="P15" s="2">
        <f>--2504.01</f>
        <v>2504.0100000000002</v>
      </c>
      <c r="Q15" s="2"/>
      <c r="R15" s="19"/>
      <c r="S15" s="2"/>
      <c r="T15" s="2">
        <f>--1522.89</f>
        <v>1522.89</v>
      </c>
      <c r="U15" s="2"/>
      <c r="V15" s="19"/>
      <c r="W15" s="2"/>
      <c r="X15" s="2">
        <f t="shared" si="2"/>
        <v>981.12000000000012</v>
      </c>
      <c r="Y15" s="2"/>
      <c r="Z15" s="19">
        <f t="shared" si="3"/>
        <v>0.64424876386344387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--43102.12</f>
        <v>43102.12</v>
      </c>
      <c r="E16" s="2"/>
      <c r="F16" s="19"/>
      <c r="G16" s="2"/>
      <c r="H16" s="2">
        <f>--44158.36</f>
        <v>44158.36</v>
      </c>
      <c r="I16" s="2"/>
      <c r="J16" s="19"/>
      <c r="K16" s="2"/>
      <c r="L16" s="2">
        <f t="shared" si="0"/>
        <v>-1056.239999999998</v>
      </c>
      <c r="M16" s="2"/>
      <c r="N16" s="19">
        <f t="shared" si="1"/>
        <v>-2.3919366570678755E-2</v>
      </c>
      <c r="O16" s="11"/>
      <c r="P16" s="2">
        <f>--475198.87</f>
        <v>475198.87</v>
      </c>
      <c r="Q16" s="2"/>
      <c r="R16" s="19"/>
      <c r="S16" s="2"/>
      <c r="T16" s="2">
        <f>--515797.73</f>
        <v>515797.73</v>
      </c>
      <c r="U16" s="2"/>
      <c r="V16" s="19"/>
      <c r="W16" s="2"/>
      <c r="X16" s="2">
        <f t="shared" si="2"/>
        <v>-40598.859999999986</v>
      </c>
      <c r="Y16" s="2"/>
      <c r="Z16" s="19">
        <f t="shared" si="3"/>
        <v>-7.8710815574934742E-2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--120705.79</f>
        <v>120705.79</v>
      </c>
      <c r="E17" s="2"/>
      <c r="F17" s="19"/>
      <c r="G17" s="2"/>
      <c r="H17" s="2">
        <f>--118024.7</f>
        <v>118024.7</v>
      </c>
      <c r="I17" s="2"/>
      <c r="J17" s="19"/>
      <c r="K17" s="2"/>
      <c r="L17" s="2">
        <f t="shared" si="0"/>
        <v>2681.0899999999965</v>
      </c>
      <c r="M17" s="2"/>
      <c r="N17" s="19">
        <f t="shared" si="1"/>
        <v>2.2716346663028981E-2</v>
      </c>
      <c r="O17" s="11"/>
      <c r="P17" s="2">
        <f>--657002.44</f>
        <v>657002.43999999994</v>
      </c>
      <c r="Q17" s="2"/>
      <c r="R17" s="19"/>
      <c r="S17" s="2"/>
      <c r="T17" s="2">
        <f>--792014.39</f>
        <v>792014.39</v>
      </c>
      <c r="U17" s="2"/>
      <c r="V17" s="19"/>
      <c r="W17" s="2"/>
      <c r="X17" s="2">
        <f t="shared" si="2"/>
        <v>-135011.95000000007</v>
      </c>
      <c r="Y17" s="2"/>
      <c r="Z17" s="19">
        <f t="shared" si="3"/>
        <v>-0.17046653659916466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--9441.36</f>
        <v>9441.36</v>
      </c>
      <c r="E18" s="2"/>
      <c r="F18" s="19"/>
      <c r="G18" s="2"/>
      <c r="H18" s="2">
        <f>--6021.78</f>
        <v>6021.78</v>
      </c>
      <c r="I18" s="2"/>
      <c r="J18" s="19"/>
      <c r="K18" s="2"/>
      <c r="L18" s="2">
        <f t="shared" si="0"/>
        <v>3419.5800000000008</v>
      </c>
      <c r="M18" s="2"/>
      <c r="N18" s="19">
        <f t="shared" si="1"/>
        <v>0.56786863684824107</v>
      </c>
      <c r="O18" s="11"/>
      <c r="P18" s="2">
        <f>--95873.23</f>
        <v>95873.23</v>
      </c>
      <c r="Q18" s="2"/>
      <c r="R18" s="19"/>
      <c r="S18" s="2"/>
      <c r="T18" s="2">
        <f>--88072.74</f>
        <v>88072.74</v>
      </c>
      <c r="U18" s="2"/>
      <c r="V18" s="19"/>
      <c r="W18" s="2"/>
      <c r="X18" s="2">
        <f t="shared" si="2"/>
        <v>7800.4899999999907</v>
      </c>
      <c r="Y18" s="2"/>
      <c r="Z18" s="19">
        <f t="shared" si="3"/>
        <v>8.8568721717979818E-2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--31360</f>
        <v>31360</v>
      </c>
      <c r="E19" s="2"/>
      <c r="F19" s="19"/>
      <c r="G19" s="2"/>
      <c r="H19" s="2">
        <f>--38451.58</f>
        <v>38451.58</v>
      </c>
      <c r="I19" s="2"/>
      <c r="J19" s="19"/>
      <c r="K19" s="2"/>
      <c r="L19" s="2">
        <f t="shared" si="0"/>
        <v>-7091.5800000000017</v>
      </c>
      <c r="M19" s="2"/>
      <c r="N19" s="19">
        <f t="shared" si="1"/>
        <v>-0.1844288323132626</v>
      </c>
      <c r="O19" s="11"/>
      <c r="P19" s="2">
        <f>--303213.95</f>
        <v>303213.95</v>
      </c>
      <c r="Q19" s="2"/>
      <c r="R19" s="19"/>
      <c r="S19" s="2"/>
      <c r="T19" s="2">
        <f>--354772.53</f>
        <v>354772.53</v>
      </c>
      <c r="U19" s="2"/>
      <c r="V19" s="19"/>
      <c r="W19" s="2"/>
      <c r="X19" s="2">
        <f t="shared" si="2"/>
        <v>-51558.580000000016</v>
      </c>
      <c r="Y19" s="2"/>
      <c r="Z19" s="19">
        <f t="shared" si="3"/>
        <v>-0.14532855742805117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--7736.89</f>
        <v>7736.89</v>
      </c>
      <c r="E21" s="2"/>
      <c r="F21" s="19"/>
      <c r="G21" s="2"/>
      <c r="H21" s="2">
        <f>--9176.5</f>
        <v>9176.5</v>
      </c>
      <c r="I21" s="2"/>
      <c r="J21" s="19"/>
      <c r="K21" s="2"/>
      <c r="L21" s="2">
        <f t="shared" si="0"/>
        <v>-1439.6099999999997</v>
      </c>
      <c r="M21" s="2"/>
      <c r="N21" s="19">
        <f t="shared" si="1"/>
        <v>-0.15688007410232657</v>
      </c>
      <c r="O21" s="11"/>
      <c r="P21" s="2">
        <f>--95636.1</f>
        <v>95636.1</v>
      </c>
      <c r="Q21" s="2"/>
      <c r="R21" s="19"/>
      <c r="S21" s="2"/>
      <c r="T21" s="2">
        <f>--130787.25</f>
        <v>130787.25</v>
      </c>
      <c r="U21" s="2"/>
      <c r="V21" s="19"/>
      <c r="W21" s="2"/>
      <c r="X21" s="2">
        <f t="shared" si="2"/>
        <v>-35151.149999999994</v>
      </c>
      <c r="Y21" s="2"/>
      <c r="Z21" s="19">
        <f t="shared" si="3"/>
        <v>-0.2687658774077748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--91062.58</f>
        <v>91062.58</v>
      </c>
      <c r="E22" s="2"/>
      <c r="F22" s="19"/>
      <c r="G22" s="2"/>
      <c r="H22" s="2">
        <f>--79240.42</f>
        <v>79240.42</v>
      </c>
      <c r="I22" s="2"/>
      <c r="J22" s="19"/>
      <c r="K22" s="2"/>
      <c r="L22" s="2">
        <f t="shared" si="0"/>
        <v>11822.160000000003</v>
      </c>
      <c r="M22" s="2"/>
      <c r="N22" s="19">
        <f t="shared" si="1"/>
        <v>0.14919355551118993</v>
      </c>
      <c r="O22" s="11"/>
      <c r="P22" s="2">
        <f>--830184.3</f>
        <v>830184.3</v>
      </c>
      <c r="Q22" s="2"/>
      <c r="R22" s="19"/>
      <c r="S22" s="2"/>
      <c r="T22" s="2">
        <f>--749148.72</f>
        <v>749148.72</v>
      </c>
      <c r="U22" s="2"/>
      <c r="V22" s="19"/>
      <c r="W22" s="2"/>
      <c r="X22" s="2">
        <f t="shared" si="2"/>
        <v>81035.580000000075</v>
      </c>
      <c r="Y22" s="2"/>
      <c r="Z22" s="19">
        <f t="shared" si="3"/>
        <v>0.10817021752369819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--1.59</f>
        <v>1.59</v>
      </c>
      <c r="E23" s="2"/>
      <c r="F23" s="19"/>
      <c r="G23" s="2"/>
      <c r="H23" s="2">
        <f t="shared" ref="H23:H24" si="4">0</f>
        <v>0</v>
      </c>
      <c r="I23" s="2"/>
      <c r="J23" s="19"/>
      <c r="K23" s="2"/>
      <c r="L23" s="2">
        <f t="shared" si="0"/>
        <v>1.59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--8.02</f>
        <v>8.02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8.02</v>
      </c>
      <c r="M24" s="2"/>
      <c r="N24" s="19">
        <f t="shared" si="1"/>
        <v>0</v>
      </c>
      <c r="O24" s="11"/>
      <c r="P24" s="2">
        <f>--8.41</f>
        <v>8.41</v>
      </c>
      <c r="Q24" s="2"/>
      <c r="R24" s="19"/>
      <c r="S24" s="2"/>
      <c r="T24" s="2">
        <f>--53.94</f>
        <v>53.94</v>
      </c>
      <c r="U24" s="2"/>
      <c r="V24" s="19"/>
      <c r="W24" s="2"/>
      <c r="X24" s="2">
        <f t="shared" si="2"/>
        <v>-45.53</v>
      </c>
      <c r="Y24" s="2"/>
      <c r="Z24" s="19">
        <f t="shared" si="3"/>
        <v>-0.84408602150537637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--132.68</f>
        <v>132.68</v>
      </c>
      <c r="E25" s="2"/>
      <c r="F25" s="19"/>
      <c r="G25" s="2"/>
      <c r="H25" s="2">
        <f>--238.46</f>
        <v>238.46</v>
      </c>
      <c r="I25" s="2"/>
      <c r="J25" s="19"/>
      <c r="K25" s="2"/>
      <c r="L25" s="2">
        <f t="shared" si="0"/>
        <v>-105.78</v>
      </c>
      <c r="M25" s="2"/>
      <c r="N25" s="19">
        <f t="shared" si="1"/>
        <v>-0.44359641029942126</v>
      </c>
      <c r="O25" s="11"/>
      <c r="P25" s="2">
        <f>--1282.78</f>
        <v>1282.78</v>
      </c>
      <c r="Q25" s="2"/>
      <c r="R25" s="19"/>
      <c r="S25" s="2"/>
      <c r="T25" s="2">
        <f>--1639.95</f>
        <v>1639.95</v>
      </c>
      <c r="U25" s="2"/>
      <c r="V25" s="19"/>
      <c r="W25" s="2"/>
      <c r="X25" s="2">
        <f t="shared" si="2"/>
        <v>-357.17000000000007</v>
      </c>
      <c r="Y25" s="2"/>
      <c r="Z25" s="19">
        <f t="shared" si="3"/>
        <v>-0.21779322540321355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--157698.26</f>
        <v>157698.26</v>
      </c>
      <c r="E26" s="2"/>
      <c r="F26" s="19"/>
      <c r="G26" s="2"/>
      <c r="H26" s="2">
        <f>--158550.1</f>
        <v>158550.1</v>
      </c>
      <c r="I26" s="2"/>
      <c r="J26" s="19"/>
      <c r="K26" s="2"/>
      <c r="L26" s="2">
        <f t="shared" si="0"/>
        <v>-851.83999999999651</v>
      </c>
      <c r="M26" s="2"/>
      <c r="N26" s="19">
        <f t="shared" si="1"/>
        <v>-5.3726866145148849E-3</v>
      </c>
      <c r="O26" s="11"/>
      <c r="P26" s="2">
        <f>--1687315.5</f>
        <v>1687315.5</v>
      </c>
      <c r="Q26" s="2"/>
      <c r="R26" s="19"/>
      <c r="S26" s="2"/>
      <c r="T26" s="2">
        <f>--1630246.41</f>
        <v>1630246.41</v>
      </c>
      <c r="U26" s="2"/>
      <c r="V26" s="19"/>
      <c r="W26" s="2"/>
      <c r="X26" s="2">
        <f t="shared" si="2"/>
        <v>57069.090000000084</v>
      </c>
      <c r="Y26" s="2"/>
      <c r="Z26" s="19">
        <f t="shared" si="3"/>
        <v>3.5006419673698337E-2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--4794.1</f>
        <v>4794.1000000000004</v>
      </c>
      <c r="E27" s="2"/>
      <c r="F27" s="19"/>
      <c r="G27" s="2"/>
      <c r="H27" s="2">
        <f>--4850.4</f>
        <v>4850.3999999999996</v>
      </c>
      <c r="I27" s="2"/>
      <c r="J27" s="19"/>
      <c r="K27" s="2"/>
      <c r="L27" s="2">
        <f t="shared" si="0"/>
        <v>-56.299999999999272</v>
      </c>
      <c r="M27" s="2"/>
      <c r="N27" s="19">
        <f t="shared" si="1"/>
        <v>-1.1607290120402292E-2</v>
      </c>
      <c r="O27" s="11"/>
      <c r="P27" s="2">
        <f>--39428.9</f>
        <v>39428.9</v>
      </c>
      <c r="Q27" s="2"/>
      <c r="R27" s="19"/>
      <c r="S27" s="2"/>
      <c r="T27" s="2">
        <f>--45353.92</f>
        <v>45353.919999999998</v>
      </c>
      <c r="U27" s="2"/>
      <c r="V27" s="19"/>
      <c r="W27" s="2"/>
      <c r="X27" s="2">
        <f t="shared" si="2"/>
        <v>-5925.0199999999968</v>
      </c>
      <c r="Y27" s="2"/>
      <c r="Z27" s="19">
        <f t="shared" si="3"/>
        <v>-0.13063964482011692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--715</f>
        <v>715</v>
      </c>
      <c r="E28" s="2"/>
      <c r="F28" s="19"/>
      <c r="G28" s="2"/>
      <c r="H28" s="2">
        <f>--391.75</f>
        <v>391.75</v>
      </c>
      <c r="I28" s="2"/>
      <c r="J28" s="19"/>
      <c r="K28" s="2"/>
      <c r="L28" s="2">
        <f t="shared" si="0"/>
        <v>323.25</v>
      </c>
      <c r="M28" s="2"/>
      <c r="N28" s="19">
        <f t="shared" si="1"/>
        <v>0.82514358647096364</v>
      </c>
      <c r="O28" s="11"/>
      <c r="P28" s="2">
        <f>--10275</f>
        <v>10275</v>
      </c>
      <c r="Q28" s="2"/>
      <c r="R28" s="19"/>
      <c r="S28" s="2"/>
      <c r="T28" s="2">
        <f>--8106.88</f>
        <v>8106.88</v>
      </c>
      <c r="U28" s="2"/>
      <c r="V28" s="19"/>
      <c r="W28" s="2"/>
      <c r="X28" s="2">
        <f t="shared" si="2"/>
        <v>2168.12</v>
      </c>
      <c r="Y28" s="2"/>
      <c r="Z28" s="19">
        <f t="shared" si="3"/>
        <v>0.26744197521117863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--58440.71</f>
        <v>58440.71</v>
      </c>
      <c r="E29" s="2"/>
      <c r="F29" s="19"/>
      <c r="G29" s="2"/>
      <c r="H29" s="2">
        <f>--59305.86</f>
        <v>59305.86</v>
      </c>
      <c r="I29" s="2"/>
      <c r="J29" s="19"/>
      <c r="K29" s="2"/>
      <c r="L29" s="2">
        <f t="shared" si="0"/>
        <v>-865.15000000000146</v>
      </c>
      <c r="M29" s="2"/>
      <c r="N29" s="19">
        <f t="shared" si="1"/>
        <v>-1.4587934480673604E-2</v>
      </c>
      <c r="O29" s="11"/>
      <c r="P29" s="2">
        <f>--543161.16</f>
        <v>543161.16</v>
      </c>
      <c r="Q29" s="2"/>
      <c r="R29" s="19"/>
      <c r="S29" s="2"/>
      <c r="T29" s="2">
        <f>--507414.37</f>
        <v>507414.37</v>
      </c>
      <c r="U29" s="2"/>
      <c r="V29" s="19"/>
      <c r="W29" s="2"/>
      <c r="X29" s="2">
        <f t="shared" si="2"/>
        <v>35746.790000000037</v>
      </c>
      <c r="Y29" s="2"/>
      <c r="Z29" s="19">
        <f t="shared" si="3"/>
        <v>7.0448911409426648E-2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>--44520.71</f>
        <v>44520.71</v>
      </c>
      <c r="E30" s="2"/>
      <c r="F30" s="19"/>
      <c r="G30" s="2"/>
      <c r="H30" s="2">
        <f>--41641.16</f>
        <v>41641.160000000003</v>
      </c>
      <c r="I30" s="2"/>
      <c r="J30" s="19"/>
      <c r="K30" s="2"/>
      <c r="L30" s="2">
        <f t="shared" si="0"/>
        <v>2879.5499999999956</v>
      </c>
      <c r="M30" s="2"/>
      <c r="N30" s="19">
        <f t="shared" si="1"/>
        <v>6.9151531801707619E-2</v>
      </c>
      <c r="O30" s="11"/>
      <c r="P30" s="2">
        <f>--363136.65</f>
        <v>363136.65</v>
      </c>
      <c r="Q30" s="2"/>
      <c r="R30" s="19"/>
      <c r="S30" s="2"/>
      <c r="T30" s="2">
        <f>--354025.02</f>
        <v>354025.02</v>
      </c>
      <c r="U30" s="2"/>
      <c r="V30" s="19"/>
      <c r="W30" s="2"/>
      <c r="X30" s="2">
        <f t="shared" si="2"/>
        <v>9111.6300000000047</v>
      </c>
      <c r="Y30" s="2"/>
      <c r="Z30" s="19">
        <f t="shared" si="3"/>
        <v>2.573724874021617E-2</v>
      </c>
    </row>
    <row r="31" spans="1:26" s="24" customFormat="1" hidden="1" outlineLevel="1" x14ac:dyDescent="0.25">
      <c r="A31" s="44"/>
      <c r="B31" s="11" t="str">
        <f>CONCATENATE("          ", "4233", " - ", "SALES RETURN TAXABLE-CANDY")</f>
        <v xml:space="preserve">          4233 - SALES RETURN TAXABLE-CANDY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-1.69</f>
        <v>-1.69</v>
      </c>
      <c r="U31" s="2"/>
      <c r="V31" s="19"/>
      <c r="W31" s="2"/>
      <c r="X31" s="2">
        <f t="shared" si="2"/>
        <v>1.69</v>
      </c>
      <c r="Y31" s="2"/>
      <c r="Z31" s="19">
        <f t="shared" si="3"/>
        <v>-1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8</v>
      </c>
      <c r="C33" s="10"/>
      <c r="D33" s="4">
        <f>SUM(OSRRefD16x_0)</f>
        <v>247914.73999999996</v>
      </c>
      <c r="E33" s="4"/>
      <c r="F33" s="12">
        <f t="shared" ref="F33:F35" si="5">IF(D$12=0,0,D33/D$12)</f>
        <v>0.41914356089891891</v>
      </c>
      <c r="G33" s="4"/>
      <c r="H33" s="4">
        <f>SUM(OSRRefH16x_0)</f>
        <v>228911.32</v>
      </c>
      <c r="I33" s="4"/>
      <c r="J33" s="12">
        <f t="shared" ref="J33:J35" si="6">IF(H$12=0,0,H33/H$12)</f>
        <v>0.39276406852843299</v>
      </c>
      <c r="K33" s="4"/>
      <c r="L33" s="4">
        <f t="shared" ref="L33:L35" si="7">+D33-H33</f>
        <v>19003.419999999955</v>
      </c>
      <c r="M33" s="4"/>
      <c r="N33" s="12">
        <f t="shared" ref="N33:N35" si="8">IF(H33=0,0,L33/H33)</f>
        <v>8.3016514866979724E-2</v>
      </c>
      <c r="O33" s="10"/>
      <c r="P33" s="4">
        <f>SUM(OSRRefP16x_0)</f>
        <v>2038251.14</v>
      </c>
      <c r="Q33" s="4"/>
      <c r="R33" s="12">
        <f t="shared" ref="R33:R35" si="9">IF(P$12=0,0,P33/P$12)</f>
        <v>0.38344494599121925</v>
      </c>
      <c r="S33" s="4"/>
      <c r="T33" s="4">
        <f>SUM(OSRRefT16x_0)</f>
        <v>1972198.3900000001</v>
      </c>
      <c r="U33" s="4"/>
      <c r="V33" s="12">
        <f t="shared" ref="V33:V35" si="10">IF(T$12=0,0,T33/T$12)</f>
        <v>0.36451183207444809</v>
      </c>
      <c r="W33" s="4"/>
      <c r="X33" s="4">
        <f t="shared" ref="X33:X35" si="11">+P33-T33</f>
        <v>66052.749999999767</v>
      </c>
      <c r="Y33" s="4"/>
      <c r="Z33" s="12">
        <f t="shared" ref="Z33:Z35" si="12">IF(T33=0,0,X33/T33)</f>
        <v>3.3491939925982678E-2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275453.83999999997</v>
      </c>
      <c r="E34" s="2"/>
      <c r="F34" s="19">
        <f t="shared" si="5"/>
        <v>0.46570326298823972</v>
      </c>
      <c r="G34" s="2"/>
      <c r="H34" s="2">
        <v>289349.40000000002</v>
      </c>
      <c r="I34" s="2"/>
      <c r="J34" s="19">
        <f t="shared" si="6"/>
        <v>0.49646320492259172</v>
      </c>
      <c r="K34" s="2"/>
      <c r="L34" s="2">
        <f t="shared" si="7"/>
        <v>-13895.560000000056</v>
      </c>
      <c r="M34" s="2"/>
      <c r="N34" s="19">
        <f t="shared" si="8"/>
        <v>-4.8023462291610267E-2</v>
      </c>
      <c r="O34" s="11"/>
      <c r="P34" s="2">
        <v>2108115.65</v>
      </c>
      <c r="Q34" s="2"/>
      <c r="R34" s="19">
        <f t="shared" si="9"/>
        <v>0.39658817095399446</v>
      </c>
      <c r="S34" s="2"/>
      <c r="T34" s="2">
        <v>2036569.61</v>
      </c>
      <c r="U34" s="2"/>
      <c r="V34" s="19">
        <f t="shared" si="10"/>
        <v>0.37640925144870657</v>
      </c>
      <c r="W34" s="2"/>
      <c r="X34" s="2">
        <f t="shared" si="11"/>
        <v>71546.039999999804</v>
      </c>
      <c r="Y34" s="2"/>
      <c r="Z34" s="19">
        <f t="shared" si="12"/>
        <v>3.5130662683314717E-2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-27539.1</v>
      </c>
      <c r="E35" s="2"/>
      <c r="F35" s="19">
        <f t="shared" si="5"/>
        <v>-4.6559702089320788E-2</v>
      </c>
      <c r="G35" s="2"/>
      <c r="H35" s="2">
        <v>-60438.080000000002</v>
      </c>
      <c r="I35" s="2"/>
      <c r="J35" s="19">
        <f t="shared" si="6"/>
        <v>-0.10369913639415873</v>
      </c>
      <c r="K35" s="2"/>
      <c r="L35" s="2">
        <f t="shared" si="7"/>
        <v>32898.980000000003</v>
      </c>
      <c r="M35" s="2"/>
      <c r="N35" s="19">
        <f t="shared" si="8"/>
        <v>-0.5443419115895145</v>
      </c>
      <c r="O35" s="11"/>
      <c r="P35" s="2">
        <v>-69864.509999999995</v>
      </c>
      <c r="Q35" s="2"/>
      <c r="R35" s="19">
        <f t="shared" si="9"/>
        <v>-1.3143224962775193E-2</v>
      </c>
      <c r="S35" s="2"/>
      <c r="T35" s="2">
        <v>-64371.219999999994</v>
      </c>
      <c r="U35" s="2"/>
      <c r="V35" s="19">
        <f t="shared" si="10"/>
        <v>-1.1897419374258464E-2</v>
      </c>
      <c r="W35" s="2"/>
      <c r="X35" s="2">
        <f t="shared" si="11"/>
        <v>-5493.2900000000009</v>
      </c>
      <c r="Y35" s="2"/>
      <c r="Z35" s="19">
        <f t="shared" si="12"/>
        <v>8.5337671089657785E-2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1">
        <f>D12-D33</f>
        <v>343564.56000000006</v>
      </c>
      <c r="E37" s="14"/>
      <c r="F37" s="22">
        <f>IF(D$12=0,0,D37/D$12)</f>
        <v>0.58085643910108098</v>
      </c>
      <c r="G37" s="14"/>
      <c r="H37" s="21">
        <f>H12-H33</f>
        <v>353910.12000000005</v>
      </c>
      <c r="I37" s="14"/>
      <c r="J37" s="22">
        <f>IF(H$12=0,0,H37/H$12)</f>
        <v>0.60723593147156707</v>
      </c>
      <c r="K37" s="16"/>
      <c r="L37" s="21">
        <f>+D37-H37</f>
        <v>-10345.559999999998</v>
      </c>
      <c r="M37" s="16"/>
      <c r="N37" s="22">
        <f>IF(H37=0,0,L37/H37)</f>
        <v>-2.9232167760560212E-2</v>
      </c>
      <c r="O37" s="29"/>
      <c r="P37" s="21">
        <f>P12-P33</f>
        <v>3277378.0300000012</v>
      </c>
      <c r="Q37" s="14"/>
      <c r="R37" s="22">
        <f>IF(P$12=0,0,P37/P$12)</f>
        <v>0.61655505400878086</v>
      </c>
      <c r="S37" s="14"/>
      <c r="T37" s="21">
        <f>T12-T33</f>
        <v>3438321.15</v>
      </c>
      <c r="U37" s="14"/>
      <c r="V37" s="22">
        <f>IF(T$12=0,0,T37/T$12)</f>
        <v>0.63548816792555196</v>
      </c>
      <c r="W37" s="16"/>
      <c r="X37" s="21">
        <f>+P37-T37</f>
        <v>-160943.11999999871</v>
      </c>
      <c r="Y37" s="16"/>
      <c r="Z37" s="22">
        <f>IF(T37=0,0,X37/T37)</f>
        <v>-4.6808635080524318E-2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0">
        <f>SUM(OSRRefD22x_0)</f>
        <v>599498.27999999991</v>
      </c>
      <c r="E39" s="20"/>
      <c r="F39" s="32">
        <f t="shared" ref="F39:F49" si="13">IF(D$12=0,0,D39/D$12)</f>
        <v>1.0135574989691098</v>
      </c>
      <c r="G39" s="20"/>
      <c r="H39" s="20">
        <f>SUM(OSRRefH22x_0)</f>
        <v>556778.09000000008</v>
      </c>
      <c r="I39" s="20"/>
      <c r="J39" s="32">
        <f t="shared" ref="J39:J49" si="14">IF(H$12=0,0,H39/H$12)</f>
        <v>0.95531504469018846</v>
      </c>
      <c r="K39" s="4"/>
      <c r="L39" s="20">
        <f t="shared" ref="L39:L49" si="15">+D39-H39</f>
        <v>42720.189999999828</v>
      </c>
      <c r="M39" s="4"/>
      <c r="N39" s="32">
        <f t="shared" ref="N39:N49" si="16">IF(H39=0,0,L39/H39)</f>
        <v>7.6727498382703638E-2</v>
      </c>
      <c r="O39" s="10"/>
      <c r="P39" s="20">
        <f>SUM(OSRRefP22x_0)</f>
        <v>4108260.9600000004</v>
      </c>
      <c r="Q39" s="20"/>
      <c r="R39" s="32">
        <f t="shared" ref="R39:R49" si="17">IF(P$12=0,0,P39/P$12)</f>
        <v>0.77286447730137653</v>
      </c>
      <c r="S39" s="20"/>
      <c r="T39" s="20">
        <f>SUM(OSRRefT22x_0)</f>
        <v>3798237.8000000007</v>
      </c>
      <c r="U39" s="20"/>
      <c r="V39" s="32">
        <f t="shared" ref="V39:V49" si="18">IF(T$12=0,0,T39/T$12)</f>
        <v>0.70200981105781213</v>
      </c>
      <c r="W39" s="4"/>
      <c r="X39" s="20">
        <f t="shared" ref="X39:X49" si="19">+P39-T39</f>
        <v>310023.15999999968</v>
      </c>
      <c r="Y39" s="4"/>
      <c r="Z39" s="32">
        <f t="shared" ref="Z39:Z49" si="20">IF(T39=0,0,X39/T39)</f>
        <v>8.1622893648206976E-2</v>
      </c>
    </row>
    <row r="40" spans="1:26" s="26" customFormat="1" outlineLevel="1" collapsed="1" x14ac:dyDescent="0.25">
      <c r="A40" s="27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80491.280000000013</v>
      </c>
      <c r="E40" s="1"/>
      <c r="F40" s="5">
        <f t="shared" si="13"/>
        <v>0.136084694764466</v>
      </c>
      <c r="G40" s="1"/>
      <c r="H40" s="1">
        <f>SUM(OSRRefH22_0x_0)</f>
        <v>82059.06</v>
      </c>
      <c r="I40" s="1"/>
      <c r="J40" s="5">
        <f t="shared" si="14"/>
        <v>0.1407962274002823</v>
      </c>
      <c r="K40" s="1"/>
      <c r="L40" s="1">
        <f t="shared" si="15"/>
        <v>-1567.7799999999843</v>
      </c>
      <c r="M40" s="1"/>
      <c r="N40" s="5">
        <f t="shared" si="16"/>
        <v>-1.9105507667282372E-2</v>
      </c>
      <c r="O40" s="13"/>
      <c r="P40" s="1">
        <f>SUM(OSRRefP22_0x_0)</f>
        <v>571485.01</v>
      </c>
      <c r="Q40" s="1"/>
      <c r="R40" s="5">
        <f t="shared" si="17"/>
        <v>0.10751032318531729</v>
      </c>
      <c r="S40" s="1"/>
      <c r="T40" s="1">
        <f>SUM(OSRRefT22_0x_0)</f>
        <v>522228.81</v>
      </c>
      <c r="U40" s="1"/>
      <c r="V40" s="5">
        <f t="shared" si="18"/>
        <v>9.6521009884385334E-2</v>
      </c>
      <c r="W40" s="1"/>
      <c r="X40" s="1">
        <f t="shared" si="19"/>
        <v>49256.200000000012</v>
      </c>
      <c r="Y40" s="1"/>
      <c r="Z40" s="5">
        <f t="shared" si="20"/>
        <v>9.4319193152135772E-2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6">
        <v>12768.97</v>
      </c>
      <c r="E41" s="2"/>
      <c r="F41" s="7">
        <f t="shared" si="13"/>
        <v>2.1588194210684971E-2</v>
      </c>
      <c r="G41" s="2"/>
      <c r="H41" s="6">
        <v>10647.75</v>
      </c>
      <c r="I41" s="2"/>
      <c r="J41" s="7">
        <f t="shared" si="14"/>
        <v>1.8269317614671141E-2</v>
      </c>
      <c r="K41" s="2"/>
      <c r="L41" s="6">
        <f t="shared" si="15"/>
        <v>2121.2199999999993</v>
      </c>
      <c r="M41" s="2"/>
      <c r="N41" s="7">
        <f t="shared" si="16"/>
        <v>0.19921767509567742</v>
      </c>
      <c r="O41" s="11"/>
      <c r="P41" s="6">
        <v>107252.23</v>
      </c>
      <c r="Q41" s="2"/>
      <c r="R41" s="7">
        <f t="shared" si="17"/>
        <v>2.017677053269688E-2</v>
      </c>
      <c r="S41" s="2"/>
      <c r="T41" s="6">
        <v>94434.909999999989</v>
      </c>
      <c r="U41" s="2"/>
      <c r="V41" s="7">
        <f t="shared" si="18"/>
        <v>1.7453944912654357E-2</v>
      </c>
      <c r="W41" s="2"/>
      <c r="X41" s="6">
        <f t="shared" si="19"/>
        <v>12817.320000000007</v>
      </c>
      <c r="Y41" s="2"/>
      <c r="Z41" s="7">
        <f t="shared" si="20"/>
        <v>0.13572650198957154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6">
        <v>7172.42</v>
      </c>
      <c r="E42" s="2"/>
      <c r="F42" s="7">
        <f t="shared" si="13"/>
        <v>1.2126240089889873E-2</v>
      </c>
      <c r="G42" s="2"/>
      <c r="H42" s="6">
        <v>5916.17</v>
      </c>
      <c r="I42" s="2"/>
      <c r="J42" s="7">
        <f t="shared" si="14"/>
        <v>1.0150913459875463E-2</v>
      </c>
      <c r="K42" s="2"/>
      <c r="L42" s="6">
        <f t="shared" si="15"/>
        <v>1256.25</v>
      </c>
      <c r="M42" s="2"/>
      <c r="N42" s="7">
        <f t="shared" si="16"/>
        <v>0.21234176840760155</v>
      </c>
      <c r="O42" s="11"/>
      <c r="P42" s="6">
        <v>50538.21</v>
      </c>
      <c r="Q42" s="2"/>
      <c r="R42" s="7">
        <f t="shared" si="17"/>
        <v>9.5074747285277591E-3</v>
      </c>
      <c r="S42" s="2"/>
      <c r="T42" s="6">
        <v>56225.100000000006</v>
      </c>
      <c r="U42" s="2"/>
      <c r="V42" s="7">
        <f t="shared" si="18"/>
        <v>1.0391811652157901E-2</v>
      </c>
      <c r="W42" s="2"/>
      <c r="X42" s="6">
        <f t="shared" si="19"/>
        <v>-5686.8900000000067</v>
      </c>
      <c r="Y42" s="2"/>
      <c r="Z42" s="7">
        <f t="shared" si="20"/>
        <v>-0.10114504020446395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6">
        <v>30040.489999999998</v>
      </c>
      <c r="E43" s="2"/>
      <c r="F43" s="7">
        <f t="shared" si="13"/>
        <v>5.078874273368484E-2</v>
      </c>
      <c r="G43" s="2"/>
      <c r="H43" s="6">
        <v>28661.609999999997</v>
      </c>
      <c r="I43" s="2"/>
      <c r="J43" s="7">
        <f t="shared" si="14"/>
        <v>4.9177343235691527E-2</v>
      </c>
      <c r="K43" s="2"/>
      <c r="L43" s="6">
        <f t="shared" si="15"/>
        <v>1378.880000000001</v>
      </c>
      <c r="M43" s="2"/>
      <c r="N43" s="7">
        <f t="shared" si="16"/>
        <v>4.8108951311527898E-2</v>
      </c>
      <c r="O43" s="11"/>
      <c r="P43" s="6">
        <v>195866.02000000002</v>
      </c>
      <c r="Q43" s="2"/>
      <c r="R43" s="7">
        <f t="shared" si="17"/>
        <v>3.6847194139391026E-2</v>
      </c>
      <c r="S43" s="2"/>
      <c r="T43" s="6">
        <v>188998.31</v>
      </c>
      <c r="U43" s="2"/>
      <c r="V43" s="7">
        <f t="shared" si="18"/>
        <v>3.493163800680036E-2</v>
      </c>
      <c r="W43" s="2"/>
      <c r="X43" s="6">
        <f t="shared" si="19"/>
        <v>6867.710000000021</v>
      </c>
      <c r="Y43" s="2"/>
      <c r="Z43" s="7">
        <f t="shared" si="20"/>
        <v>3.6337414868947884E-2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6">
        <v>565.65</v>
      </c>
      <c r="E44" s="2"/>
      <c r="F44" s="7">
        <f t="shared" si="13"/>
        <v>9.563310161488321E-4</v>
      </c>
      <c r="G44" s="2"/>
      <c r="H44" s="6">
        <v>512.30999999999995</v>
      </c>
      <c r="I44" s="2"/>
      <c r="J44" s="7">
        <f t="shared" si="14"/>
        <v>8.7901707939913793E-4</v>
      </c>
      <c r="K44" s="2"/>
      <c r="L44" s="6">
        <f t="shared" si="15"/>
        <v>53.340000000000032</v>
      </c>
      <c r="M44" s="2"/>
      <c r="N44" s="7">
        <f t="shared" si="16"/>
        <v>0.10411664812320673</v>
      </c>
      <c r="O44" s="11"/>
      <c r="P44" s="6">
        <v>5114.25</v>
      </c>
      <c r="Q44" s="2"/>
      <c r="R44" s="7">
        <f t="shared" si="17"/>
        <v>9.6211564735619039E-4</v>
      </c>
      <c r="S44" s="2"/>
      <c r="T44" s="6">
        <v>4879.3900000000003</v>
      </c>
      <c r="U44" s="2"/>
      <c r="V44" s="7">
        <f t="shared" si="18"/>
        <v>9.0183391149900561E-4</v>
      </c>
      <c r="W44" s="2"/>
      <c r="X44" s="6">
        <f t="shared" si="19"/>
        <v>234.85999999999967</v>
      </c>
      <c r="Y44" s="2"/>
      <c r="Z44" s="7">
        <f t="shared" si="20"/>
        <v>4.813306581355449E-2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6">
        <v>12159.1</v>
      </c>
      <c r="E45" s="2"/>
      <c r="F45" s="7">
        <f t="shared" si="13"/>
        <v>2.0557101491125725E-2</v>
      </c>
      <c r="G45" s="2"/>
      <c r="H45" s="6">
        <v>10939.5</v>
      </c>
      <c r="I45" s="2"/>
      <c r="J45" s="7">
        <f t="shared" si="14"/>
        <v>1.8769899748368898E-2</v>
      </c>
      <c r="K45" s="2"/>
      <c r="L45" s="6">
        <f t="shared" si="15"/>
        <v>1219.6000000000004</v>
      </c>
      <c r="M45" s="2"/>
      <c r="N45" s="7">
        <f t="shared" si="16"/>
        <v>0.11148589972119387</v>
      </c>
      <c r="O45" s="11"/>
      <c r="P45" s="6">
        <v>64119.65</v>
      </c>
      <c r="Q45" s="2"/>
      <c r="R45" s="7">
        <f t="shared" si="17"/>
        <v>1.2062476133939943E-2</v>
      </c>
      <c r="S45" s="2"/>
      <c r="T45" s="6">
        <v>62443.98</v>
      </c>
      <c r="U45" s="2"/>
      <c r="V45" s="7">
        <f t="shared" si="18"/>
        <v>1.1541216982648584E-2</v>
      </c>
      <c r="W45" s="2"/>
      <c r="X45" s="6">
        <f t="shared" si="19"/>
        <v>1675.6699999999983</v>
      </c>
      <c r="Y45" s="2"/>
      <c r="Z45" s="7">
        <f t="shared" si="20"/>
        <v>2.6834772543326006E-2</v>
      </c>
    </row>
    <row r="46" spans="1:26" s="24" customFormat="1" hidden="1" outlineLevel="2" x14ac:dyDescent="0.25">
      <c r="A46" s="25"/>
      <c r="B46" s="11" t="str">
        <f>CONCATENATE("          ", "6117", " - ", "RETIREMENT STAFF HOURLY")</f>
        <v xml:space="preserve">          6117 - RETIREMENT STAFF HOURLY</v>
      </c>
      <c r="C46" s="11"/>
      <c r="D46" s="6">
        <v>193.98</v>
      </c>
      <c r="E46" s="2"/>
      <c r="F46" s="7">
        <f t="shared" si="13"/>
        <v>3.2795737737567479E-4</v>
      </c>
      <c r="G46" s="2"/>
      <c r="H46" s="6">
        <v>56</v>
      </c>
      <c r="I46" s="2"/>
      <c r="J46" s="7">
        <f t="shared" si="14"/>
        <v>9.6084317007967304E-5</v>
      </c>
      <c r="K46" s="2"/>
      <c r="L46" s="6">
        <f t="shared" si="15"/>
        <v>137.97999999999999</v>
      </c>
      <c r="M46" s="2"/>
      <c r="N46" s="7">
        <f t="shared" si="16"/>
        <v>2.4639285714285712</v>
      </c>
      <c r="O46" s="11"/>
      <c r="P46" s="6">
        <v>557.98</v>
      </c>
      <c r="Q46" s="2"/>
      <c r="R46" s="7">
        <f t="shared" si="17"/>
        <v>1.0496970013429284E-4</v>
      </c>
      <c r="S46" s="2"/>
      <c r="T46" s="6">
        <v>420</v>
      </c>
      <c r="U46" s="2"/>
      <c r="V46" s="7">
        <f t="shared" si="18"/>
        <v>7.7626556358393632E-5</v>
      </c>
      <c r="W46" s="2"/>
      <c r="X46" s="6">
        <f t="shared" si="19"/>
        <v>137.98000000000002</v>
      </c>
      <c r="Y46" s="2"/>
      <c r="Z46" s="7">
        <f t="shared" si="20"/>
        <v>0.32852380952380955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6">
        <v>7630.85</v>
      </c>
      <c r="E47" s="2"/>
      <c r="F47" s="7">
        <f t="shared" si="13"/>
        <v>1.2901296799397713E-2</v>
      </c>
      <c r="G47" s="2"/>
      <c r="H47" s="6">
        <v>9036.75</v>
      </c>
      <c r="I47" s="2"/>
      <c r="J47" s="7">
        <f t="shared" si="14"/>
        <v>1.5505177709316937E-2</v>
      </c>
      <c r="K47" s="2"/>
      <c r="L47" s="6">
        <f t="shared" si="15"/>
        <v>-1405.8999999999996</v>
      </c>
      <c r="M47" s="2"/>
      <c r="N47" s="7">
        <f t="shared" si="16"/>
        <v>-0.15557584308517991</v>
      </c>
      <c r="O47" s="11"/>
      <c r="P47" s="6">
        <v>60600.08</v>
      </c>
      <c r="Q47" s="2"/>
      <c r="R47" s="7">
        <f t="shared" si="17"/>
        <v>1.1400358840306385E-2</v>
      </c>
      <c r="S47" s="2"/>
      <c r="T47" s="6">
        <v>52017.14</v>
      </c>
      <c r="U47" s="2"/>
      <c r="V47" s="7">
        <f t="shared" si="18"/>
        <v>9.6140748805058369E-3</v>
      </c>
      <c r="W47" s="2"/>
      <c r="X47" s="6">
        <f t="shared" si="19"/>
        <v>8582.9400000000023</v>
      </c>
      <c r="Y47" s="2"/>
      <c r="Z47" s="7">
        <f t="shared" si="20"/>
        <v>0.16500215121400374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6">
        <v>5829.43</v>
      </c>
      <c r="E48" s="2"/>
      <c r="F48" s="7">
        <f t="shared" si="13"/>
        <v>9.8556788039750494E-3</v>
      </c>
      <c r="G48" s="2"/>
      <c r="H48" s="6">
        <v>12980.52</v>
      </c>
      <c r="I48" s="2"/>
      <c r="J48" s="7">
        <f t="shared" si="14"/>
        <v>2.2271864260861782E-2</v>
      </c>
      <c r="K48" s="2"/>
      <c r="L48" s="6">
        <f t="shared" si="15"/>
        <v>-7151.09</v>
      </c>
      <c r="M48" s="2"/>
      <c r="N48" s="7">
        <f t="shared" si="16"/>
        <v>-0.55090936264494794</v>
      </c>
      <c r="O48" s="11"/>
      <c r="P48" s="6">
        <v>63866.23</v>
      </c>
      <c r="Q48" s="2"/>
      <c r="R48" s="7">
        <f t="shared" si="17"/>
        <v>1.2014801626953972E-2</v>
      </c>
      <c r="S48" s="2"/>
      <c r="T48" s="6">
        <v>39950.1</v>
      </c>
      <c r="U48" s="2"/>
      <c r="V48" s="7">
        <f t="shared" si="18"/>
        <v>7.3837825932701459E-3</v>
      </c>
      <c r="W48" s="2"/>
      <c r="X48" s="6">
        <f t="shared" si="19"/>
        <v>23916.130000000005</v>
      </c>
      <c r="Y48" s="2"/>
      <c r="Z48" s="7">
        <f t="shared" si="20"/>
        <v>0.59865006595728187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6">
        <v>4130.3900000000003</v>
      </c>
      <c r="E49" s="2"/>
      <c r="F49" s="7">
        <f t="shared" si="13"/>
        <v>6.983152242183285E-3</v>
      </c>
      <c r="G49" s="2"/>
      <c r="H49" s="6">
        <v>3308.45</v>
      </c>
      <c r="I49" s="2"/>
      <c r="J49" s="7">
        <f t="shared" si="14"/>
        <v>5.6766099750894536E-3</v>
      </c>
      <c r="K49" s="2"/>
      <c r="L49" s="6">
        <f t="shared" si="15"/>
        <v>821.94000000000051</v>
      </c>
      <c r="M49" s="2"/>
      <c r="N49" s="7">
        <f t="shared" si="16"/>
        <v>0.24843657906270325</v>
      </c>
      <c r="O49" s="11"/>
      <c r="P49" s="6">
        <v>23570.36</v>
      </c>
      <c r="Q49" s="2"/>
      <c r="R49" s="7">
        <f t="shared" si="17"/>
        <v>4.4341618360108437E-3</v>
      </c>
      <c r="S49" s="2"/>
      <c r="T49" s="6">
        <v>22859.88</v>
      </c>
      <c r="U49" s="2"/>
      <c r="V49" s="7">
        <f t="shared" si="18"/>
        <v>4.2250803884907517E-3</v>
      </c>
      <c r="W49" s="2"/>
      <c r="X49" s="6">
        <f t="shared" si="19"/>
        <v>710.47999999999956</v>
      </c>
      <c r="Y49" s="2"/>
      <c r="Z49" s="7">
        <f t="shared" si="20"/>
        <v>3.107977819656094E-2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284570.94999999995</v>
      </c>
      <c r="E50" s="1"/>
      <c r="F50" s="5">
        <f t="shared" ref="F50:F57" si="21">IF(D$12=0,0,D50/D$12)</f>
        <v>0.4811173442587085</v>
      </c>
      <c r="G50" s="1"/>
      <c r="H50" s="1">
        <f>SUM(OSRRefH22_1x_0)</f>
        <v>264183.07</v>
      </c>
      <c r="I50" s="1"/>
      <c r="J50" s="5">
        <f t="shared" ref="J50:J57" si="22">IF(H$12=0,0,H50/H$12)</f>
        <v>0.45328303296460742</v>
      </c>
      <c r="K50" s="1"/>
      <c r="L50" s="1">
        <f t="shared" ref="L50:L57" si="23">+D50-H50</f>
        <v>20387.879999999946</v>
      </c>
      <c r="M50" s="1"/>
      <c r="N50" s="5">
        <f t="shared" ref="N50:N57" si="24">IF(H50=0,0,L50/H50)</f>
        <v>7.7173302588996129E-2</v>
      </c>
      <c r="O50" s="13"/>
      <c r="P50" s="1">
        <f>SUM(OSRRefP22_1x_0)</f>
        <v>1893711.9199999997</v>
      </c>
      <c r="Q50" s="1"/>
      <c r="R50" s="5">
        <f t="shared" ref="R50:R57" si="25">IF(P$12=0,0,P50/P$12)</f>
        <v>0.35625357966797361</v>
      </c>
      <c r="S50" s="1"/>
      <c r="T50" s="1">
        <f>SUM(OSRRefT22_1x_0)</f>
        <v>1745569.8199999998</v>
      </c>
      <c r="U50" s="1"/>
      <c r="V50" s="5">
        <f t="shared" ref="V50:V57" si="26">IF(T$12=0,0,T50/T$12)</f>
        <v>0.3226251762136691</v>
      </c>
      <c r="W50" s="1"/>
      <c r="X50" s="1">
        <f t="shared" ref="X50:X57" si="27">+P50-T50</f>
        <v>148142.09999999986</v>
      </c>
      <c r="Y50" s="1"/>
      <c r="Z50" s="5">
        <f t="shared" ref="Z50:Z57" si="28">IF(T50=0,0,X50/T50)</f>
        <v>8.4867473247217273E-2</v>
      </c>
    </row>
    <row r="51" spans="1:26" s="24" customFormat="1" hidden="1" outlineLevel="2" x14ac:dyDescent="0.25">
      <c r="A51" s="25"/>
      <c r="B51" s="11" t="str">
        <f>CONCATENATE("          ", "6001", " - ", "ADMINISTRATIVE SALARIES")</f>
        <v xml:space="preserve">          6001 - ADMINISTRATIVE SALARIES</v>
      </c>
      <c r="C51" s="11"/>
      <c r="D51" s="6">
        <v>20764.329999999998</v>
      </c>
      <c r="E51" s="2"/>
      <c r="F51" s="7">
        <f t="shared" si="21"/>
        <v>3.5105759406964872E-2</v>
      </c>
      <c r="G51" s="2"/>
      <c r="H51" s="6">
        <v>19626.129999999997</v>
      </c>
      <c r="I51" s="2"/>
      <c r="J51" s="7">
        <f t="shared" si="22"/>
        <v>3.3674344581421017E-2</v>
      </c>
      <c r="K51" s="2"/>
      <c r="L51" s="6">
        <f t="shared" si="23"/>
        <v>1138.2000000000007</v>
      </c>
      <c r="M51" s="2"/>
      <c r="N51" s="7">
        <f t="shared" si="24"/>
        <v>5.7994112950439075E-2</v>
      </c>
      <c r="O51" s="11"/>
      <c r="P51" s="6">
        <v>124998.73999999999</v>
      </c>
      <c r="Q51" s="2"/>
      <c r="R51" s="7">
        <f t="shared" si="25"/>
        <v>2.3515323586803173E-2</v>
      </c>
      <c r="S51" s="2"/>
      <c r="T51" s="6">
        <v>118123.34999999999</v>
      </c>
      <c r="U51" s="2"/>
      <c r="V51" s="7">
        <f t="shared" si="26"/>
        <v>2.1832164014326801E-2</v>
      </c>
      <c r="W51" s="2"/>
      <c r="X51" s="6">
        <f t="shared" si="27"/>
        <v>6875.3899999999994</v>
      </c>
      <c r="Y51" s="2"/>
      <c r="Z51" s="7">
        <f t="shared" si="28"/>
        <v>5.8205172812995906E-2</v>
      </c>
    </row>
    <row r="52" spans="1:26" s="24" customFormat="1" hidden="1" outlineLevel="2" x14ac:dyDescent="0.25">
      <c r="A52" s="25"/>
      <c r="B52" s="11" t="str">
        <f>CONCATENATE("          ", "6002", " - ", "STAFF SALARIES")</f>
        <v xml:space="preserve">          6002 - STAFF SALARIES</v>
      </c>
      <c r="C52" s="11"/>
      <c r="D52" s="6">
        <v>94597.79</v>
      </c>
      <c r="E52" s="2"/>
      <c r="F52" s="7">
        <f t="shared" si="21"/>
        <v>0.15993423607554819</v>
      </c>
      <c r="G52" s="2"/>
      <c r="H52" s="6">
        <v>90919.61</v>
      </c>
      <c r="I52" s="2"/>
      <c r="J52" s="7">
        <f t="shared" si="22"/>
        <v>0.15599908266929918</v>
      </c>
      <c r="K52" s="2"/>
      <c r="L52" s="6">
        <f t="shared" si="23"/>
        <v>3678.179999999993</v>
      </c>
      <c r="M52" s="2"/>
      <c r="N52" s="7">
        <f t="shared" si="24"/>
        <v>4.0455298917362194E-2</v>
      </c>
      <c r="O52" s="11"/>
      <c r="P52" s="6">
        <v>553368.61</v>
      </c>
      <c r="Q52" s="2"/>
      <c r="R52" s="7">
        <f t="shared" si="25"/>
        <v>0.10410218476545832</v>
      </c>
      <c r="S52" s="2"/>
      <c r="T52" s="6">
        <v>529185.56000000006</v>
      </c>
      <c r="U52" s="2"/>
      <c r="V52" s="7">
        <f t="shared" si="26"/>
        <v>9.7806792136638329E-2</v>
      </c>
      <c r="W52" s="2"/>
      <c r="X52" s="6">
        <f t="shared" si="27"/>
        <v>24183.04999999993</v>
      </c>
      <c r="Y52" s="2"/>
      <c r="Z52" s="7">
        <f t="shared" si="28"/>
        <v>4.5698620347841556E-2</v>
      </c>
    </row>
    <row r="53" spans="1:26" s="24" customFormat="1" hidden="1" outlineLevel="2" x14ac:dyDescent="0.25">
      <c r="A53" s="25"/>
      <c r="B53" s="11" t="str">
        <f>CONCATENATE("          ", "6004", " - ", "STAFF HOURLY")</f>
        <v xml:space="preserve">          6004 - STAFF HOURLY</v>
      </c>
      <c r="C53" s="11"/>
      <c r="D53" s="6">
        <v>23998.09</v>
      </c>
      <c r="E53" s="2"/>
      <c r="F53" s="7">
        <f t="shared" si="21"/>
        <v>4.0573000610503188E-2</v>
      </c>
      <c r="G53" s="2"/>
      <c r="H53" s="6">
        <v>13267.1</v>
      </c>
      <c r="I53" s="2"/>
      <c r="J53" s="7">
        <f t="shared" si="22"/>
        <v>2.2763575753150054E-2</v>
      </c>
      <c r="K53" s="2"/>
      <c r="L53" s="6">
        <f t="shared" si="23"/>
        <v>10730.99</v>
      </c>
      <c r="M53" s="2"/>
      <c r="N53" s="7">
        <f t="shared" si="24"/>
        <v>0.80884217349684551</v>
      </c>
      <c r="O53" s="11"/>
      <c r="P53" s="6">
        <v>146090.72</v>
      </c>
      <c r="Q53" s="2"/>
      <c r="R53" s="7">
        <f t="shared" si="25"/>
        <v>2.7483241461706401E-2</v>
      </c>
      <c r="S53" s="2"/>
      <c r="T53" s="6">
        <v>96668.07</v>
      </c>
      <c r="U53" s="2"/>
      <c r="V53" s="7">
        <f t="shared" si="26"/>
        <v>1.7866689009314624E-2</v>
      </c>
      <c r="W53" s="2"/>
      <c r="X53" s="6">
        <f t="shared" si="27"/>
        <v>49422.649999999994</v>
      </c>
      <c r="Y53" s="2"/>
      <c r="Z53" s="7">
        <f t="shared" si="28"/>
        <v>0.51126137099871749</v>
      </c>
    </row>
    <row r="54" spans="1:26" s="24" customFormat="1" hidden="1" outlineLevel="2" x14ac:dyDescent="0.25">
      <c r="A54" s="25"/>
      <c r="B54" s="11" t="str">
        <f>CONCATENATE("          ", "6005", " - ", "TEMPORARY WAGES-HOURLY")</f>
        <v xml:space="preserve">          6005 - TEMPORARY WAGES-HOURLY</v>
      </c>
      <c r="C54" s="11"/>
      <c r="D54" s="6">
        <v>39748.18</v>
      </c>
      <c r="E54" s="2"/>
      <c r="F54" s="7">
        <f t="shared" si="21"/>
        <v>6.7201303579009442E-2</v>
      </c>
      <c r="G54" s="2"/>
      <c r="H54" s="6">
        <v>31086.15</v>
      </c>
      <c r="I54" s="2"/>
      <c r="J54" s="7">
        <f t="shared" si="22"/>
        <v>5.3337348056378978E-2</v>
      </c>
      <c r="K54" s="2"/>
      <c r="L54" s="6">
        <f t="shared" si="23"/>
        <v>8662.0299999999988</v>
      </c>
      <c r="M54" s="2"/>
      <c r="N54" s="7">
        <f t="shared" si="24"/>
        <v>0.27864595647901069</v>
      </c>
      <c r="O54" s="11"/>
      <c r="P54" s="6">
        <v>354891.02</v>
      </c>
      <c r="Q54" s="2"/>
      <c r="R54" s="7">
        <f t="shared" si="25"/>
        <v>6.6763690364803979E-2</v>
      </c>
      <c r="S54" s="2"/>
      <c r="T54" s="6">
        <v>280269.15999999997</v>
      </c>
      <c r="U54" s="2"/>
      <c r="V54" s="7">
        <f t="shared" si="26"/>
        <v>5.1800785105380096E-2</v>
      </c>
      <c r="W54" s="2"/>
      <c r="X54" s="6">
        <f t="shared" si="27"/>
        <v>74621.860000000044</v>
      </c>
      <c r="Y54" s="2"/>
      <c r="Z54" s="7">
        <f t="shared" si="28"/>
        <v>0.26625069986294619</v>
      </c>
    </row>
    <row r="55" spans="1:26" s="24" customFormat="1" hidden="1" outlineLevel="2" x14ac:dyDescent="0.25">
      <c r="A55" s="25"/>
      <c r="B55" s="11" t="str">
        <f>CONCATENATE("          ", "6006", " - ", "TEMPORARY PART TIME")</f>
        <v xml:space="preserve">          6006 - TEMPORARY PART TIME</v>
      </c>
      <c r="C55" s="11"/>
      <c r="D55" s="6">
        <v>670.81</v>
      </c>
      <c r="E55" s="2"/>
      <c r="F55" s="7">
        <f t="shared" si="21"/>
        <v>1.1341225297318096E-3</v>
      </c>
      <c r="G55" s="2"/>
      <c r="H55" s="6">
        <v>757.05</v>
      </c>
      <c r="I55" s="2"/>
      <c r="J55" s="7">
        <f t="shared" si="22"/>
        <v>1.2989398605514578E-3</v>
      </c>
      <c r="K55" s="2"/>
      <c r="L55" s="6">
        <f t="shared" si="23"/>
        <v>-86.240000000000009</v>
      </c>
      <c r="M55" s="2"/>
      <c r="N55" s="7">
        <f t="shared" si="24"/>
        <v>-0.11391585760517801</v>
      </c>
      <c r="O55" s="11"/>
      <c r="P55" s="6">
        <v>21346.89</v>
      </c>
      <c r="Q55" s="2"/>
      <c r="R55" s="7">
        <f t="shared" si="25"/>
        <v>4.0158726873718315E-3</v>
      </c>
      <c r="S55" s="2"/>
      <c r="T55" s="6">
        <v>27529.27</v>
      </c>
      <c r="U55" s="2"/>
      <c r="V55" s="7">
        <f t="shared" si="26"/>
        <v>5.0881010218105597E-3</v>
      </c>
      <c r="W55" s="2"/>
      <c r="X55" s="6">
        <f t="shared" si="27"/>
        <v>-6182.380000000001</v>
      </c>
      <c r="Y55" s="2"/>
      <c r="Z55" s="7">
        <f t="shared" si="28"/>
        <v>-0.22457478894282343</v>
      </c>
    </row>
    <row r="56" spans="1:26" s="24" customFormat="1" hidden="1" outlineLevel="2" x14ac:dyDescent="0.25">
      <c r="A56" s="25"/>
      <c r="B56" s="11" t="str">
        <f>CONCATENATE("          ", "6007", " - ", "STUDENT HOURLY")</f>
        <v xml:space="preserve">          6007 - STUDENT HOURLY</v>
      </c>
      <c r="C56" s="11"/>
      <c r="D56" s="6">
        <v>103404</v>
      </c>
      <c r="E56" s="2"/>
      <c r="F56" s="7">
        <f t="shared" si="21"/>
        <v>0.1748226861024553</v>
      </c>
      <c r="G56" s="2"/>
      <c r="H56" s="6">
        <v>104898.5</v>
      </c>
      <c r="I56" s="2"/>
      <c r="J56" s="7">
        <f t="shared" si="22"/>
        <v>0.17998394156536174</v>
      </c>
      <c r="K56" s="2"/>
      <c r="L56" s="6">
        <f t="shared" si="23"/>
        <v>-1494.5</v>
      </c>
      <c r="M56" s="2"/>
      <c r="N56" s="7">
        <f t="shared" si="24"/>
        <v>-1.424710553535084E-2</v>
      </c>
      <c r="O56" s="11"/>
      <c r="P56" s="6">
        <v>661286.73</v>
      </c>
      <c r="Q56" s="2"/>
      <c r="R56" s="7">
        <f t="shared" si="25"/>
        <v>0.12440422551146468</v>
      </c>
      <c r="S56" s="2"/>
      <c r="T56" s="6">
        <v>640466.74000000011</v>
      </c>
      <c r="U56" s="2"/>
      <c r="V56" s="7">
        <f t="shared" si="26"/>
        <v>0.11837435116258727</v>
      </c>
      <c r="W56" s="2"/>
      <c r="X56" s="6">
        <f t="shared" si="27"/>
        <v>20819.989999999874</v>
      </c>
      <c r="Y56" s="2"/>
      <c r="Z56" s="7">
        <f t="shared" si="28"/>
        <v>3.250752724489623E-2</v>
      </c>
    </row>
    <row r="57" spans="1:26" s="24" customFormat="1" hidden="1" outlineLevel="2" x14ac:dyDescent="0.25">
      <c r="A57" s="25"/>
      <c r="B57" s="11" t="str">
        <f>CONCATENATE("          ", "6008", " - ", "STUDENT HOURLY-FICA EXEMPT")</f>
        <v xml:space="preserve">          6008 - STUDENT HOURLY-FICA EXEMPT</v>
      </c>
      <c r="C57" s="11"/>
      <c r="D57" s="6">
        <v>1387.75</v>
      </c>
      <c r="E57" s="2"/>
      <c r="F57" s="7">
        <f t="shared" si="21"/>
        <v>2.346235954495787E-3</v>
      </c>
      <c r="G57" s="2"/>
      <c r="H57" s="6">
        <v>3628.53</v>
      </c>
      <c r="I57" s="2"/>
      <c r="J57" s="7">
        <f t="shared" si="22"/>
        <v>6.2258004784449929E-3</v>
      </c>
      <c r="K57" s="2"/>
      <c r="L57" s="6">
        <f t="shared" si="23"/>
        <v>-2240.7800000000002</v>
      </c>
      <c r="M57" s="2"/>
      <c r="N57" s="7">
        <f t="shared" si="24"/>
        <v>-0.61754484598446202</v>
      </c>
      <c r="O57" s="11"/>
      <c r="P57" s="6">
        <v>31729.21</v>
      </c>
      <c r="Q57" s="2"/>
      <c r="R57" s="7">
        <f t="shared" si="25"/>
        <v>5.9690412903652557E-3</v>
      </c>
      <c r="S57" s="2"/>
      <c r="T57" s="6">
        <v>53327.67</v>
      </c>
      <c r="U57" s="2"/>
      <c r="V57" s="7">
        <f t="shared" si="26"/>
        <v>9.8562937636114695E-3</v>
      </c>
      <c r="W57" s="2"/>
      <c r="X57" s="6">
        <f t="shared" si="27"/>
        <v>-21598.46</v>
      </c>
      <c r="Y57" s="2"/>
      <c r="Z57" s="7">
        <f t="shared" si="28"/>
        <v>-0.40501413243818829</v>
      </c>
    </row>
    <row r="58" spans="1:26" s="26" customFormat="1" outlineLevel="1" collapsed="1" x14ac:dyDescent="0.25">
      <c r="A58" s="27"/>
      <c r="B58" s="13" t="str">
        <f>CONCATENATE("     ","Advertising/Promo                                 ")</f>
        <v xml:space="preserve">     Advertising/Promo                                 </v>
      </c>
      <c r="C58" s="13"/>
      <c r="D58" s="1">
        <f>SUM(OSRRefD22_2x_0)</f>
        <v>4750.1499999999996</v>
      </c>
      <c r="E58" s="1"/>
      <c r="F58" s="5">
        <f t="shared" ref="F58:F67" si="29">IF(D$12=0,0,D58/D$12)</f>
        <v>8.0309657497734908E-3</v>
      </c>
      <c r="G58" s="1"/>
      <c r="H58" s="1">
        <f>SUM(OSRRefH22_2x_0)</f>
        <v>7879.46</v>
      </c>
      <c r="I58" s="1"/>
      <c r="J58" s="5">
        <f t="shared" ref="J58:J67" si="30">IF(H$12=0,0,H58/H$12)</f>
        <v>1.3519509508778536E-2</v>
      </c>
      <c r="K58" s="1"/>
      <c r="L58" s="1">
        <f t="shared" ref="L58:L67" si="31">+D58-H58</f>
        <v>-3129.3100000000004</v>
      </c>
      <c r="M58" s="1"/>
      <c r="N58" s="5">
        <f t="shared" ref="N58:N67" si="32">IF(H58=0,0,L58/H58)</f>
        <v>-0.39714777408604146</v>
      </c>
      <c r="O58" s="13"/>
      <c r="P58" s="1">
        <f>SUM(OSRRefP22_2x_0)</f>
        <v>26824.99</v>
      </c>
      <c r="Q58" s="1"/>
      <c r="R58" s="5">
        <f t="shared" ref="R58:R67" si="33">IF(P$12=0,0,P58/P$12)</f>
        <v>5.0464374285913551E-3</v>
      </c>
      <c r="S58" s="1"/>
      <c r="T58" s="1">
        <f>SUM(OSRRefT22_2x_0)</f>
        <v>22418.06</v>
      </c>
      <c r="U58" s="1"/>
      <c r="V58" s="5">
        <f t="shared" ref="V58:V67" si="34">IF(T$12=0,0,T58/T$12)</f>
        <v>4.1434209477044046E-3</v>
      </c>
      <c r="W58" s="1"/>
      <c r="X58" s="1">
        <f t="shared" ref="X58:X67" si="35">+P58-T58</f>
        <v>4406.93</v>
      </c>
      <c r="Y58" s="1"/>
      <c r="Z58" s="5">
        <f t="shared" ref="Z58:Z67" si="36">IF(T58=0,0,X58/T58)</f>
        <v>0.19657945424358753</v>
      </c>
    </row>
    <row r="59" spans="1:26" s="24" customFormat="1" hidden="1" outlineLevel="2" x14ac:dyDescent="0.25">
      <c r="A59" s="25"/>
      <c r="B59" s="11" t="str">
        <f>CONCATENATE("          ", "6362", " - ", "ADVERTISING EXPENSE")</f>
        <v xml:space="preserve">          6362 - ADVERTISING EXPENSE</v>
      </c>
      <c r="C59" s="11"/>
      <c r="D59" s="6">
        <v>4750.1499999999996</v>
      </c>
      <c r="E59" s="2"/>
      <c r="F59" s="7">
        <f t="shared" si="29"/>
        <v>8.0309657497734908E-3</v>
      </c>
      <c r="G59" s="2"/>
      <c r="H59" s="6">
        <v>7879.46</v>
      </c>
      <c r="I59" s="2"/>
      <c r="J59" s="7">
        <f t="shared" si="30"/>
        <v>1.3519509508778536E-2</v>
      </c>
      <c r="K59" s="2"/>
      <c r="L59" s="6">
        <f t="shared" si="31"/>
        <v>-3129.3100000000004</v>
      </c>
      <c r="M59" s="2"/>
      <c r="N59" s="7">
        <f t="shared" si="32"/>
        <v>-0.39714777408604146</v>
      </c>
      <c r="O59" s="11"/>
      <c r="P59" s="6">
        <v>26824.99</v>
      </c>
      <c r="Q59" s="2"/>
      <c r="R59" s="7">
        <f t="shared" si="33"/>
        <v>5.0464374285913551E-3</v>
      </c>
      <c r="S59" s="2"/>
      <c r="T59" s="6">
        <v>22418.06</v>
      </c>
      <c r="U59" s="2"/>
      <c r="V59" s="7">
        <f t="shared" si="34"/>
        <v>4.1434209477044046E-3</v>
      </c>
      <c r="W59" s="2"/>
      <c r="X59" s="6">
        <f t="shared" si="35"/>
        <v>4406.93</v>
      </c>
      <c r="Y59" s="2"/>
      <c r="Z59" s="7">
        <f t="shared" si="36"/>
        <v>0.19657945424358753</v>
      </c>
    </row>
    <row r="60" spans="1:26" s="26" customFormat="1" outlineLevel="1" collapsed="1" x14ac:dyDescent="0.25">
      <c r="A60" s="27"/>
      <c r="B60" s="13" t="str">
        <f>CONCATENATE("     ","Bad Debts/Over/Short                              ")</f>
        <v xml:space="preserve">     Bad Debts/Over/Short                              </v>
      </c>
      <c r="C60" s="13"/>
      <c r="D60" s="1">
        <f>SUM(OSRRefD22_3x_0)</f>
        <v>-447.77</v>
      </c>
      <c r="E60" s="1"/>
      <c r="F60" s="5">
        <f t="shared" si="29"/>
        <v>-7.5703410077072853E-4</v>
      </c>
      <c r="G60" s="1"/>
      <c r="H60" s="1">
        <f>SUM(OSRRefH22_3x_0)</f>
        <v>1885.49</v>
      </c>
      <c r="I60" s="1"/>
      <c r="J60" s="5">
        <f t="shared" si="30"/>
        <v>3.2351074799170047E-3</v>
      </c>
      <c r="K60" s="1"/>
      <c r="L60" s="1">
        <f t="shared" si="31"/>
        <v>-2333.2600000000002</v>
      </c>
      <c r="M60" s="1"/>
      <c r="N60" s="5">
        <f t="shared" si="32"/>
        <v>-1.2374820338479653</v>
      </c>
      <c r="O60" s="13"/>
      <c r="P60" s="1">
        <f>SUM(OSRRefP22_3x_0)</f>
        <v>-822.7</v>
      </c>
      <c r="Q60" s="1"/>
      <c r="R60" s="5">
        <f t="shared" si="33"/>
        <v>-1.547700138006429E-4</v>
      </c>
      <c r="S60" s="1"/>
      <c r="T60" s="1">
        <f>SUM(OSRRefT22_3x_0)</f>
        <v>861.04</v>
      </c>
      <c r="U60" s="1"/>
      <c r="V60" s="5">
        <f t="shared" si="34"/>
        <v>1.5914183354007441E-4</v>
      </c>
      <c r="W60" s="1"/>
      <c r="X60" s="1">
        <f t="shared" si="35"/>
        <v>-1683.74</v>
      </c>
      <c r="Y60" s="1"/>
      <c r="Z60" s="5">
        <f t="shared" si="36"/>
        <v>-1.9554724519186102</v>
      </c>
    </row>
    <row r="61" spans="1:26" s="24" customFormat="1" hidden="1" outlineLevel="2" x14ac:dyDescent="0.25">
      <c r="A61" s="25"/>
      <c r="B61" s="11" t="str">
        <f>CONCATENATE("          ", "6272", " - ", "CASH (OVER/SHORT)")</f>
        <v xml:space="preserve">          6272 - CASH (OVER/SHORT)</v>
      </c>
      <c r="C61" s="11"/>
      <c r="D61" s="6">
        <v>-447.77</v>
      </c>
      <c r="E61" s="2"/>
      <c r="F61" s="7">
        <f t="shared" si="29"/>
        <v>-7.5703410077072853E-4</v>
      </c>
      <c r="G61" s="2"/>
      <c r="H61" s="6">
        <v>1885.49</v>
      </c>
      <c r="I61" s="2"/>
      <c r="J61" s="7">
        <f t="shared" si="30"/>
        <v>3.2351074799170047E-3</v>
      </c>
      <c r="K61" s="2"/>
      <c r="L61" s="6">
        <f t="shared" si="31"/>
        <v>-2333.2600000000002</v>
      </c>
      <c r="M61" s="2"/>
      <c r="N61" s="7">
        <f t="shared" si="32"/>
        <v>-1.2374820338479653</v>
      </c>
      <c r="O61" s="11"/>
      <c r="P61" s="6">
        <v>-822.7</v>
      </c>
      <c r="Q61" s="2"/>
      <c r="R61" s="7">
        <f t="shared" si="33"/>
        <v>-1.547700138006429E-4</v>
      </c>
      <c r="S61" s="2"/>
      <c r="T61" s="6">
        <v>861.04</v>
      </c>
      <c r="U61" s="2"/>
      <c r="V61" s="7">
        <f t="shared" si="34"/>
        <v>1.5914183354007441E-4</v>
      </c>
      <c r="W61" s="2"/>
      <c r="X61" s="6">
        <f t="shared" si="35"/>
        <v>-1683.74</v>
      </c>
      <c r="Y61" s="2"/>
      <c r="Z61" s="7">
        <f t="shared" si="36"/>
        <v>-1.9554724519186102</v>
      </c>
    </row>
    <row r="62" spans="1:26" s="26" customFormat="1" outlineLevel="1" collapsed="1" x14ac:dyDescent="0.25">
      <c r="A62" s="27"/>
      <c r="B62" s="13" t="str">
        <f>CONCATENATE("     ","Bank/card Fees                                    ")</f>
        <v xml:space="preserve">     Bank/card Fees                                    </v>
      </c>
      <c r="C62" s="13"/>
      <c r="D62" s="1">
        <f>SUM(OSRRefD22_4x_0)</f>
        <v>18389.73</v>
      </c>
      <c r="E62" s="1"/>
      <c r="F62" s="5">
        <f t="shared" si="29"/>
        <v>3.1091079603292961E-2</v>
      </c>
      <c r="G62" s="1"/>
      <c r="H62" s="1">
        <f>SUM(OSRRefH22_4x_0)</f>
        <v>17902.37</v>
      </c>
      <c r="I62" s="1"/>
      <c r="J62" s="5">
        <f t="shared" si="30"/>
        <v>3.0716732040605776E-2</v>
      </c>
      <c r="K62" s="1"/>
      <c r="L62" s="1">
        <f t="shared" si="31"/>
        <v>487.36000000000058</v>
      </c>
      <c r="M62" s="1"/>
      <c r="N62" s="5">
        <f t="shared" si="32"/>
        <v>2.7223211228457497E-2</v>
      </c>
      <c r="O62" s="13"/>
      <c r="P62" s="1">
        <f>SUM(OSRRefP22_4x_0)</f>
        <v>178516.53</v>
      </c>
      <c r="Q62" s="1"/>
      <c r="R62" s="5">
        <f t="shared" si="33"/>
        <v>3.3583330268315156E-2</v>
      </c>
      <c r="S62" s="1"/>
      <c r="T62" s="1">
        <f>SUM(OSRRefT22_4x_0)</f>
        <v>175265.97999999998</v>
      </c>
      <c r="U62" s="1"/>
      <c r="V62" s="5">
        <f t="shared" si="34"/>
        <v>3.2393558271854979E-2</v>
      </c>
      <c r="W62" s="1"/>
      <c r="X62" s="1">
        <f t="shared" si="35"/>
        <v>3250.5500000000175</v>
      </c>
      <c r="Y62" s="1"/>
      <c r="Z62" s="5">
        <f t="shared" si="36"/>
        <v>1.8546383045928354E-2</v>
      </c>
    </row>
    <row r="63" spans="1:26" s="24" customFormat="1" hidden="1" outlineLevel="2" x14ac:dyDescent="0.25">
      <c r="A63" s="25"/>
      <c r="B63" s="11" t="str">
        <f>CONCATENATE("          ", "6381", " - ", "BANK/CREDIT CARD FEES")</f>
        <v xml:space="preserve">          6381 - BANK/CREDIT CARD FEES</v>
      </c>
      <c r="C63" s="11"/>
      <c r="D63" s="6">
        <v>18389.73</v>
      </c>
      <c r="E63" s="2"/>
      <c r="F63" s="7">
        <f t="shared" si="29"/>
        <v>3.1091079603292961E-2</v>
      </c>
      <c r="G63" s="2"/>
      <c r="H63" s="6">
        <v>17902.37</v>
      </c>
      <c r="I63" s="2"/>
      <c r="J63" s="7">
        <f t="shared" si="30"/>
        <v>3.0716732040605776E-2</v>
      </c>
      <c r="K63" s="2"/>
      <c r="L63" s="6">
        <f t="shared" si="31"/>
        <v>487.36000000000058</v>
      </c>
      <c r="M63" s="2"/>
      <c r="N63" s="7">
        <f t="shared" si="32"/>
        <v>2.7223211228457497E-2</v>
      </c>
      <c r="O63" s="11"/>
      <c r="P63" s="6">
        <v>178516.53</v>
      </c>
      <c r="Q63" s="2"/>
      <c r="R63" s="7">
        <f t="shared" si="33"/>
        <v>3.3583330268315156E-2</v>
      </c>
      <c r="S63" s="2"/>
      <c r="T63" s="6">
        <v>175265.97999999998</v>
      </c>
      <c r="U63" s="2"/>
      <c r="V63" s="7">
        <f t="shared" si="34"/>
        <v>3.2393558271854979E-2</v>
      </c>
      <c r="W63" s="2"/>
      <c r="X63" s="6">
        <f t="shared" si="35"/>
        <v>3250.5500000000175</v>
      </c>
      <c r="Y63" s="2"/>
      <c r="Z63" s="7">
        <f t="shared" si="36"/>
        <v>1.8546383045928354E-2</v>
      </c>
    </row>
    <row r="64" spans="1:26" s="26" customFormat="1" outlineLevel="1" collapsed="1" x14ac:dyDescent="0.25">
      <c r="A64" s="27"/>
      <c r="B64" s="13" t="str">
        <f>CONCATENATE("     ","Depreciation                                      ")</f>
        <v xml:space="preserve">     Depreciation                                      </v>
      </c>
      <c r="C64" s="13"/>
      <c r="D64" s="1">
        <f>SUM(OSRRefD22_5x_0)</f>
        <v>49292.520000000004</v>
      </c>
      <c r="E64" s="1"/>
      <c r="F64" s="5">
        <f t="shared" si="29"/>
        <v>8.3337692460243321E-2</v>
      </c>
      <c r="G64" s="1"/>
      <c r="H64" s="1">
        <f>SUM(OSRRefH22_5x_0)</f>
        <v>43808.67</v>
      </c>
      <c r="I64" s="1"/>
      <c r="J64" s="5">
        <f t="shared" si="30"/>
        <v>7.5166538142454054E-2</v>
      </c>
      <c r="K64" s="1"/>
      <c r="L64" s="1">
        <f t="shared" si="31"/>
        <v>5483.8500000000058</v>
      </c>
      <c r="M64" s="1"/>
      <c r="N64" s="5">
        <f t="shared" si="32"/>
        <v>0.12517727655279209</v>
      </c>
      <c r="O64" s="13"/>
      <c r="P64" s="1">
        <f>SUM(OSRRefP22_5x_0)</f>
        <v>338457.68999999994</v>
      </c>
      <c r="Q64" s="1"/>
      <c r="R64" s="5">
        <f t="shared" si="33"/>
        <v>6.3672178621895836E-2</v>
      </c>
      <c r="S64" s="1"/>
      <c r="T64" s="1">
        <f>SUM(OSRRefT22_5x_0)</f>
        <v>325634.55</v>
      </c>
      <c r="U64" s="1"/>
      <c r="V64" s="5">
        <f t="shared" si="34"/>
        <v>6.018544939955988E-2</v>
      </c>
      <c r="W64" s="1"/>
      <c r="X64" s="1">
        <f t="shared" si="35"/>
        <v>12823.139999999956</v>
      </c>
      <c r="Y64" s="1"/>
      <c r="Z64" s="5">
        <f t="shared" si="36"/>
        <v>3.937892953926405E-2</v>
      </c>
    </row>
    <row r="65" spans="1:26" s="24" customFormat="1" hidden="1" outlineLevel="2" x14ac:dyDescent="0.25">
      <c r="A65" s="25"/>
      <c r="B65" s="11" t="str">
        <f>CONCATENATE("          ", "6321", " - ", "BUILDING DEPRECIATION")</f>
        <v xml:space="preserve">          6321 - BUILDING DEPRECIATION</v>
      </c>
      <c r="C65" s="11"/>
      <c r="D65" s="6">
        <v>29123.47</v>
      </c>
      <c r="E65" s="2"/>
      <c r="F65" s="7">
        <f t="shared" si="29"/>
        <v>4.9238358806470484E-2</v>
      </c>
      <c r="G65" s="2"/>
      <c r="H65" s="6">
        <v>26597.02</v>
      </c>
      <c r="I65" s="2"/>
      <c r="J65" s="7">
        <f t="shared" si="30"/>
        <v>4.5634937520486543E-2</v>
      </c>
      <c r="K65" s="2"/>
      <c r="L65" s="6">
        <f t="shared" si="31"/>
        <v>2526.4500000000007</v>
      </c>
      <c r="M65" s="2"/>
      <c r="N65" s="7">
        <f t="shared" si="32"/>
        <v>9.4989965041196375E-2</v>
      </c>
      <c r="O65" s="11"/>
      <c r="P65" s="6">
        <v>203864.28999999998</v>
      </c>
      <c r="Q65" s="2"/>
      <c r="R65" s="7">
        <f t="shared" si="33"/>
        <v>3.8351864563945862E-2</v>
      </c>
      <c r="S65" s="2"/>
      <c r="T65" s="6">
        <v>205153</v>
      </c>
      <c r="U65" s="2"/>
      <c r="V65" s="7">
        <f t="shared" si="34"/>
        <v>3.7917430753794119E-2</v>
      </c>
      <c r="W65" s="2"/>
      <c r="X65" s="6">
        <f t="shared" si="35"/>
        <v>-1288.710000000021</v>
      </c>
      <c r="Y65" s="2"/>
      <c r="Z65" s="7">
        <f t="shared" si="36"/>
        <v>-6.2817019492769832E-3</v>
      </c>
    </row>
    <row r="66" spans="1:26" s="24" customFormat="1" hidden="1" outlineLevel="2" x14ac:dyDescent="0.25">
      <c r="A66" s="25"/>
      <c r="B66" s="11" t="str">
        <f>CONCATENATE("          ", "6322", " - ", "EQUIPMENT DEPRECIATION EXPENSE")</f>
        <v xml:space="preserve">          6322 - EQUIPMENT DEPRECIATION EXPENSE</v>
      </c>
      <c r="C66" s="11"/>
      <c r="D66" s="6">
        <v>19744.8</v>
      </c>
      <c r="E66" s="2"/>
      <c r="F66" s="7">
        <f t="shared" si="29"/>
        <v>3.3382064258208187E-2</v>
      </c>
      <c r="G66" s="2"/>
      <c r="H66" s="6">
        <v>16787.400000000001</v>
      </c>
      <c r="I66" s="2"/>
      <c r="J66" s="7">
        <f t="shared" si="30"/>
        <v>2.88036761310634E-2</v>
      </c>
      <c r="K66" s="2"/>
      <c r="L66" s="6">
        <f t="shared" si="31"/>
        <v>2957.3999999999978</v>
      </c>
      <c r="M66" s="2"/>
      <c r="N66" s="7">
        <f t="shared" si="32"/>
        <v>0.17616784016583853</v>
      </c>
      <c r="O66" s="11"/>
      <c r="P66" s="6">
        <v>131623.65</v>
      </c>
      <c r="Q66" s="2"/>
      <c r="R66" s="7">
        <f t="shared" si="33"/>
        <v>2.4761631368653201E-2</v>
      </c>
      <c r="S66" s="2"/>
      <c r="T66" s="6">
        <v>117511.8</v>
      </c>
      <c r="U66" s="2"/>
      <c r="V66" s="7">
        <f t="shared" si="34"/>
        <v>2.1719134203514956E-2</v>
      </c>
      <c r="W66" s="2"/>
      <c r="X66" s="6">
        <f t="shared" si="35"/>
        <v>14111.849999999991</v>
      </c>
      <c r="Y66" s="2"/>
      <c r="Z66" s="7">
        <f t="shared" si="36"/>
        <v>0.12008879108310817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29"/>
        <v>7.1726939556464612E-4</v>
      </c>
      <c r="G67" s="2"/>
      <c r="H67" s="6">
        <v>424.25</v>
      </c>
      <c r="I67" s="2"/>
      <c r="J67" s="7">
        <f t="shared" si="30"/>
        <v>7.2792449090410937E-4</v>
      </c>
      <c r="K67" s="2"/>
      <c r="L67" s="6">
        <f t="shared" si="31"/>
        <v>0</v>
      </c>
      <c r="M67" s="2"/>
      <c r="N67" s="7">
        <f t="shared" si="32"/>
        <v>0</v>
      </c>
      <c r="O67" s="11"/>
      <c r="P67" s="6">
        <v>2969.75</v>
      </c>
      <c r="Q67" s="2"/>
      <c r="R67" s="7">
        <f t="shared" si="33"/>
        <v>5.5868268929677787E-4</v>
      </c>
      <c r="S67" s="2"/>
      <c r="T67" s="6">
        <v>2969.75</v>
      </c>
      <c r="U67" s="2"/>
      <c r="V67" s="7">
        <f t="shared" si="34"/>
        <v>5.4888444225080827E-4</v>
      </c>
      <c r="W67" s="2"/>
      <c r="X67" s="6">
        <f t="shared" si="35"/>
        <v>0</v>
      </c>
      <c r="Y67" s="2"/>
      <c r="Z67" s="7">
        <f t="shared" si="36"/>
        <v>0</v>
      </c>
    </row>
    <row r="68" spans="1:26" s="26" customFormat="1" outlineLevel="1" collapsed="1" x14ac:dyDescent="0.25">
      <c r="A68" s="27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31.87</v>
      </c>
      <c r="E68" s="1"/>
      <c r="F68" s="5">
        <f t="shared" ref="F68:F78" si="37">IF(D$12=0,0,D68/D$12)</f>
        <v>5.3881851824738412E-5</v>
      </c>
      <c r="G68" s="1"/>
      <c r="H68" s="1">
        <f>SUM(OSRRefH22_6x_0)</f>
        <v>17.170000000000002</v>
      </c>
      <c r="I68" s="1"/>
      <c r="J68" s="5">
        <f t="shared" ref="J68:J78" si="38">IF(H$12=0,0,H68/H$12)</f>
        <v>2.9460137911192834E-5</v>
      </c>
      <c r="K68" s="1"/>
      <c r="L68" s="1">
        <f t="shared" ref="L68:L78" si="39">+D68-H68</f>
        <v>14.7</v>
      </c>
      <c r="M68" s="1"/>
      <c r="N68" s="5">
        <f t="shared" ref="N68:N78" si="40">IF(H68=0,0,L68/H68)</f>
        <v>0.85614443797320894</v>
      </c>
      <c r="O68" s="13"/>
      <c r="P68" s="1">
        <f>SUM(OSRRefP22_6x_0)</f>
        <v>108.24</v>
      </c>
      <c r="Q68" s="1"/>
      <c r="R68" s="5">
        <f t="shared" ref="R68:R78" si="41">IF(P$12=0,0,P68/P$12)</f>
        <v>2.0362594255234697E-5</v>
      </c>
      <c r="S68" s="1"/>
      <c r="T68" s="1">
        <f>SUM(OSRRefT22_6x_0)</f>
        <v>90.07</v>
      </c>
      <c r="U68" s="1"/>
      <c r="V68" s="5">
        <f t="shared" ref="V68:V78" si="42">IF(T$12=0,0,T68/T$12)</f>
        <v>1.6647199836191701E-5</v>
      </c>
      <c r="W68" s="1"/>
      <c r="X68" s="1">
        <f t="shared" ref="X68:X78" si="43">+P68-T68</f>
        <v>18.170000000000002</v>
      </c>
      <c r="Y68" s="1"/>
      <c r="Z68" s="5">
        <f t="shared" ref="Z68:Z78" si="44">IF(T68=0,0,X68/T68)</f>
        <v>0.20173198623292998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6">
        <v>31.87</v>
      </c>
      <c r="E69" s="2"/>
      <c r="F69" s="7">
        <f t="shared" si="37"/>
        <v>5.3881851824738412E-5</v>
      </c>
      <c r="G69" s="2"/>
      <c r="H69" s="6">
        <v>17.170000000000002</v>
      </c>
      <c r="I69" s="2"/>
      <c r="J69" s="7">
        <f t="shared" si="38"/>
        <v>2.9460137911192834E-5</v>
      </c>
      <c r="K69" s="2"/>
      <c r="L69" s="6">
        <f t="shared" si="39"/>
        <v>14.7</v>
      </c>
      <c r="M69" s="2"/>
      <c r="N69" s="7">
        <f t="shared" si="40"/>
        <v>0.85614443797320894</v>
      </c>
      <c r="O69" s="11"/>
      <c r="P69" s="6">
        <v>108.24</v>
      </c>
      <c r="Q69" s="2"/>
      <c r="R69" s="7">
        <f t="shared" si="41"/>
        <v>2.0362594255234697E-5</v>
      </c>
      <c r="S69" s="2"/>
      <c r="T69" s="6">
        <v>90.07</v>
      </c>
      <c r="U69" s="2"/>
      <c r="V69" s="7">
        <f t="shared" si="42"/>
        <v>1.6647199836191701E-5</v>
      </c>
      <c r="W69" s="2"/>
      <c r="X69" s="6">
        <f t="shared" si="43"/>
        <v>18.170000000000002</v>
      </c>
      <c r="Y69" s="2"/>
      <c r="Z69" s="7">
        <f t="shared" si="44"/>
        <v>0.20173198623292998</v>
      </c>
    </row>
    <row r="70" spans="1:26" s="26" customFormat="1" outlineLevel="1" collapsed="1" x14ac:dyDescent="0.25">
      <c r="A70" s="27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0</v>
      </c>
      <c r="E70" s="1"/>
      <c r="F70" s="5">
        <f t="shared" si="37"/>
        <v>0</v>
      </c>
      <c r="G70" s="1"/>
      <c r="H70" s="1">
        <f>SUM(OSRRefH22_7x_0)</f>
        <v>0</v>
      </c>
      <c r="I70" s="1"/>
      <c r="J70" s="5">
        <f t="shared" si="38"/>
        <v>0</v>
      </c>
      <c r="K70" s="1"/>
      <c r="L70" s="1">
        <f t="shared" si="39"/>
        <v>0</v>
      </c>
      <c r="M70" s="1"/>
      <c r="N70" s="5">
        <f t="shared" si="40"/>
        <v>0</v>
      </c>
      <c r="O70" s="13"/>
      <c r="P70" s="1">
        <f>SUM(OSRRefP22_7x_0)</f>
        <v>236.68</v>
      </c>
      <c r="Q70" s="1"/>
      <c r="R70" s="5">
        <f t="shared" si="41"/>
        <v>4.4525303107251922E-5</v>
      </c>
      <c r="S70" s="1"/>
      <c r="T70" s="1">
        <f>SUM(OSRRefT22_7x_0)</f>
        <v>750.24</v>
      </c>
      <c r="U70" s="1"/>
      <c r="V70" s="5">
        <f t="shared" si="42"/>
        <v>1.3866320867219343E-4</v>
      </c>
      <c r="W70" s="1"/>
      <c r="X70" s="1">
        <f t="shared" si="43"/>
        <v>-513.55999999999995</v>
      </c>
      <c r="Y70" s="1"/>
      <c r="Z70" s="5">
        <f t="shared" si="44"/>
        <v>-0.68452761782896132</v>
      </c>
    </row>
    <row r="71" spans="1:26" s="24" customFormat="1" hidden="1" outlineLevel="2" x14ac:dyDescent="0.25">
      <c r="A71" s="25"/>
      <c r="B71" s="11" t="str">
        <f>CONCATENATE("          ", "6399", " - ", "DONATION-ON CAMPUS")</f>
        <v xml:space="preserve">          6399 - DONATION-ON CAMPUS</v>
      </c>
      <c r="C71" s="11"/>
      <c r="D71" s="6"/>
      <c r="E71" s="2"/>
      <c r="F71" s="7">
        <f t="shared" si="37"/>
        <v>0</v>
      </c>
      <c r="G71" s="2"/>
      <c r="H71" s="6"/>
      <c r="I71" s="2"/>
      <c r="J71" s="7">
        <f t="shared" si="38"/>
        <v>0</v>
      </c>
      <c r="K71" s="2"/>
      <c r="L71" s="6">
        <f t="shared" si="39"/>
        <v>0</v>
      </c>
      <c r="M71" s="2"/>
      <c r="N71" s="7">
        <f t="shared" si="40"/>
        <v>0</v>
      </c>
      <c r="O71" s="11"/>
      <c r="P71" s="6">
        <v>236.68</v>
      </c>
      <c r="Q71" s="2"/>
      <c r="R71" s="7">
        <f t="shared" si="41"/>
        <v>4.4525303107251922E-5</v>
      </c>
      <c r="S71" s="2"/>
      <c r="T71" s="6">
        <v>750.24</v>
      </c>
      <c r="U71" s="2"/>
      <c r="V71" s="7">
        <f t="shared" si="42"/>
        <v>1.3866320867219343E-4</v>
      </c>
      <c r="W71" s="2"/>
      <c r="X71" s="6">
        <f t="shared" si="43"/>
        <v>-513.55999999999995</v>
      </c>
      <c r="Y71" s="2"/>
      <c r="Z71" s="7">
        <f t="shared" si="44"/>
        <v>-0.68452761782896132</v>
      </c>
    </row>
    <row r="72" spans="1:26" s="26" customFormat="1" outlineLevel="1" collapsed="1" x14ac:dyDescent="0.25">
      <c r="A72" s="27"/>
      <c r="B72" s="13" t="str">
        <f>CONCATENATE("     ","Employees' Appreciation                           ")</f>
        <v xml:space="preserve">     Employees' Appreciation                           </v>
      </c>
      <c r="C72" s="13"/>
      <c r="D72" s="1">
        <f>SUM(OSRRefD22_8x_0)</f>
        <v>202.7</v>
      </c>
      <c r="E72" s="1"/>
      <c r="F72" s="5">
        <f t="shared" si="37"/>
        <v>3.427000742037802E-4</v>
      </c>
      <c r="G72" s="1"/>
      <c r="H72" s="1">
        <f>SUM(OSRRefH22_8x_0)</f>
        <v>748.26</v>
      </c>
      <c r="I72" s="1"/>
      <c r="J72" s="5">
        <f t="shared" si="38"/>
        <v>1.2838580543639573E-3</v>
      </c>
      <c r="K72" s="1"/>
      <c r="L72" s="1">
        <f t="shared" si="39"/>
        <v>-545.55999999999995</v>
      </c>
      <c r="M72" s="1"/>
      <c r="N72" s="5">
        <f t="shared" si="40"/>
        <v>-0.72910485660064672</v>
      </c>
      <c r="O72" s="13"/>
      <c r="P72" s="1">
        <f>SUM(OSRRefP22_8x_0)</f>
        <v>1509.48</v>
      </c>
      <c r="Q72" s="1"/>
      <c r="R72" s="5">
        <f t="shared" si="41"/>
        <v>2.8397014760154907E-4</v>
      </c>
      <c r="S72" s="1"/>
      <c r="T72" s="1">
        <f>SUM(OSRRefT22_8x_0)</f>
        <v>2467.9299999999998</v>
      </c>
      <c r="U72" s="1"/>
      <c r="V72" s="5">
        <f t="shared" si="42"/>
        <v>4.5613549341326281E-4</v>
      </c>
      <c r="W72" s="1"/>
      <c r="X72" s="1">
        <f t="shared" si="43"/>
        <v>-958.44999999999982</v>
      </c>
      <c r="Y72" s="1"/>
      <c r="Z72" s="5">
        <f t="shared" si="44"/>
        <v>-0.38836190653705732</v>
      </c>
    </row>
    <row r="73" spans="1:26" s="24" customFormat="1" hidden="1" outlineLevel="2" x14ac:dyDescent="0.25">
      <c r="A73" s="25"/>
      <c r="B73" s="11" t="str">
        <f>CONCATENATE("          ", "6277", " - ", "EMPLOYEE APPRECIATION")</f>
        <v xml:space="preserve">          6277 - EMPLOYEE APPRECIATION</v>
      </c>
      <c r="C73" s="11"/>
      <c r="D73" s="6">
        <v>202.7</v>
      </c>
      <c r="E73" s="2"/>
      <c r="F73" s="7">
        <f t="shared" si="37"/>
        <v>3.427000742037802E-4</v>
      </c>
      <c r="G73" s="2"/>
      <c r="H73" s="6">
        <v>748.26</v>
      </c>
      <c r="I73" s="2"/>
      <c r="J73" s="7">
        <f t="shared" si="38"/>
        <v>1.2838580543639573E-3</v>
      </c>
      <c r="K73" s="2"/>
      <c r="L73" s="6">
        <f t="shared" si="39"/>
        <v>-545.55999999999995</v>
      </c>
      <c r="M73" s="2"/>
      <c r="N73" s="7">
        <f t="shared" si="40"/>
        <v>-0.72910485660064672</v>
      </c>
      <c r="O73" s="11"/>
      <c r="P73" s="6">
        <v>1509.48</v>
      </c>
      <c r="Q73" s="2"/>
      <c r="R73" s="7">
        <f t="shared" si="41"/>
        <v>2.8397014760154907E-4</v>
      </c>
      <c r="S73" s="2"/>
      <c r="T73" s="6">
        <v>2467.9299999999998</v>
      </c>
      <c r="U73" s="2"/>
      <c r="V73" s="7">
        <f t="shared" si="42"/>
        <v>4.5613549341326281E-4</v>
      </c>
      <c r="W73" s="2"/>
      <c r="X73" s="6">
        <f t="shared" si="43"/>
        <v>-958.44999999999982</v>
      </c>
      <c r="Y73" s="2"/>
      <c r="Z73" s="7">
        <f t="shared" si="44"/>
        <v>-0.38836190653705732</v>
      </c>
    </row>
    <row r="74" spans="1:26" s="26" customFormat="1" outlineLevel="1" collapsed="1" x14ac:dyDescent="0.25">
      <c r="A74" s="27"/>
      <c r="B74" s="13" t="str">
        <f>CONCATENATE("     ","Equipment Rental                                  ")</f>
        <v xml:space="preserve">     Equipment Rental                                  </v>
      </c>
      <c r="C74" s="13"/>
      <c r="D74" s="1">
        <f>SUM(OSRRefD22_9x_0)</f>
        <v>4769.88</v>
      </c>
      <c r="E74" s="1"/>
      <c r="F74" s="5">
        <f t="shared" si="37"/>
        <v>8.0643227920233207E-3</v>
      </c>
      <c r="G74" s="1"/>
      <c r="H74" s="1">
        <f>SUM(OSRRefH22_9x_0)</f>
        <v>1877.49</v>
      </c>
      <c r="I74" s="1"/>
      <c r="J74" s="5">
        <f t="shared" si="38"/>
        <v>3.2213811489158668E-3</v>
      </c>
      <c r="K74" s="1"/>
      <c r="L74" s="1">
        <f t="shared" si="39"/>
        <v>2892.3900000000003</v>
      </c>
      <c r="M74" s="1"/>
      <c r="N74" s="5">
        <f t="shared" si="40"/>
        <v>1.5405621334867299</v>
      </c>
      <c r="O74" s="13"/>
      <c r="P74" s="1">
        <f>SUM(OSRRefP22_9x_0)</f>
        <v>20333.86</v>
      </c>
      <c r="Q74" s="1"/>
      <c r="R74" s="5">
        <f t="shared" si="41"/>
        <v>3.8252969403431876E-3</v>
      </c>
      <c r="S74" s="1"/>
      <c r="T74" s="1">
        <f>SUM(OSRRefT22_9x_0)</f>
        <v>12160.73</v>
      </c>
      <c r="U74" s="1"/>
      <c r="V74" s="5">
        <f t="shared" si="42"/>
        <v>2.2476085540576386E-3</v>
      </c>
      <c r="W74" s="1"/>
      <c r="X74" s="1">
        <f t="shared" si="43"/>
        <v>8173.130000000001</v>
      </c>
      <c r="Y74" s="1"/>
      <c r="Z74" s="5">
        <f t="shared" si="44"/>
        <v>0.67209205368427727</v>
      </c>
    </row>
    <row r="75" spans="1:26" s="24" customFormat="1" hidden="1" outlineLevel="2" x14ac:dyDescent="0.25">
      <c r="A75" s="25"/>
      <c r="B75" s="11" t="str">
        <f>CONCATENATE("          ", "6351", " - ", "EQUIPMENT RENTAL")</f>
        <v xml:space="preserve">          6351 - EQUIPMENT RENTAL</v>
      </c>
      <c r="C75" s="11"/>
      <c r="D75" s="6">
        <v>4769.88</v>
      </c>
      <c r="E75" s="2"/>
      <c r="F75" s="7">
        <f t="shared" si="37"/>
        <v>8.0643227920233207E-3</v>
      </c>
      <c r="G75" s="2"/>
      <c r="H75" s="6">
        <v>1877.49</v>
      </c>
      <c r="I75" s="2"/>
      <c r="J75" s="7">
        <f t="shared" si="38"/>
        <v>3.2213811489158668E-3</v>
      </c>
      <c r="K75" s="2"/>
      <c r="L75" s="6">
        <f t="shared" si="39"/>
        <v>2892.3900000000003</v>
      </c>
      <c r="M75" s="2"/>
      <c r="N75" s="7">
        <f t="shared" si="40"/>
        <v>1.5405621334867299</v>
      </c>
      <c r="O75" s="11"/>
      <c r="P75" s="6">
        <v>20333.86</v>
      </c>
      <c r="Q75" s="2"/>
      <c r="R75" s="7">
        <f t="shared" si="41"/>
        <v>3.8252969403431876E-3</v>
      </c>
      <c r="S75" s="2"/>
      <c r="T75" s="6">
        <v>12160.73</v>
      </c>
      <c r="U75" s="2"/>
      <c r="V75" s="7">
        <f t="shared" si="42"/>
        <v>2.2476085540576386E-3</v>
      </c>
      <c r="W75" s="2"/>
      <c r="X75" s="6">
        <f t="shared" si="43"/>
        <v>8173.130000000001</v>
      </c>
      <c r="Y75" s="2"/>
      <c r="Z75" s="7">
        <f t="shared" si="44"/>
        <v>0.67209205368427727</v>
      </c>
    </row>
    <row r="76" spans="1:26" s="26" customFormat="1" outlineLevel="1" collapsed="1" x14ac:dyDescent="0.25">
      <c r="A76" s="27"/>
      <c r="B76" s="13" t="str">
        <f>CONCATENATE("     ","Freight out/Postage                               ")</f>
        <v xml:space="preserve">     Freight out/Postage                               </v>
      </c>
      <c r="C76" s="13"/>
      <c r="D76" s="1">
        <f>SUM(OSRRefD22_10x_0)</f>
        <v>7.64</v>
      </c>
      <c r="E76" s="1"/>
      <c r="F76" s="5">
        <f t="shared" si="37"/>
        <v>1.2916766487009772E-5</v>
      </c>
      <c r="G76" s="1"/>
      <c r="H76" s="1">
        <f>SUM(OSRRefH22_10x_0)</f>
        <v>-22.639999999999997</v>
      </c>
      <c r="I76" s="1"/>
      <c r="J76" s="5">
        <f t="shared" si="38"/>
        <v>-3.8845516733221064E-5</v>
      </c>
      <c r="K76" s="1"/>
      <c r="L76" s="1">
        <f t="shared" si="39"/>
        <v>30.279999999999998</v>
      </c>
      <c r="M76" s="1"/>
      <c r="N76" s="5">
        <f t="shared" si="40"/>
        <v>-1.3374558303886928</v>
      </c>
      <c r="O76" s="13"/>
      <c r="P76" s="1">
        <f>SUM(OSRRefP22_10x_0)</f>
        <v>233.63</v>
      </c>
      <c r="Q76" s="1"/>
      <c r="R76" s="5">
        <f t="shared" si="41"/>
        <v>4.3951523428034761E-5</v>
      </c>
      <c r="S76" s="1"/>
      <c r="T76" s="1">
        <f>SUM(OSRRefT22_10x_0)</f>
        <v>159.71</v>
      </c>
      <c r="U76" s="1"/>
      <c r="V76" s="5">
        <f t="shared" si="42"/>
        <v>2.9518422180950112E-5</v>
      </c>
      <c r="W76" s="1"/>
      <c r="X76" s="1">
        <f t="shared" si="43"/>
        <v>73.919999999999987</v>
      </c>
      <c r="Y76" s="1"/>
      <c r="Z76" s="5">
        <f t="shared" si="44"/>
        <v>0.46283889549809021</v>
      </c>
    </row>
    <row r="77" spans="1:26" s="24" customFormat="1" hidden="1" outlineLevel="2" x14ac:dyDescent="0.25">
      <c r="A77" s="25"/>
      <c r="B77" s="11" t="str">
        <f>CONCATENATE("          ", "6305", " - ", "FREIGHT OUT")</f>
        <v xml:space="preserve">          6305 - FREIGHT OUT</v>
      </c>
      <c r="C77" s="11"/>
      <c r="D77" s="6">
        <v>7.64</v>
      </c>
      <c r="E77" s="2"/>
      <c r="F77" s="7">
        <f t="shared" si="37"/>
        <v>1.2916766487009772E-5</v>
      </c>
      <c r="G77" s="2"/>
      <c r="H77" s="6">
        <v>16.91</v>
      </c>
      <c r="I77" s="2"/>
      <c r="J77" s="7">
        <f t="shared" si="38"/>
        <v>2.901403215365584E-5</v>
      </c>
      <c r="K77" s="2"/>
      <c r="L77" s="6">
        <f t="shared" si="39"/>
        <v>-9.27</v>
      </c>
      <c r="M77" s="2"/>
      <c r="N77" s="7">
        <f t="shared" si="40"/>
        <v>-0.54819633353045527</v>
      </c>
      <c r="O77" s="11"/>
      <c r="P77" s="6">
        <v>233.63</v>
      </c>
      <c r="Q77" s="2"/>
      <c r="R77" s="7">
        <f t="shared" si="41"/>
        <v>4.3951523428034761E-5</v>
      </c>
      <c r="S77" s="2"/>
      <c r="T77" s="6">
        <v>190.25</v>
      </c>
      <c r="U77" s="2"/>
      <c r="V77" s="7">
        <f t="shared" si="42"/>
        <v>3.5162981779010452E-5</v>
      </c>
      <c r="W77" s="2"/>
      <c r="X77" s="6">
        <f t="shared" si="43"/>
        <v>43.379999999999995</v>
      </c>
      <c r="Y77" s="2"/>
      <c r="Z77" s="7">
        <f t="shared" si="44"/>
        <v>0.22801576872536133</v>
      </c>
    </row>
    <row r="78" spans="1:26" s="24" customFormat="1" hidden="1" outlineLevel="2" x14ac:dyDescent="0.25">
      <c r="A78" s="25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37"/>
        <v>0</v>
      </c>
      <c r="G78" s="2"/>
      <c r="H78" s="6">
        <v>-39.549999999999997</v>
      </c>
      <c r="I78" s="2"/>
      <c r="J78" s="7">
        <f t="shared" si="38"/>
        <v>-6.7859548886876897E-5</v>
      </c>
      <c r="K78" s="2"/>
      <c r="L78" s="6">
        <f t="shared" si="39"/>
        <v>39.549999999999997</v>
      </c>
      <c r="M78" s="2"/>
      <c r="N78" s="7">
        <f t="shared" si="40"/>
        <v>-1</v>
      </c>
      <c r="O78" s="11"/>
      <c r="P78" s="6"/>
      <c r="Q78" s="2"/>
      <c r="R78" s="7">
        <f t="shared" si="41"/>
        <v>0</v>
      </c>
      <c r="S78" s="2"/>
      <c r="T78" s="6">
        <v>-30.54</v>
      </c>
      <c r="U78" s="2"/>
      <c r="V78" s="7">
        <f t="shared" si="42"/>
        <v>-5.644559598060337E-6</v>
      </c>
      <c r="W78" s="2"/>
      <c r="X78" s="6">
        <f t="shared" si="43"/>
        <v>30.54</v>
      </c>
      <c r="Y78" s="2"/>
      <c r="Z78" s="7">
        <f t="shared" si="44"/>
        <v>-1</v>
      </c>
    </row>
    <row r="79" spans="1:26" s="26" customFormat="1" outlineLevel="1" collapsed="1" x14ac:dyDescent="0.25">
      <c r="A79" s="27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13174.79</v>
      </c>
      <c r="E79" s="1"/>
      <c r="F79" s="5">
        <f t="shared" ref="F79:F81" si="45">IF(D$12=0,0,D79/D$12)</f>
        <v>2.2274304443114071E-2</v>
      </c>
      <c r="G79" s="1"/>
      <c r="H79" s="1">
        <f>SUM(OSRRefH22_11x_0)</f>
        <v>5475.04</v>
      </c>
      <c r="I79" s="1"/>
      <c r="J79" s="5">
        <f t="shared" ref="J79:J81" si="46">IF(H$12=0,0,H79/H$12)</f>
        <v>9.3940264105589512E-3</v>
      </c>
      <c r="K79" s="1"/>
      <c r="L79" s="1">
        <f t="shared" ref="L79:L81" si="47">+D79-H79</f>
        <v>7699.7500000000009</v>
      </c>
      <c r="M79" s="1"/>
      <c r="N79" s="5">
        <f t="shared" ref="N79:N81" si="48">IF(H79=0,0,L79/H79)</f>
        <v>1.406336757357024</v>
      </c>
      <c r="O79" s="13"/>
      <c r="P79" s="1">
        <f>SUM(OSRRefP22_11x_0)</f>
        <v>85579.44</v>
      </c>
      <c r="Q79" s="1"/>
      <c r="R79" s="5">
        <f t="shared" ref="R79:R81" si="49">IF(P$12=0,0,P79/P$12)</f>
        <v>1.6099588075667061E-2</v>
      </c>
      <c r="S79" s="1"/>
      <c r="T79" s="1">
        <f>SUM(OSRRefT22_11x_0)</f>
        <v>45958.86</v>
      </c>
      <c r="U79" s="1"/>
      <c r="V79" s="5">
        <f t="shared" ref="V79:V81" si="50">IF(T$12=0,0,T79/T$12)</f>
        <v>8.4943524665655312E-3</v>
      </c>
      <c r="W79" s="1"/>
      <c r="X79" s="1">
        <f t="shared" ref="X79:X81" si="51">+P79-T79</f>
        <v>39620.58</v>
      </c>
      <c r="Y79" s="1"/>
      <c r="Z79" s="5">
        <f t="shared" ref="Z79:Z81" si="52">IF(T79=0,0,X79/T79)</f>
        <v>0.86208796301735946</v>
      </c>
    </row>
    <row r="80" spans="1:26" s="24" customFormat="1" hidden="1" outlineLevel="2" x14ac:dyDescent="0.25">
      <c r="A80" s="25"/>
      <c r="B80" s="11" t="str">
        <f>CONCATENATE("          ", "6269", " - ", "ENTERTAINMENT")</f>
        <v xml:space="preserve">          6269 - ENTERTAINMENT</v>
      </c>
      <c r="C80" s="11"/>
      <c r="D80" s="6"/>
      <c r="E80" s="2"/>
      <c r="F80" s="7">
        <f t="shared" si="45"/>
        <v>0</v>
      </c>
      <c r="G80" s="2"/>
      <c r="H80" s="6">
        <v>1250</v>
      </c>
      <c r="I80" s="2"/>
      <c r="J80" s="7">
        <f t="shared" si="46"/>
        <v>2.1447392189278417E-3</v>
      </c>
      <c r="K80" s="2"/>
      <c r="L80" s="6">
        <f t="shared" si="47"/>
        <v>-1250</v>
      </c>
      <c r="M80" s="2"/>
      <c r="N80" s="7">
        <f t="shared" si="48"/>
        <v>-1</v>
      </c>
      <c r="O80" s="11"/>
      <c r="P80" s="6">
        <v>7350</v>
      </c>
      <c r="Q80" s="2"/>
      <c r="R80" s="7">
        <f t="shared" si="49"/>
        <v>1.3827149646708705E-3</v>
      </c>
      <c r="S80" s="2"/>
      <c r="T80" s="6">
        <v>6110</v>
      </c>
      <c r="U80" s="2"/>
      <c r="V80" s="7">
        <f t="shared" si="50"/>
        <v>1.1292815698804408E-3</v>
      </c>
      <c r="W80" s="2"/>
      <c r="X80" s="6">
        <f t="shared" si="51"/>
        <v>1240</v>
      </c>
      <c r="Y80" s="2"/>
      <c r="Z80" s="7">
        <f t="shared" si="52"/>
        <v>0.20294599018003273</v>
      </c>
    </row>
    <row r="81" spans="1:26" s="24" customFormat="1" hidden="1" outlineLevel="2" x14ac:dyDescent="0.25">
      <c r="A81" s="25"/>
      <c r="B81" s="11" t="str">
        <f>CONCATENATE("          ", "6279", " - ", "GENERAL EXPENSE")</f>
        <v xml:space="preserve">          6279 - GENERAL EXPENSE</v>
      </c>
      <c r="C81" s="11"/>
      <c r="D81" s="6">
        <v>13174.79</v>
      </c>
      <c r="E81" s="2"/>
      <c r="F81" s="7">
        <f t="shared" si="45"/>
        <v>2.2274304443114071E-2</v>
      </c>
      <c r="G81" s="2"/>
      <c r="H81" s="6">
        <v>4225.04</v>
      </c>
      <c r="I81" s="2"/>
      <c r="J81" s="7">
        <f t="shared" si="46"/>
        <v>7.2492871916311104E-3</v>
      </c>
      <c r="K81" s="2"/>
      <c r="L81" s="6">
        <f t="shared" si="47"/>
        <v>8949.75</v>
      </c>
      <c r="M81" s="2"/>
      <c r="N81" s="7">
        <f t="shared" si="48"/>
        <v>2.1182639690985172</v>
      </c>
      <c r="O81" s="11"/>
      <c r="P81" s="6">
        <v>78229.440000000002</v>
      </c>
      <c r="Q81" s="2"/>
      <c r="R81" s="7">
        <f t="shared" si="49"/>
        <v>1.471687311099619E-2</v>
      </c>
      <c r="S81" s="2"/>
      <c r="T81" s="6">
        <v>39848.86</v>
      </c>
      <c r="U81" s="2"/>
      <c r="V81" s="7">
        <f t="shared" si="50"/>
        <v>7.3650708966850904E-3</v>
      </c>
      <c r="W81" s="2"/>
      <c r="X81" s="6">
        <f t="shared" si="51"/>
        <v>38380.58</v>
      </c>
      <c r="Y81" s="2"/>
      <c r="Z81" s="7">
        <f t="shared" si="52"/>
        <v>0.96315377654467405</v>
      </c>
    </row>
    <row r="82" spans="1:26" s="26" customFormat="1" outlineLevel="1" collapsed="1" x14ac:dyDescent="0.25">
      <c r="A82" s="27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4483.67</v>
      </c>
      <c r="E82" s="1"/>
      <c r="F82" s="5">
        <f t="shared" ref="F82:F94" si="53">IF(D$12=0,0,D82/D$12)</f>
        <v>7.580434344870564E-3</v>
      </c>
      <c r="G82" s="1"/>
      <c r="H82" s="1">
        <f>SUM(OSRRefH22_12x_0)</f>
        <v>4222.62</v>
      </c>
      <c r="I82" s="1"/>
      <c r="J82" s="5">
        <f t="shared" ref="J82:J94" si="54">IF(H$12=0,0,H82/H$12)</f>
        <v>7.2451349765032657E-3</v>
      </c>
      <c r="K82" s="1"/>
      <c r="L82" s="1">
        <f t="shared" ref="L82:L94" si="55">+D82-H82</f>
        <v>261.05000000000018</v>
      </c>
      <c r="M82" s="1"/>
      <c r="N82" s="5">
        <f t="shared" ref="N82:N94" si="56">IF(H82=0,0,L82/H82)</f>
        <v>6.1821807313942573E-2</v>
      </c>
      <c r="O82" s="13"/>
      <c r="P82" s="1">
        <f>SUM(OSRRefP22_12x_0)</f>
        <v>31385.69</v>
      </c>
      <c r="Q82" s="1"/>
      <c r="R82" s="5">
        <f t="shared" ref="R82:R94" si="57">IF(P$12=0,0,P82/P$12)</f>
        <v>5.9044167672817538E-3</v>
      </c>
      <c r="S82" s="1"/>
      <c r="T82" s="1">
        <f>SUM(OSRRefT22_12x_0)</f>
        <v>34146.339999999997</v>
      </c>
      <c r="U82" s="1"/>
      <c r="V82" s="5">
        <f t="shared" ref="V82:V94" si="58">IF(T$12=0,0,T82/T$12)</f>
        <v>6.3111018724830254E-3</v>
      </c>
      <c r="W82" s="1"/>
      <c r="X82" s="1">
        <f t="shared" ref="X82:X94" si="59">+P82-T82</f>
        <v>-2760.6499999999978</v>
      </c>
      <c r="Y82" s="1"/>
      <c r="Z82" s="5">
        <f t="shared" ref="Z82:Z94" si="60">IF(T82=0,0,X82/T82)</f>
        <v>-8.084761060775468E-2</v>
      </c>
    </row>
    <row r="83" spans="1:26" s="24" customFormat="1" hidden="1" outlineLevel="2" x14ac:dyDescent="0.25">
      <c r="A83" s="25"/>
      <c r="B83" s="11" t="str">
        <f>CONCATENATE("          ", "6314", " - ", "LIABILITY INSURANCE")</f>
        <v xml:space="preserve">          6314 - LIABILITY INSURANCE</v>
      </c>
      <c r="C83" s="11"/>
      <c r="D83" s="6">
        <v>4483.67</v>
      </c>
      <c r="E83" s="2"/>
      <c r="F83" s="7">
        <f t="shared" si="53"/>
        <v>7.580434344870564E-3</v>
      </c>
      <c r="G83" s="2"/>
      <c r="H83" s="6">
        <v>4222.62</v>
      </c>
      <c r="I83" s="2"/>
      <c r="J83" s="7">
        <f t="shared" si="54"/>
        <v>7.2451349765032657E-3</v>
      </c>
      <c r="K83" s="2"/>
      <c r="L83" s="6">
        <f t="shared" si="55"/>
        <v>261.05000000000018</v>
      </c>
      <c r="M83" s="2"/>
      <c r="N83" s="7">
        <f t="shared" si="56"/>
        <v>6.1821807313942573E-2</v>
      </c>
      <c r="O83" s="11"/>
      <c r="P83" s="6">
        <v>31385.69</v>
      </c>
      <c r="Q83" s="2"/>
      <c r="R83" s="7">
        <f t="shared" si="57"/>
        <v>5.9044167672817538E-3</v>
      </c>
      <c r="S83" s="2"/>
      <c r="T83" s="6">
        <v>34146.339999999997</v>
      </c>
      <c r="U83" s="2"/>
      <c r="V83" s="7">
        <f t="shared" si="58"/>
        <v>6.3111018724830254E-3</v>
      </c>
      <c r="W83" s="2"/>
      <c r="X83" s="6">
        <f t="shared" si="59"/>
        <v>-2760.6499999999978</v>
      </c>
      <c r="Y83" s="2"/>
      <c r="Z83" s="7">
        <f t="shared" si="60"/>
        <v>-8.084761060775468E-2</v>
      </c>
    </row>
    <row r="84" spans="1:26" s="26" customFormat="1" outlineLevel="1" collapsed="1" x14ac:dyDescent="0.25">
      <c r="A84" s="27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11929</v>
      </c>
      <c r="E84" s="1"/>
      <c r="F84" s="5">
        <f t="shared" si="53"/>
        <v>2.0168076887897849E-2</v>
      </c>
      <c r="G84" s="1"/>
      <c r="H84" s="1">
        <f>SUM(OSRRefH22_13x_0)</f>
        <v>12229</v>
      </c>
      <c r="I84" s="1"/>
      <c r="J84" s="5">
        <f t="shared" si="54"/>
        <v>2.0982412726614861E-2</v>
      </c>
      <c r="K84" s="1"/>
      <c r="L84" s="1">
        <f t="shared" si="55"/>
        <v>-300</v>
      </c>
      <c r="M84" s="1"/>
      <c r="N84" s="5">
        <f t="shared" si="56"/>
        <v>-2.4531850519257502E-2</v>
      </c>
      <c r="O84" s="13"/>
      <c r="P84" s="1">
        <f>SUM(OSRRefP22_13x_0)</f>
        <v>82904</v>
      </c>
      <c r="Q84" s="1"/>
      <c r="R84" s="5">
        <f t="shared" si="57"/>
        <v>1.5596272303547463E-2</v>
      </c>
      <c r="S84" s="1"/>
      <c r="T84" s="1">
        <f>SUM(OSRRefT22_13x_0)</f>
        <v>84988</v>
      </c>
      <c r="U84" s="1"/>
      <c r="V84" s="5">
        <f t="shared" si="58"/>
        <v>1.5707918504255139E-2</v>
      </c>
      <c r="W84" s="1"/>
      <c r="X84" s="1">
        <f t="shared" si="59"/>
        <v>-2084</v>
      </c>
      <c r="Y84" s="1"/>
      <c r="Z84" s="5">
        <f t="shared" si="60"/>
        <v>-2.4521108862427636E-2</v>
      </c>
    </row>
    <row r="85" spans="1:26" s="24" customFormat="1" hidden="1" outlineLevel="2" x14ac:dyDescent="0.25">
      <c r="A85" s="25"/>
      <c r="B85" s="11" t="str">
        <f>CONCATENATE("          ", "6401", " - ", "INTEREST EXPENSE")</f>
        <v xml:space="preserve">          6401 - INTEREST EXPENSE</v>
      </c>
      <c r="C85" s="11"/>
      <c r="D85" s="6">
        <v>11929</v>
      </c>
      <c r="E85" s="2"/>
      <c r="F85" s="7">
        <f t="shared" si="53"/>
        <v>2.0168076887897849E-2</v>
      </c>
      <c r="G85" s="2"/>
      <c r="H85" s="6">
        <v>12229</v>
      </c>
      <c r="I85" s="2"/>
      <c r="J85" s="7">
        <f t="shared" si="54"/>
        <v>2.0982412726614861E-2</v>
      </c>
      <c r="K85" s="2"/>
      <c r="L85" s="6">
        <f t="shared" si="55"/>
        <v>-300</v>
      </c>
      <c r="M85" s="2"/>
      <c r="N85" s="7">
        <f t="shared" si="56"/>
        <v>-2.4531850519257502E-2</v>
      </c>
      <c r="O85" s="11"/>
      <c r="P85" s="6">
        <v>82904</v>
      </c>
      <c r="Q85" s="2"/>
      <c r="R85" s="7">
        <f t="shared" si="57"/>
        <v>1.5596272303547463E-2</v>
      </c>
      <c r="S85" s="2"/>
      <c r="T85" s="6">
        <v>84988</v>
      </c>
      <c r="U85" s="2"/>
      <c r="V85" s="7">
        <f t="shared" si="58"/>
        <v>1.5707918504255139E-2</v>
      </c>
      <c r="W85" s="2"/>
      <c r="X85" s="6">
        <f t="shared" si="59"/>
        <v>-2084</v>
      </c>
      <c r="Y85" s="2"/>
      <c r="Z85" s="7">
        <f t="shared" si="60"/>
        <v>-2.4521108862427636E-2</v>
      </c>
    </row>
    <row r="86" spans="1:26" s="26" customFormat="1" outlineLevel="1" collapsed="1" x14ac:dyDescent="0.25">
      <c r="A86" s="27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53"/>
        <v>0</v>
      </c>
      <c r="G86" s="1"/>
      <c r="H86" s="1">
        <f>SUM(OSRRefH22_14x_0)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3"/>
      <c r="P86" s="1">
        <f>SUM(OSRRefP22_14x_0)</f>
        <v>125</v>
      </c>
      <c r="Q86" s="1"/>
      <c r="R86" s="5">
        <f t="shared" si="57"/>
        <v>2.3515560623654262E-5</v>
      </c>
      <c r="S86" s="1"/>
      <c r="T86" s="1">
        <f>SUM(OSRRefT22_14x_0)</f>
        <v>0</v>
      </c>
      <c r="U86" s="1"/>
      <c r="V86" s="5">
        <f t="shared" si="58"/>
        <v>0</v>
      </c>
      <c r="W86" s="1"/>
      <c r="X86" s="1">
        <f t="shared" si="59"/>
        <v>125</v>
      </c>
      <c r="Y86" s="1"/>
      <c r="Z86" s="5">
        <f t="shared" si="60"/>
        <v>0</v>
      </c>
    </row>
    <row r="87" spans="1:26" s="24" customFormat="1" hidden="1" outlineLevel="2" x14ac:dyDescent="0.25">
      <c r="A87" s="25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53"/>
        <v>0</v>
      </c>
      <c r="G87" s="2"/>
      <c r="H87" s="6"/>
      <c r="I87" s="2"/>
      <c r="J87" s="7">
        <f t="shared" si="54"/>
        <v>0</v>
      </c>
      <c r="K87" s="2"/>
      <c r="L87" s="6">
        <f t="shared" si="55"/>
        <v>0</v>
      </c>
      <c r="M87" s="2"/>
      <c r="N87" s="7">
        <f t="shared" si="56"/>
        <v>0</v>
      </c>
      <c r="O87" s="11"/>
      <c r="P87" s="6">
        <v>125</v>
      </c>
      <c r="Q87" s="2"/>
      <c r="R87" s="7">
        <f t="shared" si="57"/>
        <v>2.3515560623654262E-5</v>
      </c>
      <c r="S87" s="2"/>
      <c r="T87" s="6"/>
      <c r="U87" s="2"/>
      <c r="V87" s="7">
        <f t="shared" si="58"/>
        <v>0</v>
      </c>
      <c r="W87" s="2"/>
      <c r="X87" s="6">
        <f t="shared" si="59"/>
        <v>125</v>
      </c>
      <c r="Y87" s="2"/>
      <c r="Z87" s="7">
        <f t="shared" si="60"/>
        <v>0</v>
      </c>
    </row>
    <row r="88" spans="1:26" s="26" customFormat="1" outlineLevel="1" collapsed="1" x14ac:dyDescent="0.25">
      <c r="A88" s="27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3000</v>
      </c>
      <c r="E88" s="1"/>
      <c r="F88" s="5">
        <f t="shared" si="53"/>
        <v>5.0720287252656177E-3</v>
      </c>
      <c r="G88" s="1"/>
      <c r="H88" s="1">
        <f>SUM(OSRRefH22_15x_0)</f>
        <v>3000</v>
      </c>
      <c r="I88" s="1"/>
      <c r="J88" s="5">
        <f t="shared" si="54"/>
        <v>5.1473741254268197E-3</v>
      </c>
      <c r="K88" s="1"/>
      <c r="L88" s="1">
        <f t="shared" si="55"/>
        <v>0</v>
      </c>
      <c r="M88" s="1"/>
      <c r="N88" s="5">
        <f t="shared" si="56"/>
        <v>0</v>
      </c>
      <c r="O88" s="13"/>
      <c r="P88" s="1">
        <f>SUM(OSRRefP22_15x_0)</f>
        <v>21000</v>
      </c>
      <c r="Q88" s="1"/>
      <c r="R88" s="5">
        <f t="shared" si="57"/>
        <v>3.9506141847739156E-3</v>
      </c>
      <c r="S88" s="1"/>
      <c r="T88" s="1">
        <f>SUM(OSRRefT22_15x_0)</f>
        <v>21000</v>
      </c>
      <c r="U88" s="1"/>
      <c r="V88" s="5">
        <f t="shared" si="58"/>
        <v>3.8813278179196816E-3</v>
      </c>
      <c r="W88" s="1"/>
      <c r="X88" s="1">
        <f t="shared" si="59"/>
        <v>0</v>
      </c>
      <c r="Y88" s="1"/>
      <c r="Z88" s="5">
        <f t="shared" si="60"/>
        <v>0</v>
      </c>
    </row>
    <row r="89" spans="1:26" s="24" customFormat="1" hidden="1" outlineLevel="2" x14ac:dyDescent="0.25">
      <c r="A89" s="25"/>
      <c r="B89" s="11" t="str">
        <f>CONCATENATE("          ", "6273", " - ", "RENT")</f>
        <v xml:space="preserve">          6273 - RENT</v>
      </c>
      <c r="C89" s="11"/>
      <c r="D89" s="6">
        <v>3000</v>
      </c>
      <c r="E89" s="2"/>
      <c r="F89" s="7">
        <f t="shared" si="53"/>
        <v>5.0720287252656177E-3</v>
      </c>
      <c r="G89" s="2"/>
      <c r="H89" s="6">
        <v>3000</v>
      </c>
      <c r="I89" s="2"/>
      <c r="J89" s="7">
        <f t="shared" si="54"/>
        <v>5.1473741254268197E-3</v>
      </c>
      <c r="K89" s="2"/>
      <c r="L89" s="6">
        <f t="shared" si="55"/>
        <v>0</v>
      </c>
      <c r="M89" s="2"/>
      <c r="N89" s="7">
        <f t="shared" si="56"/>
        <v>0</v>
      </c>
      <c r="O89" s="11"/>
      <c r="P89" s="6">
        <v>21000</v>
      </c>
      <c r="Q89" s="2"/>
      <c r="R89" s="7">
        <f t="shared" si="57"/>
        <v>3.9506141847739156E-3</v>
      </c>
      <c r="S89" s="2"/>
      <c r="T89" s="6">
        <v>21000</v>
      </c>
      <c r="U89" s="2"/>
      <c r="V89" s="7">
        <f t="shared" si="58"/>
        <v>3.8813278179196816E-3</v>
      </c>
      <c r="W89" s="2"/>
      <c r="X89" s="6">
        <f t="shared" si="59"/>
        <v>0</v>
      </c>
      <c r="Y89" s="2"/>
      <c r="Z89" s="7">
        <f t="shared" si="60"/>
        <v>0</v>
      </c>
    </row>
    <row r="90" spans="1:26" s="26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33008.340000000004</v>
      </c>
      <c r="E90" s="1"/>
      <c r="F90" s="5">
        <f t="shared" si="53"/>
        <v>5.5806416217778036E-2</v>
      </c>
      <c r="G90" s="1"/>
      <c r="H90" s="1">
        <f>SUM(OSRRefH22_16x_0)</f>
        <v>21136.93</v>
      </c>
      <c r="I90" s="1"/>
      <c r="J90" s="5">
        <f t="shared" si="54"/>
        <v>3.6266562190985972E-2</v>
      </c>
      <c r="K90" s="1"/>
      <c r="L90" s="1">
        <f t="shared" si="55"/>
        <v>11871.410000000003</v>
      </c>
      <c r="M90" s="1"/>
      <c r="N90" s="5">
        <f t="shared" si="56"/>
        <v>0.56164305790859903</v>
      </c>
      <c r="O90" s="13"/>
      <c r="P90" s="1">
        <f>SUM(OSRRefP22_16x_0)</f>
        <v>191845.33</v>
      </c>
      <c r="Q90" s="1"/>
      <c r="R90" s="5">
        <f t="shared" si="57"/>
        <v>3.6090803903839661E-2</v>
      </c>
      <c r="S90" s="1"/>
      <c r="T90" s="1">
        <f>SUM(OSRRefT22_16x_0)</f>
        <v>191484.39</v>
      </c>
      <c r="U90" s="1"/>
      <c r="V90" s="5">
        <f t="shared" si="58"/>
        <v>3.539112807639911E-2</v>
      </c>
      <c r="W90" s="1"/>
      <c r="X90" s="1">
        <f t="shared" si="59"/>
        <v>360.93999999997322</v>
      </c>
      <c r="Y90" s="1"/>
      <c r="Z90" s="5">
        <f t="shared" si="60"/>
        <v>1.8849578286771742E-3</v>
      </c>
    </row>
    <row r="91" spans="1:26" s="24" customFormat="1" hidden="1" outlineLevel="2" x14ac:dyDescent="0.25">
      <c r="A91" s="25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53"/>
        <v>0</v>
      </c>
      <c r="G91" s="2"/>
      <c r="H91" s="6"/>
      <c r="I91" s="2"/>
      <c r="J91" s="7">
        <f t="shared" si="54"/>
        <v>0</v>
      </c>
      <c r="K91" s="2"/>
      <c r="L91" s="6">
        <f t="shared" si="55"/>
        <v>0</v>
      </c>
      <c r="M91" s="2"/>
      <c r="N91" s="7">
        <f t="shared" si="56"/>
        <v>0</v>
      </c>
      <c r="O91" s="11"/>
      <c r="P91" s="6">
        <v>12244.62</v>
      </c>
      <c r="Q91" s="2"/>
      <c r="R91" s="7">
        <f t="shared" si="57"/>
        <v>2.3035128313888755E-3</v>
      </c>
      <c r="S91" s="2"/>
      <c r="T91" s="6">
        <v>16634.64</v>
      </c>
      <c r="U91" s="2"/>
      <c r="V91" s="7">
        <f t="shared" si="58"/>
        <v>3.0744995701466405E-3</v>
      </c>
      <c r="W91" s="2"/>
      <c r="X91" s="6">
        <f t="shared" si="59"/>
        <v>-4390.0199999999986</v>
      </c>
      <c r="Y91" s="2"/>
      <c r="Z91" s="7">
        <f t="shared" si="60"/>
        <v>-0.26390832623970212</v>
      </c>
    </row>
    <row r="92" spans="1:26" s="24" customFormat="1" hidden="1" outlineLevel="2" x14ac:dyDescent="0.25">
      <c r="A92" s="25"/>
      <c r="B92" s="11" t="str">
        <f>CONCATENATE("          ", "6372", " - ", "COMPUTER HARDWARE MAINTENANCE")</f>
        <v xml:space="preserve">          6372 - COMPUTER HARDWARE MAINTENANCE</v>
      </c>
      <c r="C92" s="11"/>
      <c r="D92" s="6">
        <v>-0.01</v>
      </c>
      <c r="E92" s="2"/>
      <c r="F92" s="7">
        <f t="shared" si="53"/>
        <v>-1.6906762417552059E-8</v>
      </c>
      <c r="G92" s="2"/>
      <c r="H92" s="6">
        <v>880.96</v>
      </c>
      <c r="I92" s="2"/>
      <c r="J92" s="7">
        <f t="shared" si="54"/>
        <v>1.5115435698453371E-3</v>
      </c>
      <c r="K92" s="2"/>
      <c r="L92" s="6">
        <f t="shared" si="55"/>
        <v>-880.97</v>
      </c>
      <c r="M92" s="2"/>
      <c r="N92" s="7">
        <f t="shared" si="56"/>
        <v>-1.0000113512531783</v>
      </c>
      <c r="O92" s="11"/>
      <c r="P92" s="6">
        <v>-0.01</v>
      </c>
      <c r="Q92" s="2"/>
      <c r="R92" s="7">
        <f t="shared" si="57"/>
        <v>-1.8812448498923407E-9</v>
      </c>
      <c r="S92" s="2"/>
      <c r="T92" s="6">
        <v>880.96</v>
      </c>
      <c r="U92" s="2"/>
      <c r="V92" s="7">
        <f t="shared" si="58"/>
        <v>1.6282355021307251E-4</v>
      </c>
      <c r="W92" s="2"/>
      <c r="X92" s="6">
        <f t="shared" si="59"/>
        <v>-880.97</v>
      </c>
      <c r="Y92" s="2"/>
      <c r="Z92" s="7">
        <f t="shared" si="60"/>
        <v>-1.0000113512531783</v>
      </c>
    </row>
    <row r="93" spans="1:26" s="24" customFormat="1" hidden="1" outlineLevel="2" x14ac:dyDescent="0.25">
      <c r="A93" s="25"/>
      <c r="B93" s="11" t="str">
        <f>CONCATENATE("          ", "6373", " - ", "MAINTENANCE CONTRACTS")</f>
        <v xml:space="preserve">          6373 - MAINTENANCE CONTRACTS</v>
      </c>
      <c r="C93" s="11"/>
      <c r="D93" s="6">
        <v>6799</v>
      </c>
      <c r="E93" s="2"/>
      <c r="F93" s="7">
        <f t="shared" si="53"/>
        <v>1.1494907767693645E-2</v>
      </c>
      <c r="G93" s="2"/>
      <c r="H93" s="6">
        <v>7565.9</v>
      </c>
      <c r="I93" s="2"/>
      <c r="J93" s="7">
        <f t="shared" si="54"/>
        <v>1.2981505965188924E-2</v>
      </c>
      <c r="K93" s="2"/>
      <c r="L93" s="6">
        <f t="shared" si="55"/>
        <v>-766.89999999999964</v>
      </c>
      <c r="M93" s="2"/>
      <c r="N93" s="7">
        <f t="shared" si="56"/>
        <v>-0.10136269313630893</v>
      </c>
      <c r="O93" s="11"/>
      <c r="P93" s="6">
        <v>65703.239999999991</v>
      </c>
      <c r="Q93" s="2"/>
      <c r="R93" s="7">
        <f t="shared" si="57"/>
        <v>1.2360388187124044E-2</v>
      </c>
      <c r="S93" s="2"/>
      <c r="T93" s="6">
        <v>77366.739999999991</v>
      </c>
      <c r="U93" s="2"/>
      <c r="V93" s="7">
        <f t="shared" si="58"/>
        <v>1.4299318102083777E-2</v>
      </c>
      <c r="W93" s="2"/>
      <c r="X93" s="6">
        <f t="shared" si="59"/>
        <v>-11663.5</v>
      </c>
      <c r="Y93" s="2"/>
      <c r="Z93" s="7">
        <f t="shared" si="60"/>
        <v>-0.15075599669832285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6">
        <v>26209.350000000002</v>
      </c>
      <c r="E94" s="2"/>
      <c r="F94" s="7">
        <f t="shared" si="53"/>
        <v>4.4311525356846806E-2</v>
      </c>
      <c r="G94" s="2"/>
      <c r="H94" s="6">
        <v>12690.07</v>
      </c>
      <c r="I94" s="2"/>
      <c r="J94" s="7">
        <f t="shared" si="54"/>
        <v>2.1773512655951708E-2</v>
      </c>
      <c r="K94" s="2"/>
      <c r="L94" s="6">
        <f t="shared" si="55"/>
        <v>13519.280000000002</v>
      </c>
      <c r="M94" s="2"/>
      <c r="N94" s="7">
        <f t="shared" si="56"/>
        <v>1.0653432171768953</v>
      </c>
      <c r="O94" s="11"/>
      <c r="P94" s="6">
        <v>113897.48</v>
      </c>
      <c r="Q94" s="2"/>
      <c r="R94" s="7">
        <f t="shared" si="57"/>
        <v>2.1426904766571588E-2</v>
      </c>
      <c r="S94" s="2"/>
      <c r="T94" s="6">
        <v>96602.05</v>
      </c>
      <c r="U94" s="2"/>
      <c r="V94" s="7">
        <f t="shared" si="58"/>
        <v>1.7854486853955617E-2</v>
      </c>
      <c r="W94" s="2"/>
      <c r="X94" s="6">
        <f t="shared" si="59"/>
        <v>17295.429999999993</v>
      </c>
      <c r="Y94" s="2"/>
      <c r="Z94" s="7">
        <f t="shared" si="60"/>
        <v>0.17903791896755805</v>
      </c>
    </row>
    <row r="95" spans="1:26" s="26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25849.93</v>
      </c>
      <c r="E95" s="1"/>
      <c r="F95" s="5">
        <f t="shared" ref="F95:F97" si="61">IF(D$12=0,0,D95/D$12)</f>
        <v>4.3703862502035146E-2</v>
      </c>
      <c r="G95" s="1"/>
      <c r="H95" s="1">
        <f>SUM(OSRRefH22_17x_0)</f>
        <v>29126.34</v>
      </c>
      <c r="I95" s="1"/>
      <c r="J95" s="5">
        <f t="shared" ref="J95:J97" si="62">IF(H$12=0,0,H95/H$12)</f>
        <v>4.9974722961461396E-2</v>
      </c>
      <c r="K95" s="1"/>
      <c r="L95" s="1">
        <f t="shared" ref="L95:L97" si="63">+D95-H95</f>
        <v>-3276.41</v>
      </c>
      <c r="M95" s="1"/>
      <c r="N95" s="5">
        <f t="shared" ref="N95:N97" si="64">IF(H95=0,0,L95/H95)</f>
        <v>-0.11248958846185274</v>
      </c>
      <c r="O95" s="13"/>
      <c r="P95" s="1">
        <f>SUM(OSRRefP22_17x_0)</f>
        <v>174856.9</v>
      </c>
      <c r="Q95" s="1"/>
      <c r="R95" s="5">
        <f t="shared" ref="R95:R97" si="65">IF(P$12=0,0,P95/P$12)</f>
        <v>3.2894864259314004E-2</v>
      </c>
      <c r="S95" s="1"/>
      <c r="T95" s="1">
        <f>SUM(OSRRefT22_17x_0)</f>
        <v>188732.40999999997</v>
      </c>
      <c r="U95" s="1"/>
      <c r="V95" s="5">
        <f t="shared" ref="V95:V97" si="66">IF(T$12=0,0,T95/T$12)</f>
        <v>3.4882493003620126E-2</v>
      </c>
      <c r="W95" s="1"/>
      <c r="X95" s="1">
        <f t="shared" ref="X95:X97" si="67">+P95-T95</f>
        <v>-13875.50999999998</v>
      </c>
      <c r="Y95" s="1"/>
      <c r="Z95" s="5">
        <f t="shared" ref="Z95:Z97" si="68">IF(T95=0,0,X95/T95)</f>
        <v>-7.3519487193534919E-2</v>
      </c>
    </row>
    <row r="96" spans="1:26" s="24" customFormat="1" hidden="1" outlineLevel="2" x14ac:dyDescent="0.25">
      <c r="A96" s="25"/>
      <c r="B96" s="11" t="str">
        <f>CONCATENATE("          ", "6254", " - ", "ROYALTY &amp; COMMISSIONS")</f>
        <v xml:space="preserve">          6254 - ROYALTY &amp; COMMISSIONS</v>
      </c>
      <c r="C96" s="11"/>
      <c r="D96" s="6">
        <v>17641.37</v>
      </c>
      <c r="E96" s="2"/>
      <c r="F96" s="7">
        <f t="shared" si="61"/>
        <v>2.9825845131013034E-2</v>
      </c>
      <c r="G96" s="2"/>
      <c r="H96" s="6">
        <v>20823.38</v>
      </c>
      <c r="I96" s="2"/>
      <c r="J96" s="7">
        <f t="shared" si="62"/>
        <v>3.5728575805310109E-2</v>
      </c>
      <c r="K96" s="2"/>
      <c r="L96" s="6">
        <f t="shared" si="63"/>
        <v>-3182.010000000002</v>
      </c>
      <c r="M96" s="2"/>
      <c r="N96" s="7">
        <f t="shared" si="64"/>
        <v>-0.15280948626015575</v>
      </c>
      <c r="O96" s="11"/>
      <c r="P96" s="6">
        <v>94003.22</v>
      </c>
      <c r="Q96" s="2"/>
      <c r="R96" s="7">
        <f t="shared" si="65"/>
        <v>1.7684307349829669E-2</v>
      </c>
      <c r="S96" s="2"/>
      <c r="T96" s="6">
        <v>107819.84999999999</v>
      </c>
      <c r="U96" s="2"/>
      <c r="V96" s="7">
        <f t="shared" si="66"/>
        <v>1.9927818244234636E-2</v>
      </c>
      <c r="W96" s="2"/>
      <c r="X96" s="6">
        <f t="shared" si="67"/>
        <v>-13816.62999999999</v>
      </c>
      <c r="Y96" s="2"/>
      <c r="Z96" s="7">
        <f t="shared" si="68"/>
        <v>-0.12814551309429564</v>
      </c>
    </row>
    <row r="97" spans="1:26" s="24" customFormat="1" hidden="1" outlineLevel="2" x14ac:dyDescent="0.25">
      <c r="A97" s="25"/>
      <c r="B97" s="11" t="str">
        <f>CONCATENATE("          ", "6259", " - ", "ROYALTY &amp; COMMISSIONS")</f>
        <v xml:space="preserve">          6259 - ROYALTY &amp; COMMISSIONS</v>
      </c>
      <c r="C97" s="11"/>
      <c r="D97" s="6">
        <v>8208.56</v>
      </c>
      <c r="E97" s="2"/>
      <c r="F97" s="7">
        <f t="shared" si="61"/>
        <v>1.3878017371022112E-2</v>
      </c>
      <c r="G97" s="2"/>
      <c r="H97" s="6">
        <v>8302.9599999999991</v>
      </c>
      <c r="I97" s="2"/>
      <c r="J97" s="7">
        <f t="shared" si="62"/>
        <v>1.4246147156151287E-2</v>
      </c>
      <c r="K97" s="2"/>
      <c r="L97" s="6">
        <f t="shared" si="63"/>
        <v>-94.399999999999636</v>
      </c>
      <c r="M97" s="2"/>
      <c r="N97" s="7">
        <f t="shared" si="64"/>
        <v>-1.1369439332478977E-2</v>
      </c>
      <c r="O97" s="11"/>
      <c r="P97" s="6">
        <v>80853.679999999993</v>
      </c>
      <c r="Q97" s="2"/>
      <c r="R97" s="7">
        <f t="shared" si="65"/>
        <v>1.5210556909484335E-2</v>
      </c>
      <c r="S97" s="2"/>
      <c r="T97" s="6">
        <v>80912.56</v>
      </c>
      <c r="U97" s="2"/>
      <c r="V97" s="7">
        <f t="shared" si="66"/>
        <v>1.4954674759385491E-2</v>
      </c>
      <c r="W97" s="2"/>
      <c r="X97" s="6">
        <f t="shared" si="67"/>
        <v>-58.880000000004657</v>
      </c>
      <c r="Y97" s="2"/>
      <c r="Z97" s="7">
        <f t="shared" si="68"/>
        <v>-7.2769913595620577E-4</v>
      </c>
    </row>
    <row r="98" spans="1:26" s="26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SUM(OSRRefD22_18x_0)</f>
        <v>26964.460000000003</v>
      </c>
      <c r="E98" s="1"/>
      <c r="F98" s="5">
        <f t="shared" ref="F98:F103" si="69">IF(D$12=0,0,D98/D$12)</f>
        <v>4.5588171893758585E-2</v>
      </c>
      <c r="G98" s="1"/>
      <c r="H98" s="1">
        <f>SUM(OSRRefH22_18x_0)</f>
        <v>24425.119999999999</v>
      </c>
      <c r="I98" s="1"/>
      <c r="J98" s="5">
        <f t="shared" ref="J98:J103" si="70">IF(H$12=0,0,H98/H$12)</f>
        <v>4.1908410232815038E-2</v>
      </c>
      <c r="K98" s="1"/>
      <c r="L98" s="1">
        <f t="shared" ref="L98:L103" si="71">+D98-H98</f>
        <v>2539.3400000000038</v>
      </c>
      <c r="M98" s="1"/>
      <c r="N98" s="5">
        <f t="shared" ref="N98:N103" si="72">IF(H98=0,0,L98/H98)</f>
        <v>0.10396427939760394</v>
      </c>
      <c r="O98" s="13"/>
      <c r="P98" s="1">
        <f>SUM(OSRRefP22_18x_0)</f>
        <v>169588.72</v>
      </c>
      <c r="Q98" s="1"/>
      <c r="R98" s="5">
        <f t="shared" ref="R98:R103" si="73">IF(P$12=0,0,P98/P$12)</f>
        <v>3.1903790609983419E-2</v>
      </c>
      <c r="S98" s="1"/>
      <c r="T98" s="1">
        <f>SUM(OSRRefT22_18x_0)</f>
        <v>167394.34</v>
      </c>
      <c r="U98" s="1"/>
      <c r="V98" s="5">
        <f t="shared" ref="V98:V103" si="74">IF(T$12=0,0,T98/T$12)</f>
        <v>3.0938681352585966E-2</v>
      </c>
      <c r="W98" s="1"/>
      <c r="X98" s="1">
        <f t="shared" ref="X98:X103" si="75">+P98-T98</f>
        <v>2194.3800000000047</v>
      </c>
      <c r="Y98" s="1"/>
      <c r="Z98" s="5">
        <f t="shared" ref="Z98:Z103" si="76">IF(T98=0,0,X98/T98)</f>
        <v>1.3109045383493879E-2</v>
      </c>
    </row>
    <row r="99" spans="1:26" s="24" customFormat="1" hidden="1" outlineLevel="2" x14ac:dyDescent="0.25">
      <c r="A99" s="25"/>
      <c r="B99" s="11" t="str">
        <f>CONCATENATE("          ", "6282", " - ", "JANITORIAL/EXTERMINATOR EXPENS")</f>
        <v xml:space="preserve">          6282 - JANITORIAL/EXTERMINATOR EXPENS</v>
      </c>
      <c r="C99" s="11"/>
      <c r="D99" s="6">
        <v>1434.77</v>
      </c>
      <c r="E99" s="2"/>
      <c r="F99" s="7">
        <f t="shared" si="69"/>
        <v>2.4257315513831167E-3</v>
      </c>
      <c r="G99" s="2"/>
      <c r="H99" s="6">
        <v>2068.16</v>
      </c>
      <c r="I99" s="2"/>
      <c r="J99" s="7">
        <f t="shared" si="70"/>
        <v>3.5485310904142435E-3</v>
      </c>
      <c r="K99" s="2"/>
      <c r="L99" s="6">
        <f t="shared" si="71"/>
        <v>-633.38999999999987</v>
      </c>
      <c r="M99" s="2"/>
      <c r="N99" s="7">
        <f t="shared" si="72"/>
        <v>-0.30625773634535042</v>
      </c>
      <c r="O99" s="11"/>
      <c r="P99" s="6">
        <v>14529.39</v>
      </c>
      <c r="Q99" s="2"/>
      <c r="R99" s="7">
        <f t="shared" si="73"/>
        <v>2.7333340109577278E-3</v>
      </c>
      <c r="S99" s="2"/>
      <c r="T99" s="6">
        <v>11426.54</v>
      </c>
      <c r="U99" s="2"/>
      <c r="V99" s="7">
        <f t="shared" si="74"/>
        <v>2.1119117887891409E-3</v>
      </c>
      <c r="W99" s="2"/>
      <c r="X99" s="6">
        <f t="shared" si="75"/>
        <v>3102.8499999999985</v>
      </c>
      <c r="Y99" s="2"/>
      <c r="Z99" s="7">
        <f t="shared" si="76"/>
        <v>0.27154764259347086</v>
      </c>
    </row>
    <row r="100" spans="1:26" s="24" customFormat="1" hidden="1" outlineLevel="2" x14ac:dyDescent="0.25">
      <c r="A100" s="25"/>
      <c r="B100" s="11" t="str">
        <f>CONCATENATE("          ", "6283", " - ", "PLANT SERVICE")</f>
        <v xml:space="preserve">          6283 - PLANT SERVICE</v>
      </c>
      <c r="C100" s="11"/>
      <c r="D100" s="6"/>
      <c r="E100" s="2"/>
      <c r="F100" s="7">
        <f t="shared" si="69"/>
        <v>0</v>
      </c>
      <c r="G100" s="2"/>
      <c r="H100" s="6">
        <v>176</v>
      </c>
      <c r="I100" s="2"/>
      <c r="J100" s="7">
        <f t="shared" si="70"/>
        <v>3.0197928202504011E-4</v>
      </c>
      <c r="K100" s="2"/>
      <c r="L100" s="6">
        <f t="shared" si="71"/>
        <v>-176</v>
      </c>
      <c r="M100" s="2"/>
      <c r="N100" s="7">
        <f t="shared" si="72"/>
        <v>-1</v>
      </c>
      <c r="O100" s="11"/>
      <c r="P100" s="6">
        <v>799.12</v>
      </c>
      <c r="Q100" s="2"/>
      <c r="R100" s="7">
        <f t="shared" si="73"/>
        <v>1.5033403844459675E-4</v>
      </c>
      <c r="S100" s="2"/>
      <c r="T100" s="6">
        <v>1232</v>
      </c>
      <c r="U100" s="2"/>
      <c r="V100" s="7">
        <f t="shared" si="74"/>
        <v>2.2770456531795465E-4</v>
      </c>
      <c r="W100" s="2"/>
      <c r="X100" s="6">
        <f t="shared" si="75"/>
        <v>-432.88</v>
      </c>
      <c r="Y100" s="2"/>
      <c r="Z100" s="7">
        <f t="shared" si="76"/>
        <v>-0.35136363636363638</v>
      </c>
    </row>
    <row r="101" spans="1:26" s="24" customFormat="1" hidden="1" outlineLevel="2" x14ac:dyDescent="0.25">
      <c r="A101" s="25"/>
      <c r="B101" s="11" t="str">
        <f>CONCATENATE("          ", "6284", " - ", "TRASH REMOVAL EXPENSE")</f>
        <v xml:space="preserve">          6284 - TRASH REMOVAL EXPENSE</v>
      </c>
      <c r="C101" s="11"/>
      <c r="D101" s="6">
        <v>5419</v>
      </c>
      <c r="E101" s="2"/>
      <c r="F101" s="7">
        <f t="shared" si="69"/>
        <v>9.1617745540714599E-3</v>
      </c>
      <c r="G101" s="2"/>
      <c r="H101" s="6">
        <v>4436</v>
      </c>
      <c r="I101" s="2"/>
      <c r="J101" s="7">
        <f t="shared" si="70"/>
        <v>7.6112505401311238E-3</v>
      </c>
      <c r="K101" s="2"/>
      <c r="L101" s="6">
        <f t="shared" si="71"/>
        <v>983</v>
      </c>
      <c r="M101" s="2"/>
      <c r="N101" s="7">
        <f t="shared" si="72"/>
        <v>0.22159603246167719</v>
      </c>
      <c r="O101" s="11"/>
      <c r="P101" s="6">
        <v>30045</v>
      </c>
      <c r="Q101" s="2"/>
      <c r="R101" s="7">
        <f t="shared" si="73"/>
        <v>5.6522001515015383E-3</v>
      </c>
      <c r="S101" s="2"/>
      <c r="T101" s="6">
        <v>41129</v>
      </c>
      <c r="U101" s="2"/>
      <c r="V101" s="7">
        <f t="shared" si="74"/>
        <v>7.6016729439627902E-3</v>
      </c>
      <c r="W101" s="2"/>
      <c r="X101" s="6">
        <f t="shared" si="75"/>
        <v>-11084</v>
      </c>
      <c r="Y101" s="2"/>
      <c r="Z101" s="7">
        <f t="shared" si="76"/>
        <v>-0.26949354470081938</v>
      </c>
    </row>
    <row r="102" spans="1:26" s="24" customFormat="1" hidden="1" outlineLevel="2" x14ac:dyDescent="0.25">
      <c r="A102" s="25"/>
      <c r="B102" s="11" t="str">
        <f>CONCATENATE("          ", "6285", " - ", "JANITORIAL SERVICES")</f>
        <v xml:space="preserve">          6285 - JANITORIAL SERVICES</v>
      </c>
      <c r="C102" s="11"/>
      <c r="D102" s="6">
        <v>16303.92</v>
      </c>
      <c r="E102" s="2"/>
      <c r="F102" s="7">
        <f t="shared" si="69"/>
        <v>2.7564650191477535E-2</v>
      </c>
      <c r="G102" s="2"/>
      <c r="H102" s="6">
        <v>14307.69</v>
      </c>
      <c r="I102" s="2"/>
      <c r="J102" s="7">
        <f t="shared" si="70"/>
        <v>2.4549011100209354E-2</v>
      </c>
      <c r="K102" s="2"/>
      <c r="L102" s="6">
        <f t="shared" si="71"/>
        <v>1996.2299999999996</v>
      </c>
      <c r="M102" s="2"/>
      <c r="N102" s="7">
        <f t="shared" si="72"/>
        <v>0.13952147411636676</v>
      </c>
      <c r="O102" s="11"/>
      <c r="P102" s="6">
        <v>96602.06</v>
      </c>
      <c r="Q102" s="2"/>
      <c r="R102" s="7">
        <f t="shared" si="73"/>
        <v>1.8173212786399089E-2</v>
      </c>
      <c r="S102" s="2"/>
      <c r="T102" s="6">
        <v>86513.209999999992</v>
      </c>
      <c r="U102" s="2"/>
      <c r="V102" s="7">
        <f t="shared" si="74"/>
        <v>1.5989815647167959E-2</v>
      </c>
      <c r="W102" s="2"/>
      <c r="X102" s="6">
        <f t="shared" si="75"/>
        <v>10088.850000000006</v>
      </c>
      <c r="Y102" s="2"/>
      <c r="Z102" s="7">
        <f t="shared" si="76"/>
        <v>0.11661629478318984</v>
      </c>
    </row>
    <row r="103" spans="1:26" s="24" customFormat="1" hidden="1" outlineLevel="2" x14ac:dyDescent="0.25">
      <c r="A103" s="25"/>
      <c r="B103" s="11" t="str">
        <f>CONCATENATE("          ", "6286", " - ", "LAUNDRY EXPENSE")</f>
        <v xml:space="preserve">          6286 - LAUNDRY EXPENSE</v>
      </c>
      <c r="C103" s="11"/>
      <c r="D103" s="6">
        <v>3806.77</v>
      </c>
      <c r="E103" s="2"/>
      <c r="F103" s="7">
        <f t="shared" si="69"/>
        <v>6.4360155968264648E-3</v>
      </c>
      <c r="G103" s="2"/>
      <c r="H103" s="6">
        <v>3437.27</v>
      </c>
      <c r="I103" s="2"/>
      <c r="J103" s="7">
        <f t="shared" si="70"/>
        <v>5.8976382200352818E-3</v>
      </c>
      <c r="K103" s="2"/>
      <c r="L103" s="6">
        <f t="shared" si="71"/>
        <v>369.5</v>
      </c>
      <c r="M103" s="2"/>
      <c r="N103" s="7">
        <f t="shared" si="72"/>
        <v>0.10749810169116771</v>
      </c>
      <c r="O103" s="11"/>
      <c r="P103" s="6">
        <v>27613.15</v>
      </c>
      <c r="Q103" s="2"/>
      <c r="R103" s="7">
        <f t="shared" si="73"/>
        <v>5.1947096226804693E-3</v>
      </c>
      <c r="S103" s="2"/>
      <c r="T103" s="6">
        <v>27093.59</v>
      </c>
      <c r="U103" s="2"/>
      <c r="V103" s="7">
        <f t="shared" si="74"/>
        <v>5.0075764073481193E-3</v>
      </c>
      <c r="W103" s="2"/>
      <c r="X103" s="6">
        <f t="shared" si="75"/>
        <v>519.56000000000131</v>
      </c>
      <c r="Y103" s="2"/>
      <c r="Z103" s="7">
        <f t="shared" si="76"/>
        <v>1.9176491561288162E-2</v>
      </c>
    </row>
    <row r="104" spans="1:26" s="26" customFormat="1" outlineLevel="1" collapsed="1" x14ac:dyDescent="0.25">
      <c r="A104" s="27"/>
      <c r="B104" s="13" t="str">
        <f>CONCATENATE("     ","Subscriptions &amp; Dues                              ")</f>
        <v xml:space="preserve">     Subscriptions &amp; Dues                              </v>
      </c>
      <c r="C104" s="13"/>
      <c r="D104" s="1">
        <f>SUM(OSRRefD22_19x_0)</f>
        <v>762.37999999999988</v>
      </c>
      <c r="E104" s="1"/>
      <c r="F104" s="5">
        <f t="shared" ref="F104:F106" si="77">IF(D$12=0,0,D104/D$12)</f>
        <v>1.2889377531893336E-3</v>
      </c>
      <c r="G104" s="1"/>
      <c r="H104" s="1">
        <f>SUM(OSRRefH22_19x_0)</f>
        <v>2067.96</v>
      </c>
      <c r="I104" s="1"/>
      <c r="J104" s="5">
        <f t="shared" ref="J104:J106" si="78">IF(H$12=0,0,H104/H$12)</f>
        <v>3.5481879321392156E-3</v>
      </c>
      <c r="K104" s="1"/>
      <c r="L104" s="1">
        <f t="shared" ref="L104:L106" si="79">+D104-H104</f>
        <v>-1305.5800000000002</v>
      </c>
      <c r="M104" s="1"/>
      <c r="N104" s="5">
        <f t="shared" ref="N104:N106" si="80">IF(H104=0,0,L104/H104)</f>
        <v>-0.63133716319464595</v>
      </c>
      <c r="O104" s="13"/>
      <c r="P104" s="1">
        <f>SUM(OSRRefP22_19x_0)</f>
        <v>8095.38</v>
      </c>
      <c r="Q104" s="1"/>
      <c r="R104" s="5">
        <f t="shared" ref="R104:R106" si="81">IF(P$12=0,0,P104/P$12)</f>
        <v>1.5229391932921458E-3</v>
      </c>
      <c r="S104" s="1"/>
      <c r="T104" s="1">
        <f>SUM(OSRRefT22_19x_0)</f>
        <v>4497.53</v>
      </c>
      <c r="U104" s="1"/>
      <c r="V104" s="5">
        <f t="shared" ref="V104:V106" si="82">IF(T$12=0,0,T104/T$12)</f>
        <v>8.312565857584907E-4</v>
      </c>
      <c r="W104" s="1"/>
      <c r="X104" s="1">
        <f t="shared" ref="X104:X106" si="83">+P104-T104</f>
        <v>3597.8500000000004</v>
      </c>
      <c r="Y104" s="1"/>
      <c r="Z104" s="5">
        <f t="shared" ref="Z104:Z106" si="84">IF(T104=0,0,X104/T104)</f>
        <v>0.79996131209797394</v>
      </c>
    </row>
    <row r="105" spans="1:26" s="24" customFormat="1" hidden="1" outlineLevel="2" x14ac:dyDescent="0.25">
      <c r="A105" s="25"/>
      <c r="B105" s="11" t="str">
        <f>CONCATENATE("          ", "6258", " - ", "MEMBERSHIP DUES")</f>
        <v xml:space="preserve">          6258 - MEMBERSHIP DUES</v>
      </c>
      <c r="C105" s="11"/>
      <c r="D105" s="6">
        <v>131.19999999999999</v>
      </c>
      <c r="E105" s="2"/>
      <c r="F105" s="7">
        <f t="shared" si="77"/>
        <v>2.2181672291828299E-4</v>
      </c>
      <c r="G105" s="2"/>
      <c r="H105" s="6">
        <v>256.39999999999998</v>
      </c>
      <c r="I105" s="2"/>
      <c r="J105" s="7">
        <f t="shared" si="78"/>
        <v>4.3992890858647881E-4</v>
      </c>
      <c r="K105" s="2"/>
      <c r="L105" s="6">
        <f t="shared" si="79"/>
        <v>-125.19999999999999</v>
      </c>
      <c r="M105" s="2"/>
      <c r="N105" s="7">
        <f t="shared" si="80"/>
        <v>-0.48829953198127923</v>
      </c>
      <c r="O105" s="11"/>
      <c r="P105" s="6">
        <v>3861.2</v>
      </c>
      <c r="Q105" s="2"/>
      <c r="R105" s="7">
        <f t="shared" si="81"/>
        <v>7.2638626144043059E-4</v>
      </c>
      <c r="S105" s="2"/>
      <c r="T105" s="6">
        <v>383.2</v>
      </c>
      <c r="U105" s="2"/>
      <c r="V105" s="7">
        <f t="shared" si="82"/>
        <v>7.0824991420324849E-5</v>
      </c>
      <c r="W105" s="2"/>
      <c r="X105" s="6">
        <f t="shared" si="83"/>
        <v>3478</v>
      </c>
      <c r="Y105" s="2"/>
      <c r="Z105" s="7">
        <f t="shared" si="84"/>
        <v>9.0762004175365352</v>
      </c>
    </row>
    <row r="106" spans="1:26" s="24" customFormat="1" hidden="1" outlineLevel="2" x14ac:dyDescent="0.25">
      <c r="A106" s="25"/>
      <c r="B106" s="11" t="str">
        <f>CONCATENATE("          ", "6275", " - ", "SUBSCRIPTIONS")</f>
        <v xml:space="preserve">          6275 - SUBSCRIPTIONS</v>
      </c>
      <c r="C106" s="11"/>
      <c r="D106" s="6">
        <v>631.17999999999995</v>
      </c>
      <c r="E106" s="2"/>
      <c r="F106" s="7">
        <f t="shared" si="77"/>
        <v>1.0671210302710507E-3</v>
      </c>
      <c r="G106" s="2"/>
      <c r="H106" s="6">
        <v>1811.56</v>
      </c>
      <c r="I106" s="2"/>
      <c r="J106" s="7">
        <f t="shared" si="78"/>
        <v>3.1082590235527365E-3</v>
      </c>
      <c r="K106" s="2"/>
      <c r="L106" s="6">
        <f t="shared" si="79"/>
        <v>-1180.3800000000001</v>
      </c>
      <c r="M106" s="2"/>
      <c r="N106" s="7">
        <f t="shared" si="80"/>
        <v>-0.65158206186932821</v>
      </c>
      <c r="O106" s="11"/>
      <c r="P106" s="6">
        <v>4234.18</v>
      </c>
      <c r="Q106" s="2"/>
      <c r="R106" s="7">
        <f t="shared" si="81"/>
        <v>7.9655293185171522E-4</v>
      </c>
      <c r="S106" s="2"/>
      <c r="T106" s="6">
        <v>4114.33</v>
      </c>
      <c r="U106" s="2"/>
      <c r="V106" s="7">
        <f t="shared" si="82"/>
        <v>7.6043159433816592E-4</v>
      </c>
      <c r="W106" s="2"/>
      <c r="X106" s="6">
        <f t="shared" si="83"/>
        <v>119.85000000000036</v>
      </c>
      <c r="Y106" s="2"/>
      <c r="Z106" s="7">
        <f t="shared" si="84"/>
        <v>2.9129894782382641E-2</v>
      </c>
    </row>
    <row r="107" spans="1:26" s="26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18146.360000000004</v>
      </c>
      <c r="E107" s="1"/>
      <c r="F107" s="5">
        <f t="shared" ref="F107:F115" si="85">IF(D$12=0,0,D107/D$12)</f>
        <v>3.0679619726337003E-2</v>
      </c>
      <c r="G107" s="1"/>
      <c r="H107" s="1">
        <f>SUM(OSRRefH22_20x_0)</f>
        <v>19984.059999999998</v>
      </c>
      <c r="I107" s="1"/>
      <c r="J107" s="5">
        <f t="shared" ref="J107:J115" si="86">IF(H$12=0,0,H107/H$12)</f>
        <v>3.4288477788325694E-2</v>
      </c>
      <c r="K107" s="1"/>
      <c r="L107" s="1">
        <f t="shared" ref="L107:L115" si="87">+D107-H107</f>
        <v>-1837.6999999999935</v>
      </c>
      <c r="M107" s="1"/>
      <c r="N107" s="5">
        <f t="shared" ref="N107:N115" si="88">IF(H107=0,0,L107/H107)</f>
        <v>-9.1958290757733596E-2</v>
      </c>
      <c r="O107" s="13"/>
      <c r="P107" s="1">
        <f>SUM(OSRRefP22_20x_0)</f>
        <v>172431.55</v>
      </c>
      <c r="Q107" s="1"/>
      <c r="R107" s="5">
        <f t="shared" ref="R107:R115" si="89">IF(P$12=0,0,P107/P$12)</f>
        <v>3.2438596539645363E-2</v>
      </c>
      <c r="S107" s="1"/>
      <c r="T107" s="1">
        <f>SUM(OSRRefT22_20x_0)</f>
        <v>156946.49999999997</v>
      </c>
      <c r="U107" s="1"/>
      <c r="V107" s="5">
        <f t="shared" ref="V107:V115" si="90">IF(T$12=0,0,T107/T$12)</f>
        <v>2.9007657922625295E-2</v>
      </c>
      <c r="W107" s="1"/>
      <c r="X107" s="1">
        <f t="shared" ref="X107:X115" si="91">+P107-T107</f>
        <v>15485.050000000017</v>
      </c>
      <c r="Y107" s="1"/>
      <c r="Z107" s="5">
        <f t="shared" ref="Z107:Z115" si="92">IF(T107=0,0,X107/T107)</f>
        <v>9.866451306655466E-2</v>
      </c>
    </row>
    <row r="108" spans="1:26" s="24" customFormat="1" hidden="1" outlineLevel="2" x14ac:dyDescent="0.25">
      <c r="A108" s="25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>
        <v>1008.79</v>
      </c>
      <c r="E108" s="2"/>
      <c r="F108" s="7">
        <f t="shared" si="85"/>
        <v>1.7055372859202341E-3</v>
      </c>
      <c r="G108" s="2"/>
      <c r="H108" s="6">
        <v>39.630000000000003</v>
      </c>
      <c r="I108" s="2"/>
      <c r="J108" s="7">
        <f t="shared" si="86"/>
        <v>6.7996812196888294E-5</v>
      </c>
      <c r="K108" s="2"/>
      <c r="L108" s="6">
        <f t="shared" si="87"/>
        <v>969.16</v>
      </c>
      <c r="M108" s="2"/>
      <c r="N108" s="7">
        <f t="shared" si="88"/>
        <v>24.455210698965427</v>
      </c>
      <c r="O108" s="11"/>
      <c r="P108" s="6">
        <v>14303.97</v>
      </c>
      <c r="Q108" s="2"/>
      <c r="R108" s="7">
        <f t="shared" si="89"/>
        <v>2.6909269895514544E-3</v>
      </c>
      <c r="S108" s="2"/>
      <c r="T108" s="6">
        <v>7955.24</v>
      </c>
      <c r="U108" s="2"/>
      <c r="V108" s="7">
        <f t="shared" si="90"/>
        <v>1.4703283004870176E-3</v>
      </c>
      <c r="W108" s="2"/>
      <c r="X108" s="6">
        <f t="shared" si="91"/>
        <v>6348.73</v>
      </c>
      <c r="Y108" s="2"/>
      <c r="Z108" s="7">
        <f t="shared" si="92"/>
        <v>0.79805637542047758</v>
      </c>
    </row>
    <row r="109" spans="1:26" s="24" customFormat="1" hidden="1" outlineLevel="2" x14ac:dyDescent="0.25">
      <c r="A109" s="25"/>
      <c r="B109" s="11" t="str">
        <f>CONCATENATE("          ", "6237", " - ", "JANITORIAL SUPPLIES")</f>
        <v xml:space="preserve">          6237 - JANITORIAL SUPPLIES</v>
      </c>
      <c r="C109" s="11"/>
      <c r="D109" s="6">
        <v>6298.01</v>
      </c>
      <c r="E109" s="2"/>
      <c r="F109" s="7">
        <f t="shared" si="85"/>
        <v>1.0647895877336704E-2</v>
      </c>
      <c r="G109" s="2"/>
      <c r="H109" s="6">
        <v>6392.48</v>
      </c>
      <c r="I109" s="2"/>
      <c r="J109" s="7">
        <f t="shared" si="86"/>
        <v>1.0968162049769479E-2</v>
      </c>
      <c r="K109" s="2"/>
      <c r="L109" s="6">
        <f t="shared" si="87"/>
        <v>-94.469999999999345</v>
      </c>
      <c r="M109" s="2"/>
      <c r="N109" s="7">
        <f t="shared" si="88"/>
        <v>-1.4778302004855604E-2</v>
      </c>
      <c r="O109" s="11"/>
      <c r="P109" s="6">
        <v>39295.919999999998</v>
      </c>
      <c r="Q109" s="2"/>
      <c r="R109" s="7">
        <f t="shared" si="89"/>
        <v>7.392524712178143E-3</v>
      </c>
      <c r="S109" s="2"/>
      <c r="T109" s="6">
        <v>38065.449999999997</v>
      </c>
      <c r="U109" s="2"/>
      <c r="V109" s="7">
        <f t="shared" si="90"/>
        <v>7.0354519041252728E-3</v>
      </c>
      <c r="W109" s="2"/>
      <c r="X109" s="6">
        <f t="shared" si="91"/>
        <v>1230.4700000000012</v>
      </c>
      <c r="Y109" s="2"/>
      <c r="Z109" s="7">
        <f t="shared" si="92"/>
        <v>3.2325113718608377E-2</v>
      </c>
    </row>
    <row r="110" spans="1:26" s="24" customFormat="1" hidden="1" outlineLevel="2" x14ac:dyDescent="0.25">
      <c r="A110" s="25"/>
      <c r="B110" s="11" t="str">
        <f>CONCATENATE("          ", "6239", " - ", "KITCHEN SUPPLIES")</f>
        <v xml:space="preserve">          6239 - KITCHEN SUPPLIES</v>
      </c>
      <c r="C110" s="11"/>
      <c r="D110" s="6">
        <v>2478.48</v>
      </c>
      <c r="E110" s="2"/>
      <c r="F110" s="7">
        <f t="shared" si="85"/>
        <v>4.1903072516654427E-3</v>
      </c>
      <c r="G110" s="2"/>
      <c r="H110" s="6">
        <v>4233.63</v>
      </c>
      <c r="I110" s="2"/>
      <c r="J110" s="7">
        <f t="shared" si="86"/>
        <v>7.2640258395435826E-3</v>
      </c>
      <c r="K110" s="2"/>
      <c r="L110" s="6">
        <f t="shared" si="87"/>
        <v>-1755.15</v>
      </c>
      <c r="M110" s="2"/>
      <c r="N110" s="7">
        <f t="shared" si="88"/>
        <v>-0.41457330942949666</v>
      </c>
      <c r="O110" s="11"/>
      <c r="P110" s="6">
        <v>35912.32</v>
      </c>
      <c r="Q110" s="2"/>
      <c r="R110" s="7">
        <f t="shared" si="89"/>
        <v>6.755986704768571E-3</v>
      </c>
      <c r="S110" s="2"/>
      <c r="T110" s="6">
        <v>23134.27</v>
      </c>
      <c r="U110" s="2"/>
      <c r="V110" s="7">
        <f t="shared" si="90"/>
        <v>4.2757945570602264E-3</v>
      </c>
      <c r="W110" s="2"/>
      <c r="X110" s="6">
        <f t="shared" si="91"/>
        <v>12778.05</v>
      </c>
      <c r="Y110" s="2"/>
      <c r="Z110" s="7">
        <f t="shared" si="92"/>
        <v>0.55234290945856512</v>
      </c>
    </row>
    <row r="111" spans="1:26" s="24" customFormat="1" hidden="1" outlineLevel="2" x14ac:dyDescent="0.25">
      <c r="A111" s="25"/>
      <c r="B111" s="11" t="str">
        <f>CONCATENATE("          ", "6241", " - ", "OFFICE EXPENSE")</f>
        <v xml:space="preserve">          6241 - OFFICE EXPENSE</v>
      </c>
      <c r="C111" s="11"/>
      <c r="D111" s="6">
        <v>1032.5999999999999</v>
      </c>
      <c r="E111" s="2"/>
      <c r="F111" s="7">
        <f t="shared" si="85"/>
        <v>1.7457922872364253E-3</v>
      </c>
      <c r="G111" s="2"/>
      <c r="H111" s="6">
        <v>3337.57</v>
      </c>
      <c r="I111" s="2"/>
      <c r="J111" s="7">
        <f t="shared" si="86"/>
        <v>5.7265738199335971E-3</v>
      </c>
      <c r="K111" s="2"/>
      <c r="L111" s="6">
        <f t="shared" si="87"/>
        <v>-2304.9700000000003</v>
      </c>
      <c r="M111" s="2"/>
      <c r="N111" s="7">
        <f t="shared" si="88"/>
        <v>-0.69061323058392787</v>
      </c>
      <c r="O111" s="11"/>
      <c r="P111" s="6">
        <v>17441.88</v>
      </c>
      <c r="Q111" s="2"/>
      <c r="R111" s="7">
        <f t="shared" si="89"/>
        <v>3.2812446922440225E-3</v>
      </c>
      <c r="S111" s="2"/>
      <c r="T111" s="6">
        <v>20547.72</v>
      </c>
      <c r="U111" s="2"/>
      <c r="V111" s="7">
        <f t="shared" si="90"/>
        <v>3.7977351062297433E-3</v>
      </c>
      <c r="W111" s="2"/>
      <c r="X111" s="6">
        <f t="shared" si="91"/>
        <v>-3105.84</v>
      </c>
      <c r="Y111" s="2"/>
      <c r="Z111" s="7">
        <f t="shared" si="92"/>
        <v>-0.15115253663180148</v>
      </c>
    </row>
    <row r="112" spans="1:26" s="24" customFormat="1" hidden="1" outlineLevel="2" x14ac:dyDescent="0.25">
      <c r="A112" s="25"/>
      <c r="B112" s="11" t="str">
        <f>CONCATENATE("          ", "6243", " - ", "PAPER SUPPLIES")</f>
        <v xml:space="preserve">          6243 - PAPER SUPPLIES</v>
      </c>
      <c r="C112" s="11"/>
      <c r="D112" s="6">
        <v>5443.22</v>
      </c>
      <c r="E112" s="2"/>
      <c r="F112" s="7">
        <f t="shared" si="85"/>
        <v>9.2027227326467714E-3</v>
      </c>
      <c r="G112" s="2"/>
      <c r="H112" s="6">
        <v>5672.25</v>
      </c>
      <c r="I112" s="2"/>
      <c r="J112" s="7">
        <f t="shared" si="86"/>
        <v>9.7323976276507598E-3</v>
      </c>
      <c r="K112" s="2"/>
      <c r="L112" s="6">
        <f t="shared" si="87"/>
        <v>-229.02999999999975</v>
      </c>
      <c r="M112" s="2"/>
      <c r="N112" s="7">
        <f t="shared" si="88"/>
        <v>-4.0377275331658469E-2</v>
      </c>
      <c r="O112" s="11"/>
      <c r="P112" s="6">
        <v>27642.070000000003</v>
      </c>
      <c r="Q112" s="2"/>
      <c r="R112" s="7">
        <f t="shared" si="89"/>
        <v>5.2001501827863587E-3</v>
      </c>
      <c r="S112" s="2"/>
      <c r="T112" s="6">
        <v>36953.699999999997</v>
      </c>
      <c r="U112" s="2"/>
      <c r="V112" s="7">
        <f t="shared" si="90"/>
        <v>6.829972561193263E-3</v>
      </c>
      <c r="W112" s="2"/>
      <c r="X112" s="6">
        <f t="shared" si="91"/>
        <v>-9311.6299999999937</v>
      </c>
      <c r="Y112" s="2"/>
      <c r="Z112" s="7">
        <f t="shared" si="92"/>
        <v>-0.25198099243106897</v>
      </c>
    </row>
    <row r="113" spans="1:26" s="24" customFormat="1" hidden="1" outlineLevel="2" x14ac:dyDescent="0.25">
      <c r="A113" s="25"/>
      <c r="B113" s="11" t="str">
        <f>CONCATENATE("          ", "6245", " - ", "PRINTING")</f>
        <v xml:space="preserve">          6245 - PRINTING</v>
      </c>
      <c r="C113" s="11"/>
      <c r="D113" s="6">
        <v>260.38</v>
      </c>
      <c r="E113" s="2"/>
      <c r="F113" s="7">
        <f t="shared" si="85"/>
        <v>4.4021827982822047E-4</v>
      </c>
      <c r="G113" s="2"/>
      <c r="H113" s="6">
        <v>106.18</v>
      </c>
      <c r="I113" s="2"/>
      <c r="J113" s="7">
        <f t="shared" si="86"/>
        <v>1.8218272821260659E-4</v>
      </c>
      <c r="K113" s="2"/>
      <c r="L113" s="6">
        <f t="shared" si="87"/>
        <v>154.19999999999999</v>
      </c>
      <c r="M113" s="2"/>
      <c r="N113" s="7">
        <f t="shared" si="88"/>
        <v>1.4522508947071009</v>
      </c>
      <c r="O113" s="11"/>
      <c r="P113" s="6">
        <v>613.02</v>
      </c>
      <c r="Q113" s="2"/>
      <c r="R113" s="7">
        <f t="shared" si="89"/>
        <v>1.1532407178810028E-4</v>
      </c>
      <c r="S113" s="2"/>
      <c r="T113" s="6">
        <v>158</v>
      </c>
      <c r="U113" s="2"/>
      <c r="V113" s="7">
        <f t="shared" si="90"/>
        <v>2.9202371201490938E-5</v>
      </c>
      <c r="W113" s="2"/>
      <c r="X113" s="6">
        <f t="shared" si="91"/>
        <v>455.02</v>
      </c>
      <c r="Y113" s="2"/>
      <c r="Z113" s="7">
        <f t="shared" si="92"/>
        <v>2.8798734177215191</v>
      </c>
    </row>
    <row r="114" spans="1:26" s="24" customFormat="1" hidden="1" outlineLevel="2" x14ac:dyDescent="0.25">
      <c r="A114" s="25"/>
      <c r="B114" s="11" t="str">
        <f>CONCATENATE("          ", "6247", " - ", "STORE SUPPLIES")</f>
        <v xml:space="preserve">          6247 - STORE SUPPLIES</v>
      </c>
      <c r="C114" s="11"/>
      <c r="D114" s="6">
        <v>1475.93</v>
      </c>
      <c r="E114" s="2"/>
      <c r="F114" s="7">
        <f t="shared" si="85"/>
        <v>2.4953197854937609E-3</v>
      </c>
      <c r="G114" s="2"/>
      <c r="H114" s="6">
        <v>-144.31</v>
      </c>
      <c r="I114" s="2"/>
      <c r="J114" s="7">
        <f t="shared" si="86"/>
        <v>-2.4760585334678145E-4</v>
      </c>
      <c r="K114" s="2"/>
      <c r="L114" s="6">
        <f t="shared" si="87"/>
        <v>1620.24</v>
      </c>
      <c r="M114" s="2"/>
      <c r="N114" s="7">
        <f t="shared" si="88"/>
        <v>-11.227496361998476</v>
      </c>
      <c r="O114" s="11"/>
      <c r="P114" s="6">
        <v>33339.67</v>
      </c>
      <c r="Q114" s="2"/>
      <c r="R114" s="7">
        <f t="shared" si="89"/>
        <v>6.2720082484610173E-3</v>
      </c>
      <c r="S114" s="2"/>
      <c r="T114" s="6">
        <v>20652.88</v>
      </c>
      <c r="U114" s="2"/>
      <c r="V114" s="7">
        <f t="shared" si="90"/>
        <v>3.8171713173408115E-3</v>
      </c>
      <c r="W114" s="2"/>
      <c r="X114" s="6">
        <f t="shared" si="91"/>
        <v>12686.789999999997</v>
      </c>
      <c r="Y114" s="2"/>
      <c r="Z114" s="7">
        <f t="shared" si="92"/>
        <v>0.6142867241759985</v>
      </c>
    </row>
    <row r="115" spans="1:26" s="24" customFormat="1" hidden="1" outlineLevel="2" x14ac:dyDescent="0.25">
      <c r="A115" s="25"/>
      <c r="B115" s="11" t="str">
        <f>CONCATENATE("          ", "6248", " - ", "UNIFORMS")</f>
        <v xml:space="preserve">          6248 - UNIFORMS</v>
      </c>
      <c r="C115" s="11"/>
      <c r="D115" s="6">
        <v>148.94999999999999</v>
      </c>
      <c r="E115" s="2"/>
      <c r="F115" s="7">
        <f t="shared" si="85"/>
        <v>2.5182622620943787E-4</v>
      </c>
      <c r="G115" s="2"/>
      <c r="H115" s="6">
        <v>346.63</v>
      </c>
      <c r="I115" s="2"/>
      <c r="J115" s="7">
        <f t="shared" si="86"/>
        <v>5.947447643655662E-4</v>
      </c>
      <c r="K115" s="2"/>
      <c r="L115" s="6">
        <f t="shared" si="87"/>
        <v>-197.68</v>
      </c>
      <c r="M115" s="2"/>
      <c r="N115" s="7">
        <f t="shared" si="88"/>
        <v>-0.57029108848051235</v>
      </c>
      <c r="O115" s="11"/>
      <c r="P115" s="6">
        <v>3882.7</v>
      </c>
      <c r="Q115" s="2"/>
      <c r="R115" s="7">
        <f t="shared" si="89"/>
        <v>7.304309378676991E-4</v>
      </c>
      <c r="S115" s="2"/>
      <c r="T115" s="6">
        <v>9479.24</v>
      </c>
      <c r="U115" s="2"/>
      <c r="V115" s="7">
        <f t="shared" si="90"/>
        <v>1.7520018049874745E-3</v>
      </c>
      <c r="W115" s="2"/>
      <c r="X115" s="6">
        <f t="shared" si="91"/>
        <v>-5596.54</v>
      </c>
      <c r="Y115" s="2"/>
      <c r="Z115" s="7">
        <f t="shared" si="92"/>
        <v>-0.59039965229279989</v>
      </c>
    </row>
    <row r="116" spans="1:26" s="26" customFormat="1" outlineLevel="1" collapsed="1" x14ac:dyDescent="0.25">
      <c r="A116" s="27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SUM(OSRRefD22_21x_0)</f>
        <v>3306.87</v>
      </c>
      <c r="E116" s="1"/>
      <c r="F116" s="5">
        <f t="shared" ref="F116:F123" si="93">IF(D$12=0,0,D116/D$12)</f>
        <v>5.5908465435730373E-3</v>
      </c>
      <c r="G116" s="1"/>
      <c r="H116" s="1">
        <f>SUM(OSRRefH22_21x_0)</f>
        <v>-21.52</v>
      </c>
      <c r="I116" s="1"/>
      <c r="J116" s="5">
        <f t="shared" ref="J116:J123" si="94">IF(H$12=0,0,H116/H$12)</f>
        <v>-3.6923830393061718E-5</v>
      </c>
      <c r="K116" s="1"/>
      <c r="L116" s="1">
        <f t="shared" ref="L116:L123" si="95">+D116-H116</f>
        <v>3328.39</v>
      </c>
      <c r="M116" s="1"/>
      <c r="N116" s="5">
        <f t="shared" ref="N116:N123" si="96">IF(H116=0,0,L116/H116)</f>
        <v>-154.66496282527882</v>
      </c>
      <c r="O116" s="13"/>
      <c r="P116" s="1">
        <f>SUM(OSRRefP22_21x_0)</f>
        <v>15851.649999999998</v>
      </c>
      <c r="Q116" s="1"/>
      <c r="R116" s="5">
        <f t="shared" ref="R116:R123" si="97">IF(P$12=0,0,P116/P$12)</f>
        <v>2.9820834924795922E-3</v>
      </c>
      <c r="S116" s="1"/>
      <c r="T116" s="1">
        <f>SUM(OSRRefT22_21x_0)</f>
        <v>13664.9</v>
      </c>
      <c r="U116" s="1"/>
      <c r="V116" s="5">
        <f t="shared" ref="V116:V123" si="98">IF(T$12=0,0,T116/T$12)</f>
        <v>2.525616976147174E-3</v>
      </c>
      <c r="W116" s="1"/>
      <c r="X116" s="1">
        <f t="shared" ref="X116:X123" si="99">+P116-T116</f>
        <v>2186.7499999999982</v>
      </c>
      <c r="Y116" s="1"/>
      <c r="Z116" s="5">
        <f t="shared" ref="Z116:Z123" si="100">IF(T116=0,0,X116/T116)</f>
        <v>0.16002678395012027</v>
      </c>
    </row>
    <row r="117" spans="1:26" s="24" customFormat="1" hidden="1" outlineLevel="2" x14ac:dyDescent="0.25">
      <c r="A117" s="25"/>
      <c r="B117" s="11" t="str">
        <f>CONCATENATE("          ", "6309", " - ", "TELEPHONE")</f>
        <v xml:space="preserve">          6309 - TELEPHONE</v>
      </c>
      <c r="C117" s="11"/>
      <c r="D117" s="6">
        <v>3306.87</v>
      </c>
      <c r="E117" s="2"/>
      <c r="F117" s="7">
        <f t="shared" si="93"/>
        <v>5.5908465435730373E-3</v>
      </c>
      <c r="G117" s="2"/>
      <c r="H117" s="6">
        <v>-21.52</v>
      </c>
      <c r="I117" s="2"/>
      <c r="J117" s="7">
        <f t="shared" si="94"/>
        <v>-3.6923830393061718E-5</v>
      </c>
      <c r="K117" s="2"/>
      <c r="L117" s="6">
        <f t="shared" si="95"/>
        <v>3328.39</v>
      </c>
      <c r="M117" s="2"/>
      <c r="N117" s="7">
        <f t="shared" si="96"/>
        <v>-154.66496282527882</v>
      </c>
      <c r="O117" s="11"/>
      <c r="P117" s="6">
        <v>15851.649999999998</v>
      </c>
      <c r="Q117" s="2"/>
      <c r="R117" s="7">
        <f t="shared" si="97"/>
        <v>2.9820834924795922E-3</v>
      </c>
      <c r="S117" s="2"/>
      <c r="T117" s="6">
        <v>13664.9</v>
      </c>
      <c r="U117" s="2"/>
      <c r="V117" s="7">
        <f t="shared" si="98"/>
        <v>2.525616976147174E-3</v>
      </c>
      <c r="W117" s="2"/>
      <c r="X117" s="6">
        <f t="shared" si="99"/>
        <v>2186.7499999999982</v>
      </c>
      <c r="Y117" s="2"/>
      <c r="Z117" s="7">
        <f t="shared" si="100"/>
        <v>0.16002678395012027</v>
      </c>
    </row>
    <row r="118" spans="1:26" s="26" customFormat="1" outlineLevel="1" collapsed="1" x14ac:dyDescent="0.25">
      <c r="A118" s="27"/>
      <c r="B118" s="13" t="str">
        <f>CONCATENATE("     ","Training                                          ")</f>
        <v xml:space="preserve">     Training                                          </v>
      </c>
      <c r="C118" s="13"/>
      <c r="D118" s="1">
        <f>SUM(OSRRefD22_22x_0)</f>
        <v>0</v>
      </c>
      <c r="E118" s="1"/>
      <c r="F118" s="5">
        <f t="shared" si="93"/>
        <v>0</v>
      </c>
      <c r="G118" s="1"/>
      <c r="H118" s="1">
        <f>SUM(OSRRefH22_22x_0)</f>
        <v>45.98</v>
      </c>
      <c r="I118" s="1"/>
      <c r="J118" s="5">
        <f t="shared" si="94"/>
        <v>7.8892087429041725E-5</v>
      </c>
      <c r="K118" s="1"/>
      <c r="L118" s="1">
        <f t="shared" si="95"/>
        <v>-45.98</v>
      </c>
      <c r="M118" s="1"/>
      <c r="N118" s="5">
        <f t="shared" si="96"/>
        <v>-1</v>
      </c>
      <c r="O118" s="13"/>
      <c r="P118" s="1">
        <f>SUM(OSRRefP22_22x_0)</f>
        <v>1907.5</v>
      </c>
      <c r="Q118" s="1"/>
      <c r="R118" s="5">
        <f t="shared" si="97"/>
        <v>3.58847455116964E-4</v>
      </c>
      <c r="S118" s="1"/>
      <c r="T118" s="1">
        <f>SUM(OSRRefT22_22x_0)</f>
        <v>1396.78</v>
      </c>
      <c r="U118" s="1"/>
      <c r="V118" s="5">
        <f t="shared" si="98"/>
        <v>2.5816005092923111E-4</v>
      </c>
      <c r="W118" s="1"/>
      <c r="X118" s="1">
        <f t="shared" si="99"/>
        <v>510.72</v>
      </c>
      <c r="Y118" s="1"/>
      <c r="Z118" s="5">
        <f t="shared" si="100"/>
        <v>0.36564097424075376</v>
      </c>
    </row>
    <row r="119" spans="1:26" s="24" customFormat="1" hidden="1" outlineLevel="2" x14ac:dyDescent="0.25">
      <c r="A119" s="25"/>
      <c r="B119" s="11" t="str">
        <f>CONCATENATE("          ", "6376", " - ", "TRAINING")</f>
        <v xml:space="preserve">          6376 - TRAINING</v>
      </c>
      <c r="C119" s="11"/>
      <c r="D119" s="6"/>
      <c r="E119" s="2"/>
      <c r="F119" s="7">
        <f t="shared" si="93"/>
        <v>0</v>
      </c>
      <c r="G119" s="2"/>
      <c r="H119" s="6">
        <v>45.98</v>
      </c>
      <c r="I119" s="2"/>
      <c r="J119" s="7">
        <f t="shared" si="94"/>
        <v>7.8892087429041725E-5</v>
      </c>
      <c r="K119" s="2"/>
      <c r="L119" s="6">
        <f t="shared" si="95"/>
        <v>-45.98</v>
      </c>
      <c r="M119" s="2"/>
      <c r="N119" s="7">
        <f t="shared" si="96"/>
        <v>-1</v>
      </c>
      <c r="O119" s="11"/>
      <c r="P119" s="6">
        <v>1907.5</v>
      </c>
      <c r="Q119" s="2"/>
      <c r="R119" s="7">
        <f t="shared" si="97"/>
        <v>3.58847455116964E-4</v>
      </c>
      <c r="S119" s="2"/>
      <c r="T119" s="6">
        <v>1396.78</v>
      </c>
      <c r="U119" s="2"/>
      <c r="V119" s="7">
        <f t="shared" si="98"/>
        <v>2.5816005092923111E-4</v>
      </c>
      <c r="W119" s="2"/>
      <c r="X119" s="6">
        <f t="shared" si="99"/>
        <v>510.72</v>
      </c>
      <c r="Y119" s="2"/>
      <c r="Z119" s="7">
        <f t="shared" si="100"/>
        <v>0.36564097424075376</v>
      </c>
    </row>
    <row r="120" spans="1:26" s="26" customFormat="1" outlineLevel="1" collapsed="1" x14ac:dyDescent="0.25">
      <c r="A120" s="27"/>
      <c r="B120" s="13" t="str">
        <f>CONCATENATE("     ","Travel                                            ")</f>
        <v xml:space="preserve">     Travel                                            </v>
      </c>
      <c r="C120" s="13"/>
      <c r="D120" s="1">
        <f>SUM(OSRRefD22_23x_0)</f>
        <v>125.53</v>
      </c>
      <c r="E120" s="1"/>
      <c r="F120" s="5">
        <f t="shared" si="93"/>
        <v>2.1223058862753099E-4</v>
      </c>
      <c r="G120" s="1"/>
      <c r="H120" s="1">
        <f>SUM(OSRRefH22_23x_0)</f>
        <v>54.16</v>
      </c>
      <c r="I120" s="1"/>
      <c r="J120" s="5">
        <f t="shared" si="94"/>
        <v>9.2927260877705519E-5</v>
      </c>
      <c r="K120" s="1"/>
      <c r="L120" s="1">
        <f t="shared" si="95"/>
        <v>71.37</v>
      </c>
      <c r="M120" s="1"/>
      <c r="N120" s="5">
        <f t="shared" si="96"/>
        <v>1.3177621861152145</v>
      </c>
      <c r="O120" s="13"/>
      <c r="P120" s="1">
        <f>SUM(OSRRefP22_23x_0)</f>
        <v>3069.35</v>
      </c>
      <c r="Q120" s="1"/>
      <c r="R120" s="5">
        <f t="shared" si="97"/>
        <v>5.7741988800170561E-4</v>
      </c>
      <c r="S120" s="1"/>
      <c r="T120" s="1">
        <f>SUM(OSRRefT22_23x_0)</f>
        <v>3268.7</v>
      </c>
      <c r="U120" s="1"/>
      <c r="V120" s="5">
        <f t="shared" si="98"/>
        <v>6.0413791611590778E-4</v>
      </c>
      <c r="W120" s="1"/>
      <c r="X120" s="1">
        <f t="shared" si="99"/>
        <v>-199.34999999999991</v>
      </c>
      <c r="Y120" s="1"/>
      <c r="Z120" s="5">
        <f t="shared" si="100"/>
        <v>-6.0987548566708454E-2</v>
      </c>
    </row>
    <row r="121" spans="1:26" s="24" customFormat="1" hidden="1" outlineLevel="2" x14ac:dyDescent="0.25">
      <c r="A121" s="25"/>
      <c r="B121" s="11" t="str">
        <f>CONCATENATE("          ", "6292", " - ", "TRAVEL/CONFERENCE")</f>
        <v xml:space="preserve">          6292 - TRAVEL/CONFERENCE</v>
      </c>
      <c r="C121" s="11"/>
      <c r="D121" s="6">
        <v>21.44</v>
      </c>
      <c r="E121" s="2"/>
      <c r="F121" s="7">
        <f t="shared" si="93"/>
        <v>3.6248098623231614E-5</v>
      </c>
      <c r="G121" s="2"/>
      <c r="H121" s="6">
        <v>54.16</v>
      </c>
      <c r="I121" s="2"/>
      <c r="J121" s="7">
        <f t="shared" si="94"/>
        <v>9.2927260877705519E-5</v>
      </c>
      <c r="K121" s="2"/>
      <c r="L121" s="6">
        <f t="shared" si="95"/>
        <v>-32.72</v>
      </c>
      <c r="M121" s="2"/>
      <c r="N121" s="7">
        <f t="shared" si="96"/>
        <v>-0.60413589364844911</v>
      </c>
      <c r="O121" s="11"/>
      <c r="P121" s="6">
        <v>2147.04</v>
      </c>
      <c r="Q121" s="2"/>
      <c r="R121" s="7">
        <f t="shared" si="97"/>
        <v>4.0391079425128513E-4</v>
      </c>
      <c r="S121" s="2"/>
      <c r="T121" s="6">
        <v>1339.02</v>
      </c>
      <c r="U121" s="2"/>
      <c r="V121" s="7">
        <f t="shared" si="98"/>
        <v>2.474845511786101E-4</v>
      </c>
      <c r="W121" s="2"/>
      <c r="X121" s="6">
        <f t="shared" si="99"/>
        <v>808.02</v>
      </c>
      <c r="Y121" s="2"/>
      <c r="Z121" s="7">
        <f t="shared" si="100"/>
        <v>0.60344132275843532</v>
      </c>
    </row>
    <row r="122" spans="1:26" s="24" customFormat="1" hidden="1" outlineLevel="2" x14ac:dyDescent="0.25">
      <c r="A122" s="25"/>
      <c r="B122" s="11" t="str">
        <f>CONCATENATE("          ", "6294", " - ", "TRAVEL OPERATIONAL")</f>
        <v xml:space="preserve">          6294 - TRAVEL OPERATIONAL</v>
      </c>
      <c r="C122" s="11"/>
      <c r="D122" s="6"/>
      <c r="E122" s="2"/>
      <c r="F122" s="7">
        <f t="shared" si="93"/>
        <v>0</v>
      </c>
      <c r="G122" s="2"/>
      <c r="H122" s="6"/>
      <c r="I122" s="2"/>
      <c r="J122" s="7">
        <f t="shared" si="94"/>
        <v>0</v>
      </c>
      <c r="K122" s="2"/>
      <c r="L122" s="6">
        <f t="shared" si="95"/>
        <v>0</v>
      </c>
      <c r="M122" s="2"/>
      <c r="N122" s="7">
        <f t="shared" si="96"/>
        <v>0</v>
      </c>
      <c r="O122" s="11"/>
      <c r="P122" s="6">
        <v>45.49</v>
      </c>
      <c r="Q122" s="2"/>
      <c r="R122" s="7">
        <f t="shared" si="97"/>
        <v>8.5577828221602588E-6</v>
      </c>
      <c r="S122" s="2"/>
      <c r="T122" s="6">
        <v>1258.9000000000001</v>
      </c>
      <c r="U122" s="2"/>
      <c r="V122" s="7">
        <f t="shared" si="98"/>
        <v>2.3267636142757561E-4</v>
      </c>
      <c r="W122" s="2"/>
      <c r="X122" s="6">
        <f t="shared" si="99"/>
        <v>-1213.4100000000001</v>
      </c>
      <c r="Y122" s="2"/>
      <c r="Z122" s="7">
        <f t="shared" si="100"/>
        <v>-0.96386527921201048</v>
      </c>
    </row>
    <row r="123" spans="1:26" s="24" customFormat="1" hidden="1" outlineLevel="2" x14ac:dyDescent="0.25">
      <c r="A123" s="25"/>
      <c r="B123" s="11" t="str">
        <f>CONCATENATE("          ", "6298", " - ", "VEHICLE MILEAGE")</f>
        <v xml:space="preserve">          6298 - VEHICLE MILEAGE</v>
      </c>
      <c r="C123" s="11"/>
      <c r="D123" s="6">
        <v>104.09</v>
      </c>
      <c r="E123" s="2"/>
      <c r="F123" s="7">
        <f t="shared" si="93"/>
        <v>1.7598249000429938E-4</v>
      </c>
      <c r="G123" s="2"/>
      <c r="H123" s="6"/>
      <c r="I123" s="2"/>
      <c r="J123" s="7">
        <f t="shared" si="94"/>
        <v>0</v>
      </c>
      <c r="K123" s="2"/>
      <c r="L123" s="6">
        <f t="shared" si="95"/>
        <v>104.09</v>
      </c>
      <c r="M123" s="2"/>
      <c r="N123" s="7">
        <f t="shared" si="96"/>
        <v>0</v>
      </c>
      <c r="O123" s="11"/>
      <c r="P123" s="6">
        <v>876.82</v>
      </c>
      <c r="Q123" s="2"/>
      <c r="R123" s="7">
        <f t="shared" si="97"/>
        <v>1.6495131092826023E-4</v>
      </c>
      <c r="S123" s="2"/>
      <c r="T123" s="6">
        <v>670.78</v>
      </c>
      <c r="U123" s="2"/>
      <c r="V123" s="7">
        <f t="shared" si="98"/>
        <v>1.239770035097221E-4</v>
      </c>
      <c r="W123" s="2"/>
      <c r="X123" s="6">
        <f t="shared" si="99"/>
        <v>206.04000000000008</v>
      </c>
      <c r="Y123" s="2"/>
      <c r="Z123" s="7">
        <f t="shared" si="100"/>
        <v>0.30716479322579698</v>
      </c>
    </row>
    <row r="124" spans="1:26" s="26" customFormat="1" outlineLevel="1" collapsed="1" x14ac:dyDescent="0.25">
      <c r="A124" s="27"/>
      <c r="B124" s="13" t="str">
        <f>CONCATENATE("     ","Utilities                                         ")</f>
        <v xml:space="preserve">     Utilities                                         </v>
      </c>
      <c r="C124" s="13"/>
      <c r="D124" s="1">
        <f>SUM(OSRRefD22_24x_0)</f>
        <v>16688</v>
      </c>
      <c r="E124" s="1"/>
      <c r="F124" s="5">
        <f t="shared" ref="F124:F125" si="101">IF(D$12=0,0,D124/D$12)</f>
        <v>2.8214005122410873E-2</v>
      </c>
      <c r="G124" s="1"/>
      <c r="H124" s="1">
        <f>SUM(OSRRefH22_24x_0)</f>
        <v>14694</v>
      </c>
      <c r="I124" s="1"/>
      <c r="J124" s="5">
        <f t="shared" ref="J124:J125" si="102">IF(H$12=0,0,H124/H$12)</f>
        <v>2.5211838466340564E-2</v>
      </c>
      <c r="K124" s="1"/>
      <c r="L124" s="1">
        <f t="shared" ref="L124:L125" si="103">+D124-H124</f>
        <v>1994</v>
      </c>
      <c r="M124" s="1"/>
      <c r="N124" s="5">
        <f t="shared" ref="N124:N125" si="104">IF(H124=0,0,L124/H124)</f>
        <v>0.13570164693072001</v>
      </c>
      <c r="O124" s="13"/>
      <c r="P124" s="1">
        <f>SUM(OSRRefP22_24x_0)</f>
        <v>119025.12</v>
      </c>
      <c r="Q124" s="1"/>
      <c r="R124" s="5">
        <f t="shared" ref="R124:R125" si="105">IF(P$12=0,0,P124/P$12)</f>
        <v>2.2391539400781785E-2</v>
      </c>
      <c r="S124" s="1"/>
      <c r="T124" s="1">
        <f>SUM(OSRRefT22_24x_0)</f>
        <v>77152.11</v>
      </c>
      <c r="U124" s="1"/>
      <c r="V124" s="5">
        <f t="shared" ref="V124:V125" si="106">IF(T$12=0,0,T124/T$12)</f>
        <v>1.4259649083533298E-2</v>
      </c>
      <c r="W124" s="1"/>
      <c r="X124" s="1">
        <f t="shared" ref="X124:X125" si="107">+P124-T124</f>
        <v>41873.009999999995</v>
      </c>
      <c r="Y124" s="1"/>
      <c r="Z124" s="5">
        <f t="shared" ref="Z124:Z125" si="108">IF(T124=0,0,X124/T124)</f>
        <v>0.54273317994802728</v>
      </c>
    </row>
    <row r="125" spans="1:26" s="24" customFormat="1" hidden="1" outlineLevel="2" x14ac:dyDescent="0.25">
      <c r="A125" s="25"/>
      <c r="B125" s="11" t="str">
        <f>CONCATENATE("          ", "6274", " - ", "UTILITIES")</f>
        <v xml:space="preserve">          6274 - UTILITIES</v>
      </c>
      <c r="C125" s="11"/>
      <c r="D125" s="6">
        <v>16688</v>
      </c>
      <c r="E125" s="2"/>
      <c r="F125" s="7">
        <f t="shared" si="101"/>
        <v>2.8214005122410873E-2</v>
      </c>
      <c r="G125" s="2"/>
      <c r="H125" s="6">
        <v>14694</v>
      </c>
      <c r="I125" s="2"/>
      <c r="J125" s="7">
        <f t="shared" si="102"/>
        <v>2.5211838466340564E-2</v>
      </c>
      <c r="K125" s="2"/>
      <c r="L125" s="6">
        <f t="shared" si="103"/>
        <v>1994</v>
      </c>
      <c r="M125" s="2"/>
      <c r="N125" s="7">
        <f t="shared" si="104"/>
        <v>0.13570164693072001</v>
      </c>
      <c r="O125" s="11"/>
      <c r="P125" s="6">
        <v>119025.12</v>
      </c>
      <c r="Q125" s="2"/>
      <c r="R125" s="7">
        <f t="shared" si="105"/>
        <v>2.2391539400781785E-2</v>
      </c>
      <c r="S125" s="2"/>
      <c r="T125" s="6">
        <v>77152.11</v>
      </c>
      <c r="U125" s="2"/>
      <c r="V125" s="7">
        <f t="shared" si="106"/>
        <v>1.4259649083533298E-2</v>
      </c>
      <c r="W125" s="2"/>
      <c r="X125" s="6">
        <f t="shared" si="107"/>
        <v>41873.009999999995</v>
      </c>
      <c r="Y125" s="2"/>
      <c r="Z125" s="7">
        <f t="shared" si="108"/>
        <v>0.54273317994802728</v>
      </c>
    </row>
    <row r="126" spans="1:26" s="59" customFormat="1" x14ac:dyDescent="0.25">
      <c r="A126" s="37"/>
      <c r="B126" s="37"/>
      <c r="C126" s="37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25">
      <c r="A127" s="10"/>
      <c r="B127" s="29" t="s">
        <v>0</v>
      </c>
      <c r="C127" s="10"/>
      <c r="D127" s="4">
        <f>SUM(OSRRefD25x_0)</f>
        <v>65507.39</v>
      </c>
      <c r="E127" s="4"/>
      <c r="F127" s="12">
        <f t="shared" ref="F127:F130" si="109">IF(D$12=0,0,D127/D$12)</f>
        <v>0.11075178793239256</v>
      </c>
      <c r="G127" s="4"/>
      <c r="H127" s="4">
        <f>SUM(OSRRefH25x_0)</f>
        <v>39019.89</v>
      </c>
      <c r="I127" s="4"/>
      <c r="J127" s="12">
        <f t="shared" ref="J127:J130" si="110">IF(H$12=0,0,H127/H$12)</f>
        <v>6.6949990721000233E-2</v>
      </c>
      <c r="K127" s="4"/>
      <c r="L127" s="4">
        <f t="shared" ref="L127:L130" si="111">+D127-H127</f>
        <v>26487.5</v>
      </c>
      <c r="M127" s="4"/>
      <c r="N127" s="12">
        <f t="shared" ref="N127:N130" si="112">IF(H127=0,0,L127/H127)</f>
        <v>0.67882046822787045</v>
      </c>
      <c r="O127" s="10"/>
      <c r="P127" s="4">
        <f>SUM(OSRRefP25x_0)</f>
        <v>579944.91999999993</v>
      </c>
      <c r="Q127" s="4"/>
      <c r="R127" s="12">
        <f t="shared" ref="R127:R130" si="113">IF(P$12=0,0,P127/P$12)</f>
        <v>0.10910183939712255</v>
      </c>
      <c r="S127" s="4"/>
      <c r="T127" s="4">
        <f>SUM(OSRRefT25x_0)</f>
        <v>497237.75</v>
      </c>
      <c r="U127" s="4"/>
      <c r="V127" s="12">
        <f t="shared" ref="V127:V130" si="114">IF(T$12=0,0,T127/T$12)</f>
        <v>9.1902033866418681E-2</v>
      </c>
      <c r="W127" s="4"/>
      <c r="X127" s="4">
        <f t="shared" ref="X127:X130" si="115">+P127-T127</f>
        <v>82707.169999999925</v>
      </c>
      <c r="Y127" s="4"/>
      <c r="Z127" s="12">
        <f t="shared" ref="Z127:Z130" si="116">IF(T127=0,0,X127/T127)</f>
        <v>0.16633324802873459</v>
      </c>
    </row>
    <row r="128" spans="1:26" s="24" customFormat="1" hidden="1" outlineLevel="1" x14ac:dyDescent="0.25">
      <c r="A128" s="44"/>
      <c r="B128" s="11" t="str">
        <f>CONCATENATE("          ", "9150", " - ", "MISC. INCOME")</f>
        <v xml:space="preserve">          9150 - MISC. INCOME</v>
      </c>
      <c r="C128" s="11"/>
      <c r="D128" s="2">
        <f>--47160.59</f>
        <v>47160.59</v>
      </c>
      <c r="E128" s="2"/>
      <c r="F128" s="19">
        <f t="shared" si="109"/>
        <v>7.9733289060158141E-2</v>
      </c>
      <c r="G128" s="2"/>
      <c r="H128" s="2">
        <f>--18804.95</f>
        <v>18804.95</v>
      </c>
      <c r="I128" s="2"/>
      <c r="J128" s="19">
        <f t="shared" si="110"/>
        <v>3.2265371019981691E-2</v>
      </c>
      <c r="K128" s="2"/>
      <c r="L128" s="2">
        <f t="shared" si="111"/>
        <v>28355.639999999996</v>
      </c>
      <c r="M128" s="2"/>
      <c r="N128" s="19">
        <f t="shared" si="112"/>
        <v>1.5078817013605457</v>
      </c>
      <c r="O128" s="11"/>
      <c r="P128" s="2">
        <f>--230131.86</f>
        <v>230131.86</v>
      </c>
      <c r="Q128" s="2"/>
      <c r="R128" s="19">
        <f t="shared" si="113"/>
        <v>4.3293437642114518E-2</v>
      </c>
      <c r="S128" s="2"/>
      <c r="T128" s="2">
        <f>--198706.14</f>
        <v>198706.14</v>
      </c>
      <c r="U128" s="2"/>
      <c r="V128" s="19">
        <f t="shared" si="114"/>
        <v>3.6725888989211565E-2</v>
      </c>
      <c r="W128" s="2"/>
      <c r="X128" s="2">
        <f t="shared" si="115"/>
        <v>31425.719999999972</v>
      </c>
      <c r="Y128" s="2"/>
      <c r="Z128" s="19">
        <f t="shared" si="116"/>
        <v>0.15815173099331489</v>
      </c>
    </row>
    <row r="129" spans="1:26" s="24" customFormat="1" hidden="1" outlineLevel="1" x14ac:dyDescent="0.25">
      <c r="A129" s="44"/>
      <c r="B129" s="11" t="str">
        <f>CONCATENATE("          ", "9160", " - ", "MISC. INCOME")</f>
        <v xml:space="preserve">          9160 - MISC. INCOME</v>
      </c>
      <c r="C129" s="11"/>
      <c r="D129" s="2">
        <f>--18346.8</f>
        <v>18346.8</v>
      </c>
      <c r="E129" s="2"/>
      <c r="F129" s="19">
        <f t="shared" si="109"/>
        <v>3.1018498872234408E-2</v>
      </c>
      <c r="G129" s="2"/>
      <c r="H129" s="2">
        <f>--11250.38</f>
        <v>11250.38</v>
      </c>
      <c r="I129" s="2"/>
      <c r="J129" s="19">
        <f t="shared" si="110"/>
        <v>1.9303304971073125E-2</v>
      </c>
      <c r="K129" s="2"/>
      <c r="L129" s="2">
        <f t="shared" si="111"/>
        <v>7096.42</v>
      </c>
      <c r="M129" s="2"/>
      <c r="N129" s="19">
        <f t="shared" si="112"/>
        <v>0.63077158282653567</v>
      </c>
      <c r="O129" s="11"/>
      <c r="P129" s="2">
        <f>--122397</f>
        <v>122397</v>
      </c>
      <c r="Q129" s="2"/>
      <c r="R129" s="19">
        <f t="shared" si="113"/>
        <v>2.3025872589227284E-2</v>
      </c>
      <c r="S129" s="2"/>
      <c r="T129" s="2">
        <f>--71636.05</f>
        <v>71636.05</v>
      </c>
      <c r="U129" s="2"/>
      <c r="V129" s="19">
        <f t="shared" si="114"/>
        <v>1.3240142553851678E-2</v>
      </c>
      <c r="W129" s="2"/>
      <c r="X129" s="2">
        <f t="shared" si="115"/>
        <v>50760.95</v>
      </c>
      <c r="Y129" s="2"/>
      <c r="Z129" s="19">
        <f t="shared" si="116"/>
        <v>0.70859504397576356</v>
      </c>
    </row>
    <row r="130" spans="1:26" s="24" customFormat="1" hidden="1" outlineLevel="1" x14ac:dyDescent="0.25">
      <c r="A130" s="44"/>
      <c r="B130" s="11" t="str">
        <f>CONCATENATE("          ", "9165", " - ", "OTHER INCOME")</f>
        <v xml:space="preserve">          9165 - OTHER INCOME</v>
      </c>
      <c r="C130" s="11"/>
      <c r="D130" s="2">
        <f>0</f>
        <v>0</v>
      </c>
      <c r="E130" s="2"/>
      <c r="F130" s="19">
        <f t="shared" si="109"/>
        <v>0</v>
      </c>
      <c r="G130" s="2"/>
      <c r="H130" s="2">
        <f>--8964.56</f>
        <v>8964.56</v>
      </c>
      <c r="I130" s="2"/>
      <c r="J130" s="19">
        <f t="shared" si="110"/>
        <v>1.5381314729945417E-2</v>
      </c>
      <c r="K130" s="2"/>
      <c r="L130" s="2">
        <f t="shared" si="111"/>
        <v>-8964.56</v>
      </c>
      <c r="M130" s="2"/>
      <c r="N130" s="19">
        <f t="shared" si="112"/>
        <v>-1</v>
      </c>
      <c r="O130" s="11"/>
      <c r="P130" s="2">
        <f>--227416.06</f>
        <v>227416.06</v>
      </c>
      <c r="Q130" s="2"/>
      <c r="R130" s="19">
        <f t="shared" si="113"/>
        <v>4.2782529165780757E-2</v>
      </c>
      <c r="S130" s="2"/>
      <c r="T130" s="2">
        <f>--226895.56</f>
        <v>226895.56</v>
      </c>
      <c r="U130" s="2"/>
      <c r="V130" s="19">
        <f t="shared" si="114"/>
        <v>4.193600232335544E-2</v>
      </c>
      <c r="W130" s="2"/>
      <c r="X130" s="2">
        <f t="shared" si="115"/>
        <v>520.5</v>
      </c>
      <c r="Y130" s="2"/>
      <c r="Z130" s="19">
        <f t="shared" si="116"/>
        <v>2.2940069871794761E-3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8" t="s">
        <v>3</v>
      </c>
      <c r="C132" s="28"/>
      <c r="D132" s="21">
        <f>+D37-D39+D127</f>
        <v>-190426.32999999984</v>
      </c>
      <c r="E132" s="14"/>
      <c r="F132" s="22">
        <f>IF(D$12=0,0,D132/D$12)</f>
        <v>-0.32194927193563633</v>
      </c>
      <c r="G132" s="14"/>
      <c r="H132" s="21">
        <f>+H37-H39+H127</f>
        <v>-163848.08000000002</v>
      </c>
      <c r="I132" s="14"/>
      <c r="J132" s="22">
        <f>IF(H$12=0,0,H132/H$12)</f>
        <v>-0.28112912249762123</v>
      </c>
      <c r="K132" s="16"/>
      <c r="L132" s="21">
        <f>+D132-H132</f>
        <v>-26578.249999999825</v>
      </c>
      <c r="M132" s="16"/>
      <c r="N132" s="22">
        <f>IF(H132=0,0,L132/H132)</f>
        <v>0.16221276440956661</v>
      </c>
      <c r="O132" s="29"/>
      <c r="P132" s="21">
        <f>+P37-P39+P127</f>
        <v>-250938.00999999931</v>
      </c>
      <c r="Q132" s="14"/>
      <c r="R132" s="22">
        <f>IF(P$12=0,0,P132/P$12)</f>
        <v>-4.7207583895473144E-2</v>
      </c>
      <c r="S132" s="14"/>
      <c r="T132" s="21">
        <f>+T37-T39+T127</f>
        <v>137321.09999999916</v>
      </c>
      <c r="U132" s="14"/>
      <c r="V132" s="22">
        <f>IF(T$12=0,0,T132/T$12)</f>
        <v>2.5380390734158435E-2</v>
      </c>
      <c r="W132" s="16"/>
      <c r="X132" s="21">
        <f>+P132-T132</f>
        <v>-388259.10999999847</v>
      </c>
      <c r="Y132" s="16"/>
      <c r="Z132" s="22">
        <f>IF(T132=0,0,X132/T132)</f>
        <v>-2.8273812982855575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1"/>
      <c r="B134" s="10" t="s">
        <v>13</v>
      </c>
      <c r="C134" s="10"/>
      <c r="D134" s="4">
        <v>44100.259999999995</v>
      </c>
      <c r="E134" s="4"/>
      <c r="F134" s="12">
        <f>IF(D$12=0,0,D134/D$12)</f>
        <v>7.4559261837227428E-2</v>
      </c>
      <c r="G134" s="4"/>
      <c r="H134" s="4">
        <v>29541.260000000002</v>
      </c>
      <c r="I134" s="4"/>
      <c r="J134" s="12">
        <f>IF(H$12=0,0,H134/H$12)</f>
        <v>5.0686639118835433E-2</v>
      </c>
      <c r="K134" s="4"/>
      <c r="L134" s="4">
        <f>+D134-H134</f>
        <v>14558.999999999993</v>
      </c>
      <c r="M134" s="4"/>
      <c r="N134" s="12">
        <f>IF(H134=0,0,L134/H134)</f>
        <v>0.49283612141120559</v>
      </c>
      <c r="O134" s="10"/>
      <c r="P134" s="4">
        <v>554344.83000000007</v>
      </c>
      <c r="Q134" s="4"/>
      <c r="R134" s="12">
        <f>IF(P$12=0,0,P134/P$12)</f>
        <v>0.10428583565019453</v>
      </c>
      <c r="S134" s="4"/>
      <c r="T134" s="4">
        <v>550522.98</v>
      </c>
      <c r="U134" s="4"/>
      <c r="V134" s="12">
        <f>IF(T$12=0,0,T134/T$12)</f>
        <v>0.10175048365133527</v>
      </c>
      <c r="W134" s="4"/>
      <c r="X134" s="4">
        <f>+P134-T134</f>
        <v>3821.8500000000931</v>
      </c>
      <c r="Y134" s="4"/>
      <c r="Z134" s="12">
        <f>IF(T134=0,0,X134/T134)</f>
        <v>6.9422170169900869E-3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4</v>
      </c>
      <c r="C136" s="28"/>
      <c r="D136" s="34">
        <f>+D132-D134</f>
        <v>-234526.58999999985</v>
      </c>
      <c r="E136" s="14"/>
      <c r="F136" s="31">
        <f>IF(D$12=0,0,D136/D$12)</f>
        <v>-0.39650853377286377</v>
      </c>
      <c r="G136" s="14"/>
      <c r="H136" s="34">
        <f>+H132-H134</f>
        <v>-193389.34000000003</v>
      </c>
      <c r="I136" s="14"/>
      <c r="J136" s="31">
        <f>IF(H$12=0,0,H136/H$12)</f>
        <v>-0.33181576161645665</v>
      </c>
      <c r="K136" s="16"/>
      <c r="L136" s="34">
        <f>D136-H136</f>
        <v>-41137.249999999825</v>
      </c>
      <c r="M136" s="16"/>
      <c r="N136" s="31">
        <f>IF(H136=0,0,L136/H136)</f>
        <v>0.21271725732142124</v>
      </c>
      <c r="O136" s="29"/>
      <c r="P136" s="34">
        <f>+P132-P134</f>
        <v>-805282.83999999939</v>
      </c>
      <c r="Q136" s="14"/>
      <c r="R136" s="31">
        <f>IF(P$12=0,0,P136/P$12)</f>
        <v>-0.15149341954566767</v>
      </c>
      <c r="S136" s="14"/>
      <c r="T136" s="34">
        <f>+T132-T134</f>
        <v>-413201.88000000082</v>
      </c>
      <c r="U136" s="14"/>
      <c r="V136" s="31">
        <f>IF(T$12=0,0,T136/T$12)</f>
        <v>-7.6370092917176821E-2</v>
      </c>
      <c r="W136" s="16"/>
      <c r="X136" s="34">
        <f>P136-T136</f>
        <v>-392080.95999999857</v>
      </c>
      <c r="Y136" s="16"/>
      <c r="Z136" s="31">
        <f>IF(T136=0,0,X136/T136)</f>
        <v>0.94888474369961184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8" t="s">
        <v>5</v>
      </c>
      <c r="C139" s="28"/>
      <c r="D139" s="30">
        <f>SUM(D136:D138)</f>
        <v>-234526.58999999985</v>
      </c>
      <c r="E139" s="14"/>
      <c r="F139" s="33">
        <f>IF(D$12=0,0,D139/D$12)</f>
        <v>-0.39650853377286377</v>
      </c>
      <c r="G139" s="14"/>
      <c r="H139" s="30">
        <f>SUM(H136:H138)</f>
        <v>-193389.34000000003</v>
      </c>
      <c r="I139" s="14"/>
      <c r="J139" s="33">
        <f>IF(H$12=0,0,H139/H$12)</f>
        <v>-0.33181576161645665</v>
      </c>
      <c r="K139" s="16"/>
      <c r="L139" s="30">
        <f>+D139-H139</f>
        <v>-41137.249999999825</v>
      </c>
      <c r="M139" s="16"/>
      <c r="N139" s="33">
        <f>IF(H139=0,0,L139/H139)</f>
        <v>0.21271725732142124</v>
      </c>
      <c r="O139" s="29"/>
      <c r="P139" s="30">
        <f>SUM(P136:P138)</f>
        <v>-805282.83999999939</v>
      </c>
      <c r="Q139" s="14"/>
      <c r="R139" s="33">
        <f>IF(P$12=0,0,P139/P$12)</f>
        <v>-0.15149341954566767</v>
      </c>
      <c r="S139" s="14"/>
      <c r="T139" s="30">
        <f>SUM(T136:T138)</f>
        <v>-413201.88000000082</v>
      </c>
      <c r="U139" s="14"/>
      <c r="V139" s="33">
        <f>IF(T$12=0,0,T139/T$12)</f>
        <v>-7.6370092917176821E-2</v>
      </c>
      <c r="W139" s="16"/>
      <c r="X139" s="30">
        <f>+P139-T139</f>
        <v>-392080.95999999857</v>
      </c>
      <c r="Y139" s="16"/>
      <c r="Z139" s="33">
        <f>IF(T139=0,0,X139/T139)</f>
        <v>0.94888474369961184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61">
        <v>43879.553443946759</v>
      </c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A142" s="9"/>
      <c r="B142" s="55" t="s">
        <v>313</v>
      </c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25">
      <c r="A143" s="9"/>
      <c r="B143" s="58"/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410288.41000000003</v>
      </c>
      <c r="E12" s="4"/>
      <c r="F12" s="12"/>
      <c r="G12" s="4"/>
      <c r="H12" s="4">
        <f>SUM(OSRRefH13x_0)</f>
        <v>414440.14</v>
      </c>
      <c r="I12" s="4"/>
      <c r="J12" s="12"/>
      <c r="K12" s="4"/>
      <c r="L12" s="4">
        <f t="shared" ref="L12:L23" si="0">+D12-H12</f>
        <v>-4151.7299999999814</v>
      </c>
      <c r="M12" s="4"/>
      <c r="N12" s="12">
        <f t="shared" ref="N12:N23" si="1">IF(H12=0,0,L12/H12)</f>
        <v>-1.0017683132719677E-2</v>
      </c>
      <c r="O12" s="10"/>
      <c r="P12" s="4">
        <f>SUM(OSRRefP13x_0)</f>
        <v>3507645.46</v>
      </c>
      <c r="Q12" s="4"/>
      <c r="R12" s="12"/>
      <c r="S12" s="4"/>
      <c r="T12" s="4">
        <f>SUM(OSRRefT13x_0)</f>
        <v>3687617.0900000003</v>
      </c>
      <c r="U12" s="4"/>
      <c r="V12" s="12"/>
      <c r="W12" s="4"/>
      <c r="X12" s="4">
        <f t="shared" ref="X12:X23" si="2">+P12-T12</f>
        <v>-179971.63000000035</v>
      </c>
      <c r="Y12" s="4"/>
      <c r="Z12" s="12">
        <f t="shared" ref="Z12:Z23" si="3">IF(T12=0,0,X12/T12)</f>
        <v>-4.8804316068510337E-2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--34536.57</f>
        <v>34536.57</v>
      </c>
      <c r="E13" s="2"/>
      <c r="F13" s="19"/>
      <c r="G13" s="2"/>
      <c r="H13" s="2">
        <f>--33407.06</f>
        <v>33407.06</v>
      </c>
      <c r="I13" s="2"/>
      <c r="J13" s="19"/>
      <c r="K13" s="2"/>
      <c r="L13" s="2">
        <f t="shared" si="0"/>
        <v>1129.510000000002</v>
      </c>
      <c r="M13" s="2"/>
      <c r="N13" s="19">
        <f t="shared" si="1"/>
        <v>3.3810517896516547E-2</v>
      </c>
      <c r="O13" s="11"/>
      <c r="P13" s="2">
        <f>--358262.16</f>
        <v>358262.16</v>
      </c>
      <c r="Q13" s="2"/>
      <c r="R13" s="19"/>
      <c r="S13" s="2"/>
      <c r="T13" s="2">
        <f>--376212.25</f>
        <v>376212.25</v>
      </c>
      <c r="U13" s="2"/>
      <c r="V13" s="19"/>
      <c r="W13" s="2"/>
      <c r="X13" s="2">
        <f t="shared" si="2"/>
        <v>-17950.090000000026</v>
      </c>
      <c r="Y13" s="2"/>
      <c r="Z13" s="19">
        <f t="shared" si="3"/>
        <v>-4.7712667516807403E-2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--120705.79</f>
        <v>120705.79</v>
      </c>
      <c r="E14" s="2"/>
      <c r="F14" s="19"/>
      <c r="G14" s="2"/>
      <c r="H14" s="2">
        <f>--118024.7</f>
        <v>118024.7</v>
      </c>
      <c r="I14" s="2"/>
      <c r="J14" s="19"/>
      <c r="K14" s="2"/>
      <c r="L14" s="2">
        <f t="shared" si="0"/>
        <v>2681.0899999999965</v>
      </c>
      <c r="M14" s="2"/>
      <c r="N14" s="19">
        <f t="shared" si="1"/>
        <v>2.2716346663028981E-2</v>
      </c>
      <c r="O14" s="11"/>
      <c r="P14" s="2">
        <f>--657002.44</f>
        <v>657002.43999999994</v>
      </c>
      <c r="Q14" s="2"/>
      <c r="R14" s="19"/>
      <c r="S14" s="2"/>
      <c r="T14" s="2">
        <f>--792014.39</f>
        <v>792014.39</v>
      </c>
      <c r="U14" s="2"/>
      <c r="V14" s="19"/>
      <c r="W14" s="2"/>
      <c r="X14" s="2">
        <f t="shared" si="2"/>
        <v>-135011.95000000007</v>
      </c>
      <c r="Y14" s="2"/>
      <c r="Z14" s="19">
        <f t="shared" si="3"/>
        <v>-0.17046653659916466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--9441.36</f>
        <v>9441.36</v>
      </c>
      <c r="E15" s="2"/>
      <c r="F15" s="19"/>
      <c r="G15" s="2"/>
      <c r="H15" s="2">
        <f>--6021.78</f>
        <v>6021.78</v>
      </c>
      <c r="I15" s="2"/>
      <c r="J15" s="19"/>
      <c r="K15" s="2"/>
      <c r="L15" s="2">
        <f t="shared" si="0"/>
        <v>3419.5800000000008</v>
      </c>
      <c r="M15" s="2"/>
      <c r="N15" s="19">
        <f t="shared" si="1"/>
        <v>0.56786863684824107</v>
      </c>
      <c r="O15" s="11"/>
      <c r="P15" s="2">
        <f>--95873.23</f>
        <v>95873.23</v>
      </c>
      <c r="Q15" s="2"/>
      <c r="R15" s="19"/>
      <c r="S15" s="2"/>
      <c r="T15" s="2">
        <f>--88072.74</f>
        <v>88072.74</v>
      </c>
      <c r="U15" s="2"/>
      <c r="V15" s="19"/>
      <c r="W15" s="2"/>
      <c r="X15" s="2">
        <f t="shared" si="2"/>
        <v>7800.4899999999907</v>
      </c>
      <c r="Y15" s="2"/>
      <c r="Z15" s="19">
        <f t="shared" si="3"/>
        <v>8.8568721717979818E-2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--31360</f>
        <v>31360</v>
      </c>
      <c r="E16" s="2"/>
      <c r="F16" s="19"/>
      <c r="G16" s="2"/>
      <c r="H16" s="2">
        <f>--38451.58</f>
        <v>38451.58</v>
      </c>
      <c r="I16" s="2"/>
      <c r="J16" s="19"/>
      <c r="K16" s="2"/>
      <c r="L16" s="2">
        <f t="shared" si="0"/>
        <v>-7091.5800000000017</v>
      </c>
      <c r="M16" s="2"/>
      <c r="N16" s="19">
        <f t="shared" si="1"/>
        <v>-0.1844288323132626</v>
      </c>
      <c r="O16" s="11"/>
      <c r="P16" s="2">
        <f>--303213.95</f>
        <v>303213.95</v>
      </c>
      <c r="Q16" s="2"/>
      <c r="R16" s="19"/>
      <c r="S16" s="2"/>
      <c r="T16" s="2">
        <f>--354772.53</f>
        <v>354772.53</v>
      </c>
      <c r="U16" s="2"/>
      <c r="V16" s="19"/>
      <c r="W16" s="2"/>
      <c r="X16" s="2">
        <f t="shared" si="2"/>
        <v>-51558.580000000016</v>
      </c>
      <c r="Y16" s="2"/>
      <c r="Z16" s="19">
        <f t="shared" si="3"/>
        <v>-0.14532855742805117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--7736.89</f>
        <v>7736.89</v>
      </c>
      <c r="E18" s="2"/>
      <c r="F18" s="19"/>
      <c r="G18" s="2"/>
      <c r="H18" s="2">
        <f>--9176.5</f>
        <v>9176.5</v>
      </c>
      <c r="I18" s="2"/>
      <c r="J18" s="19"/>
      <c r="K18" s="2"/>
      <c r="L18" s="2">
        <f t="shared" si="0"/>
        <v>-1439.6099999999997</v>
      </c>
      <c r="M18" s="2"/>
      <c r="N18" s="19">
        <f t="shared" si="1"/>
        <v>-0.15688007410232657</v>
      </c>
      <c r="O18" s="11"/>
      <c r="P18" s="2">
        <f>--95636.1</f>
        <v>95636.1</v>
      </c>
      <c r="Q18" s="2"/>
      <c r="R18" s="19"/>
      <c r="S18" s="2"/>
      <c r="T18" s="2">
        <f>--130787.25</f>
        <v>130787.25</v>
      </c>
      <c r="U18" s="2"/>
      <c r="V18" s="19"/>
      <c r="W18" s="2"/>
      <c r="X18" s="2">
        <f t="shared" si="2"/>
        <v>-35151.149999999994</v>
      </c>
      <c r="Y18" s="2"/>
      <c r="Z18" s="19">
        <f t="shared" si="3"/>
        <v>-0.2687658774077748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--98752.28</f>
        <v>98752.28</v>
      </c>
      <c r="E19" s="2"/>
      <c r="F19" s="19"/>
      <c r="G19" s="2"/>
      <c r="H19" s="2">
        <f>--103561.1</f>
        <v>103561.1</v>
      </c>
      <c r="I19" s="2"/>
      <c r="J19" s="19"/>
      <c r="K19" s="2"/>
      <c r="L19" s="2">
        <f t="shared" si="0"/>
        <v>-4808.820000000007</v>
      </c>
      <c r="M19" s="2"/>
      <c r="N19" s="19">
        <f t="shared" si="1"/>
        <v>-4.6434616859033044E-2</v>
      </c>
      <c r="O19" s="11"/>
      <c r="P19" s="2">
        <f>--1051930.87</f>
        <v>1051930.8700000001</v>
      </c>
      <c r="Q19" s="2"/>
      <c r="R19" s="19"/>
      <c r="S19" s="2"/>
      <c r="T19" s="2">
        <f>--1026931.41</f>
        <v>1026931.41</v>
      </c>
      <c r="U19" s="2"/>
      <c r="V19" s="19"/>
      <c r="W19" s="2"/>
      <c r="X19" s="2">
        <f t="shared" si="2"/>
        <v>24999.460000000079</v>
      </c>
      <c r="Y19" s="2"/>
      <c r="Z19" s="19">
        <f t="shared" si="3"/>
        <v>2.4343845904956866E-2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--4794.1</f>
        <v>4794.1000000000004</v>
      </c>
      <c r="E20" s="2"/>
      <c r="F20" s="19"/>
      <c r="G20" s="2"/>
      <c r="H20" s="2">
        <f>--4850.4</f>
        <v>4850.3999999999996</v>
      </c>
      <c r="I20" s="2"/>
      <c r="J20" s="19"/>
      <c r="K20" s="2"/>
      <c r="L20" s="2">
        <f t="shared" si="0"/>
        <v>-56.299999999999272</v>
      </c>
      <c r="M20" s="2"/>
      <c r="N20" s="19">
        <f t="shared" si="1"/>
        <v>-1.1607290120402292E-2</v>
      </c>
      <c r="O20" s="11"/>
      <c r="P20" s="2">
        <f>--39428.9</f>
        <v>39428.9</v>
      </c>
      <c r="Q20" s="2"/>
      <c r="R20" s="19"/>
      <c r="S20" s="2"/>
      <c r="T20" s="2">
        <f>--45353.92</f>
        <v>45353.919999999998</v>
      </c>
      <c r="U20" s="2"/>
      <c r="V20" s="19"/>
      <c r="W20" s="2"/>
      <c r="X20" s="2">
        <f t="shared" si="2"/>
        <v>-5925.0199999999968</v>
      </c>
      <c r="Y20" s="2"/>
      <c r="Z20" s="19">
        <f t="shared" si="3"/>
        <v>-0.13063964482011692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-527.13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--58440.71</f>
        <v>58440.71</v>
      </c>
      <c r="E22" s="2"/>
      <c r="F22" s="19"/>
      <c r="G22" s="2"/>
      <c r="H22" s="2">
        <f>--59305.86</f>
        <v>59305.86</v>
      </c>
      <c r="I22" s="2"/>
      <c r="J22" s="19"/>
      <c r="K22" s="2"/>
      <c r="L22" s="2">
        <f t="shared" si="0"/>
        <v>-865.15000000000146</v>
      </c>
      <c r="M22" s="2"/>
      <c r="N22" s="19">
        <f t="shared" si="1"/>
        <v>-1.4587934480673604E-2</v>
      </c>
      <c r="O22" s="11"/>
      <c r="P22" s="2">
        <f>--543161.16</f>
        <v>543161.16</v>
      </c>
      <c r="Q22" s="2"/>
      <c r="R22" s="19"/>
      <c r="S22" s="2"/>
      <c r="T22" s="2">
        <f>--507414.37</f>
        <v>507414.37</v>
      </c>
      <c r="U22" s="2"/>
      <c r="V22" s="19"/>
      <c r="W22" s="2"/>
      <c r="X22" s="2">
        <f t="shared" si="2"/>
        <v>35746.790000000037</v>
      </c>
      <c r="Y22" s="2"/>
      <c r="Z22" s="19">
        <f t="shared" si="3"/>
        <v>7.0448911409426648E-2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--44520.71</f>
        <v>44520.71</v>
      </c>
      <c r="E23" s="2"/>
      <c r="F23" s="19"/>
      <c r="G23" s="2"/>
      <c r="H23" s="2">
        <f>--41641.16</f>
        <v>41641.160000000003</v>
      </c>
      <c r="I23" s="2"/>
      <c r="J23" s="19"/>
      <c r="K23" s="2"/>
      <c r="L23" s="2">
        <f t="shared" si="0"/>
        <v>2879.5499999999956</v>
      </c>
      <c r="M23" s="2"/>
      <c r="N23" s="19">
        <f t="shared" si="1"/>
        <v>6.9151531801707619E-2</v>
      </c>
      <c r="O23" s="11"/>
      <c r="P23" s="2">
        <f>--363136.65</f>
        <v>363136.65</v>
      </c>
      <c r="Q23" s="2"/>
      <c r="R23" s="19"/>
      <c r="S23" s="2"/>
      <c r="T23" s="2">
        <f>--354025.02</f>
        <v>354025.02</v>
      </c>
      <c r="U23" s="2"/>
      <c r="V23" s="19"/>
      <c r="W23" s="2"/>
      <c r="X23" s="2">
        <f t="shared" si="2"/>
        <v>9111.6300000000047</v>
      </c>
      <c r="Y23" s="2"/>
      <c r="Z23" s="19">
        <f t="shared" si="3"/>
        <v>2.573724874021617E-2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159952.22</v>
      </c>
      <c r="E25" s="4"/>
      <c r="F25" s="12">
        <f t="shared" ref="F25:F27" si="4">IF(D$12=0,0,D25/D$12)</f>
        <v>0.38985312794967808</v>
      </c>
      <c r="G25" s="4"/>
      <c r="H25" s="4">
        <f>SUM(OSRRefH16x_0)</f>
        <v>140338.25</v>
      </c>
      <c r="I25" s="4"/>
      <c r="J25" s="12">
        <f t="shared" ref="J25:J27" si="5">IF(H$12=0,0,H25/H$12)</f>
        <v>0.33862127833467093</v>
      </c>
      <c r="K25" s="4"/>
      <c r="L25" s="4">
        <f t="shared" ref="L25:L27" si="6">+D25-H25</f>
        <v>19613.97</v>
      </c>
      <c r="M25" s="4"/>
      <c r="N25" s="12">
        <f t="shared" ref="N25:N27" si="7">IF(H25=0,0,L25/H25)</f>
        <v>0.13976211047237658</v>
      </c>
      <c r="O25" s="10"/>
      <c r="P25" s="4">
        <f>SUM(OSRRefP16x_0)</f>
        <v>1176030.08</v>
      </c>
      <c r="Q25" s="4"/>
      <c r="R25" s="12">
        <f t="shared" ref="R25:R27" si="8">IF(P$12=0,0,P25/P$12)</f>
        <v>0.33527621118241524</v>
      </c>
      <c r="S25" s="4"/>
      <c r="T25" s="4">
        <f>SUM(OSRRefT16x_0)</f>
        <v>1156371.5300000003</v>
      </c>
      <c r="U25" s="4"/>
      <c r="V25" s="12">
        <f t="shared" ref="V25:V27" si="9">IF(T$12=0,0,T25/T$12)</f>
        <v>0.31358232207346676</v>
      </c>
      <c r="W25" s="4"/>
      <c r="X25" s="4">
        <f t="shared" ref="X25:X27" si="10">+P25-T25</f>
        <v>19658.549999999814</v>
      </c>
      <c r="Y25" s="4"/>
      <c r="Z25" s="12">
        <f t="shared" ref="Z25:Z27" si="11">IF(T25=0,0,X25/T25)</f>
        <v>1.7000202348461321E-2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159599.64000000001</v>
      </c>
      <c r="E26" s="2"/>
      <c r="F26" s="19">
        <f t="shared" si="4"/>
        <v>0.38899378122818534</v>
      </c>
      <c r="G26" s="2"/>
      <c r="H26" s="2">
        <v>164807.22</v>
      </c>
      <c r="I26" s="2"/>
      <c r="J26" s="19">
        <f t="shared" si="5"/>
        <v>0.39766230172588979</v>
      </c>
      <c r="K26" s="2"/>
      <c r="L26" s="2">
        <f t="shared" si="6"/>
        <v>-5207.5799999999872</v>
      </c>
      <c r="M26" s="2"/>
      <c r="N26" s="19">
        <f t="shared" si="7"/>
        <v>-3.1598008873640289E-2</v>
      </c>
      <c r="O26" s="11"/>
      <c r="P26" s="2">
        <v>1208389.07</v>
      </c>
      <c r="Q26" s="2"/>
      <c r="R26" s="19">
        <f t="shared" si="8"/>
        <v>0.34450148505031636</v>
      </c>
      <c r="S26" s="2"/>
      <c r="T26" s="2">
        <v>1207079.9200000002</v>
      </c>
      <c r="U26" s="2"/>
      <c r="V26" s="19">
        <f t="shared" si="9"/>
        <v>0.32733331323182474</v>
      </c>
      <c r="W26" s="2"/>
      <c r="X26" s="2">
        <f t="shared" si="10"/>
        <v>1309.1499999999069</v>
      </c>
      <c r="Y26" s="2"/>
      <c r="Z26" s="19">
        <f t="shared" si="11"/>
        <v>1.0845595045603166E-3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352.58</v>
      </c>
      <c r="E27" s="2"/>
      <c r="F27" s="19">
        <f t="shared" si="4"/>
        <v>8.5934672149281513E-4</v>
      </c>
      <c r="G27" s="2"/>
      <c r="H27" s="2">
        <v>-24468.969999999998</v>
      </c>
      <c r="I27" s="2"/>
      <c r="J27" s="19">
        <f t="shared" si="5"/>
        <v>-5.9041023391218805E-2</v>
      </c>
      <c r="K27" s="2"/>
      <c r="L27" s="2">
        <f t="shared" si="6"/>
        <v>24821.55</v>
      </c>
      <c r="M27" s="2"/>
      <c r="N27" s="19">
        <f t="shared" si="7"/>
        <v>-1.014409270189959</v>
      </c>
      <c r="O27" s="11"/>
      <c r="P27" s="2">
        <v>-32358.99</v>
      </c>
      <c r="Q27" s="2"/>
      <c r="R27" s="19">
        <f t="shared" si="8"/>
        <v>-9.2252738679011199E-3</v>
      </c>
      <c r="S27" s="2"/>
      <c r="T27" s="2">
        <v>-50708.39</v>
      </c>
      <c r="U27" s="2"/>
      <c r="V27" s="19">
        <f t="shared" si="9"/>
        <v>-1.3750991158358037E-2</v>
      </c>
      <c r="W27" s="2"/>
      <c r="X27" s="2">
        <f t="shared" si="10"/>
        <v>18349.399999999998</v>
      </c>
      <c r="Y27" s="2"/>
      <c r="Z27" s="19">
        <f t="shared" si="11"/>
        <v>-0.36186122257086051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1">
        <f>D12-D25</f>
        <v>250336.19000000003</v>
      </c>
      <c r="E29" s="14"/>
      <c r="F29" s="22">
        <f>IF(D$12=0,0,D29/D$12)</f>
        <v>0.61014687205032192</v>
      </c>
      <c r="G29" s="14"/>
      <c r="H29" s="21">
        <f>H12-H25</f>
        <v>274101.89</v>
      </c>
      <c r="I29" s="14"/>
      <c r="J29" s="22">
        <f>IF(H$12=0,0,H29/H$12)</f>
        <v>0.66137872166532907</v>
      </c>
      <c r="K29" s="16"/>
      <c r="L29" s="21">
        <f>+D29-H29</f>
        <v>-23765.699999999983</v>
      </c>
      <c r="M29" s="16"/>
      <c r="N29" s="22">
        <f>IF(H29=0,0,L29/H29)</f>
        <v>-8.6703889564570244E-2</v>
      </c>
      <c r="O29" s="29"/>
      <c r="P29" s="21">
        <f>P12-P25</f>
        <v>2331615.38</v>
      </c>
      <c r="Q29" s="14"/>
      <c r="R29" s="22">
        <f>IF(P$12=0,0,P29/P$12)</f>
        <v>0.66472378881758476</v>
      </c>
      <c r="S29" s="14"/>
      <c r="T29" s="21">
        <f>T12-T25</f>
        <v>2531245.56</v>
      </c>
      <c r="U29" s="14"/>
      <c r="V29" s="22">
        <f>IF(T$12=0,0,T29/T$12)</f>
        <v>0.6864176779265333</v>
      </c>
      <c r="W29" s="16"/>
      <c r="X29" s="21">
        <f>+P29-T29</f>
        <v>-199630.18000000017</v>
      </c>
      <c r="Y29" s="16"/>
      <c r="Z29" s="22">
        <f>IF(T29=0,0,X29/T29)</f>
        <v>-7.8866382288093839E-2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0">
        <f>SUM(OSRRefD22x_0)</f>
        <v>505151.45000000007</v>
      </c>
      <c r="E31" s="20"/>
      <c r="F31" s="32">
        <f t="shared" ref="F31:F41" si="12">IF(D$12=0,0,D31/D$12)</f>
        <v>1.2312106257157009</v>
      </c>
      <c r="G31" s="20"/>
      <c r="H31" s="20">
        <f>SUM(OSRRefH22x_0)</f>
        <v>460634.83000000013</v>
      </c>
      <c r="I31" s="20"/>
      <c r="J31" s="32">
        <f t="shared" ref="J31:J41" si="13">IF(H$12=0,0,H31/H$12)</f>
        <v>1.1114628761586658</v>
      </c>
      <c r="K31" s="4"/>
      <c r="L31" s="20">
        <f t="shared" ref="L31:L41" si="14">+D31-H31</f>
        <v>44516.619999999937</v>
      </c>
      <c r="M31" s="4"/>
      <c r="N31" s="32">
        <f t="shared" ref="N31:N41" si="15">IF(H31=0,0,L31/H31)</f>
        <v>9.6641888760343908E-2</v>
      </c>
      <c r="O31" s="10"/>
      <c r="P31" s="20">
        <f>SUM(OSRRefP22x_0)</f>
        <v>3375239.6200000015</v>
      </c>
      <c r="Q31" s="20"/>
      <c r="R31" s="32">
        <f t="shared" ref="R31:R41" si="16">IF(P$12=0,0,P31/P$12)</f>
        <v>0.96225221690449914</v>
      </c>
      <c r="S31" s="20"/>
      <c r="T31" s="20">
        <f>SUM(OSRRefT22x_0)</f>
        <v>3099015.5100000007</v>
      </c>
      <c r="U31" s="20"/>
      <c r="V31" s="32">
        <f t="shared" ref="V31:V41" si="17">IF(T$12=0,0,T31/T$12)</f>
        <v>0.84038430085483751</v>
      </c>
      <c r="W31" s="4"/>
      <c r="X31" s="20">
        <f t="shared" ref="X31:X41" si="18">+P31-T31</f>
        <v>276224.1100000008</v>
      </c>
      <c r="Y31" s="4"/>
      <c r="Z31" s="32">
        <f t="shared" ref="Z31:Z41" si="19">IF(T31=0,0,X31/T31)</f>
        <v>8.9132858195989068E-2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69437.460000000006</v>
      </c>
      <c r="E32" s="1"/>
      <c r="F32" s="5">
        <f t="shared" si="12"/>
        <v>0.16924060808834449</v>
      </c>
      <c r="G32" s="1"/>
      <c r="H32" s="1">
        <f>SUM(OSRRefH22_0x_0)</f>
        <v>68123.5</v>
      </c>
      <c r="I32" s="1"/>
      <c r="J32" s="5">
        <f t="shared" si="13"/>
        <v>0.1643747635062569</v>
      </c>
      <c r="K32" s="1"/>
      <c r="L32" s="1">
        <f t="shared" si="14"/>
        <v>1313.9600000000064</v>
      </c>
      <c r="M32" s="1"/>
      <c r="N32" s="5">
        <f t="shared" si="15"/>
        <v>1.9287910926479208E-2</v>
      </c>
      <c r="O32" s="13"/>
      <c r="P32" s="1">
        <f>SUM(OSRRefP22_0x_0)</f>
        <v>476386.70000000007</v>
      </c>
      <c r="Q32" s="1"/>
      <c r="R32" s="5">
        <f t="shared" si="16"/>
        <v>0.13581381169578069</v>
      </c>
      <c r="S32" s="1"/>
      <c r="T32" s="1">
        <f>SUM(OSRRefT22_0x_0)</f>
        <v>427568.25999999995</v>
      </c>
      <c r="U32" s="1"/>
      <c r="V32" s="5">
        <f t="shared" si="17"/>
        <v>0.11594703288458832</v>
      </c>
      <c r="W32" s="1"/>
      <c r="X32" s="1">
        <f t="shared" si="18"/>
        <v>48818.440000000119</v>
      </c>
      <c r="Y32" s="1"/>
      <c r="Z32" s="5">
        <f t="shared" si="19"/>
        <v>0.11417695036577347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6">
        <v>11104.18</v>
      </c>
      <c r="E33" s="2"/>
      <c r="F33" s="7">
        <f t="shared" si="12"/>
        <v>2.7064327749350754E-2</v>
      </c>
      <c r="G33" s="2"/>
      <c r="H33" s="6">
        <v>8961.48</v>
      </c>
      <c r="I33" s="2"/>
      <c r="J33" s="7">
        <f t="shared" si="13"/>
        <v>2.1623098573415208E-2</v>
      </c>
      <c r="K33" s="2"/>
      <c r="L33" s="6">
        <f t="shared" si="14"/>
        <v>2142.7000000000007</v>
      </c>
      <c r="M33" s="2"/>
      <c r="N33" s="7">
        <f t="shared" si="15"/>
        <v>0.23910113061681784</v>
      </c>
      <c r="O33" s="11"/>
      <c r="P33" s="6">
        <v>91219.56</v>
      </c>
      <c r="Q33" s="2"/>
      <c r="R33" s="7">
        <f t="shared" si="16"/>
        <v>2.6005923643149499E-2</v>
      </c>
      <c r="S33" s="2"/>
      <c r="T33" s="6">
        <v>78493.62</v>
      </c>
      <c r="U33" s="2"/>
      <c r="V33" s="7">
        <f t="shared" si="17"/>
        <v>2.1285729533268863E-2</v>
      </c>
      <c r="W33" s="2"/>
      <c r="X33" s="6">
        <f t="shared" si="18"/>
        <v>12725.940000000002</v>
      </c>
      <c r="Y33" s="2"/>
      <c r="Z33" s="7">
        <f t="shared" si="19"/>
        <v>0.16212706204657146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6">
        <v>6507.66</v>
      </c>
      <c r="E34" s="2"/>
      <c r="F34" s="7">
        <f t="shared" si="12"/>
        <v>1.5861184087554409E-2</v>
      </c>
      <c r="G34" s="2"/>
      <c r="H34" s="6">
        <v>5376.89</v>
      </c>
      <c r="I34" s="2"/>
      <c r="J34" s="7">
        <f t="shared" si="13"/>
        <v>1.2973863969836514E-2</v>
      </c>
      <c r="K34" s="2"/>
      <c r="L34" s="6">
        <f t="shared" si="14"/>
        <v>1130.7699999999995</v>
      </c>
      <c r="M34" s="2"/>
      <c r="N34" s="7">
        <f t="shared" si="15"/>
        <v>0.21030186594853148</v>
      </c>
      <c r="O34" s="11"/>
      <c r="P34" s="6">
        <v>44487.67</v>
      </c>
      <c r="Q34" s="2"/>
      <c r="R34" s="7">
        <f t="shared" si="16"/>
        <v>1.268305776832987E-2</v>
      </c>
      <c r="S34" s="2"/>
      <c r="T34" s="6">
        <v>51086.94</v>
      </c>
      <c r="U34" s="2"/>
      <c r="V34" s="7">
        <f t="shared" si="17"/>
        <v>1.3853645525869932E-2</v>
      </c>
      <c r="W34" s="2"/>
      <c r="X34" s="6">
        <f t="shared" si="18"/>
        <v>-6599.2700000000041</v>
      </c>
      <c r="Y34" s="2"/>
      <c r="Z34" s="7">
        <f t="shared" si="19"/>
        <v>-0.12917724177646975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6">
        <v>25419.919999999998</v>
      </c>
      <c r="E35" s="2"/>
      <c r="F35" s="7">
        <f t="shared" si="12"/>
        <v>6.1956222453371269E-2</v>
      </c>
      <c r="G35" s="2"/>
      <c r="H35" s="6">
        <v>22283.439999999999</v>
      </c>
      <c r="I35" s="2"/>
      <c r="J35" s="7">
        <f t="shared" si="13"/>
        <v>5.3767571837998122E-2</v>
      </c>
      <c r="K35" s="2"/>
      <c r="L35" s="6">
        <f t="shared" si="14"/>
        <v>3136.4799999999996</v>
      </c>
      <c r="M35" s="2"/>
      <c r="N35" s="7">
        <f t="shared" si="15"/>
        <v>0.14075385129046503</v>
      </c>
      <c r="O35" s="11"/>
      <c r="P35" s="6">
        <v>154410.02000000002</v>
      </c>
      <c r="Q35" s="2"/>
      <c r="R35" s="7">
        <f t="shared" si="16"/>
        <v>4.40209883697881E-2</v>
      </c>
      <c r="S35" s="2"/>
      <c r="T35" s="6">
        <v>146511.12</v>
      </c>
      <c r="U35" s="2"/>
      <c r="V35" s="7">
        <f t="shared" si="17"/>
        <v>3.9730567579075837E-2</v>
      </c>
      <c r="W35" s="2"/>
      <c r="X35" s="6">
        <f t="shared" si="18"/>
        <v>7898.9000000000233</v>
      </c>
      <c r="Y35" s="2"/>
      <c r="Z35" s="7">
        <f t="shared" si="19"/>
        <v>5.3913313883615276E-2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6">
        <v>474.68</v>
      </c>
      <c r="E36" s="2"/>
      <c r="F36" s="7">
        <f t="shared" si="12"/>
        <v>1.1569422592268691E-3</v>
      </c>
      <c r="G36" s="2"/>
      <c r="H36" s="6">
        <v>407.25</v>
      </c>
      <c r="I36" s="2"/>
      <c r="J36" s="7">
        <f t="shared" si="13"/>
        <v>9.8265095654103394E-4</v>
      </c>
      <c r="K36" s="2"/>
      <c r="L36" s="6">
        <f t="shared" si="14"/>
        <v>67.430000000000007</v>
      </c>
      <c r="M36" s="2"/>
      <c r="N36" s="7">
        <f t="shared" si="15"/>
        <v>0.1655739717618171</v>
      </c>
      <c r="O36" s="11"/>
      <c r="P36" s="6">
        <v>4153.03</v>
      </c>
      <c r="Q36" s="2"/>
      <c r="R36" s="7">
        <f t="shared" si="16"/>
        <v>1.1839936639434477E-3</v>
      </c>
      <c r="S36" s="2"/>
      <c r="T36" s="6">
        <v>3876.78</v>
      </c>
      <c r="U36" s="2"/>
      <c r="V36" s="7">
        <f t="shared" si="17"/>
        <v>1.0512967874329925E-3</v>
      </c>
      <c r="W36" s="2"/>
      <c r="X36" s="6">
        <f t="shared" si="18"/>
        <v>276.24999999999955</v>
      </c>
      <c r="Y36" s="2"/>
      <c r="Z36" s="7">
        <f t="shared" si="19"/>
        <v>7.1257590061855336E-2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6">
        <v>10259.52</v>
      </c>
      <c r="E37" s="2"/>
      <c r="F37" s="7">
        <f t="shared" si="12"/>
        <v>2.5005629576521547E-2</v>
      </c>
      <c r="G37" s="2"/>
      <c r="H37" s="6">
        <v>9012.85</v>
      </c>
      <c r="I37" s="2"/>
      <c r="J37" s="7">
        <f t="shared" si="13"/>
        <v>2.1747048922433045E-2</v>
      </c>
      <c r="K37" s="2"/>
      <c r="L37" s="6">
        <f t="shared" si="14"/>
        <v>1246.67</v>
      </c>
      <c r="M37" s="2"/>
      <c r="N37" s="7">
        <f t="shared" si="15"/>
        <v>0.13832139667252866</v>
      </c>
      <c r="O37" s="11"/>
      <c r="P37" s="6">
        <v>52568.4</v>
      </c>
      <c r="Q37" s="2"/>
      <c r="R37" s="7">
        <f t="shared" si="16"/>
        <v>1.4986805422461369E-2</v>
      </c>
      <c r="S37" s="2"/>
      <c r="T37" s="6">
        <v>50869.53</v>
      </c>
      <c r="U37" s="2"/>
      <c r="V37" s="7">
        <f t="shared" si="17"/>
        <v>1.3794688753869506E-2</v>
      </c>
      <c r="W37" s="2"/>
      <c r="X37" s="6">
        <f t="shared" si="18"/>
        <v>1698.8700000000026</v>
      </c>
      <c r="Y37" s="2"/>
      <c r="Z37" s="7">
        <f t="shared" si="19"/>
        <v>3.339661286432178E-2</v>
      </c>
    </row>
    <row r="38" spans="1:26" s="24" customFormat="1" hidden="1" outlineLevel="2" x14ac:dyDescent="0.25">
      <c r="A38" s="25"/>
      <c r="B38" s="11" t="str">
        <f>CONCATENATE("          ", "6117", " - ", "RETIREMENT STAFF HOURLY")</f>
        <v xml:space="preserve">          6117 - RETIREMENT STAFF HOURLY</v>
      </c>
      <c r="C38" s="11"/>
      <c r="D38" s="6">
        <v>193.98</v>
      </c>
      <c r="E38" s="2"/>
      <c r="F38" s="7">
        <f t="shared" si="12"/>
        <v>4.7278937272442082E-4</v>
      </c>
      <c r="G38" s="2"/>
      <c r="H38" s="6">
        <v>56</v>
      </c>
      <c r="I38" s="2"/>
      <c r="J38" s="7">
        <f t="shared" si="13"/>
        <v>1.3512204681718329E-4</v>
      </c>
      <c r="K38" s="2"/>
      <c r="L38" s="6">
        <f t="shared" si="14"/>
        <v>137.97999999999999</v>
      </c>
      <c r="M38" s="2"/>
      <c r="N38" s="7">
        <f t="shared" si="15"/>
        <v>2.4639285714285712</v>
      </c>
      <c r="O38" s="11"/>
      <c r="P38" s="6">
        <v>557.98</v>
      </c>
      <c r="Q38" s="2"/>
      <c r="R38" s="7">
        <f t="shared" si="16"/>
        <v>1.5907537017723566E-4</v>
      </c>
      <c r="S38" s="2"/>
      <c r="T38" s="6">
        <v>420</v>
      </c>
      <c r="U38" s="2"/>
      <c r="V38" s="7">
        <f t="shared" si="17"/>
        <v>1.1389468856160441E-4</v>
      </c>
      <c r="W38" s="2"/>
      <c r="X38" s="6">
        <f t="shared" si="18"/>
        <v>137.98000000000002</v>
      </c>
      <c r="Y38" s="2"/>
      <c r="Z38" s="7">
        <f t="shared" si="19"/>
        <v>0.32852380952380955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6">
        <v>6679.87</v>
      </c>
      <c r="E39" s="2"/>
      <c r="F39" s="7">
        <f t="shared" si="12"/>
        <v>1.62809132239441E-2</v>
      </c>
      <c r="G39" s="2"/>
      <c r="H39" s="6">
        <v>7867.65</v>
      </c>
      <c r="I39" s="2"/>
      <c r="J39" s="7">
        <f t="shared" si="13"/>
        <v>1.8983803065021645E-2</v>
      </c>
      <c r="K39" s="2"/>
      <c r="L39" s="6">
        <f t="shared" si="14"/>
        <v>-1187.7799999999997</v>
      </c>
      <c r="M39" s="2"/>
      <c r="N39" s="7">
        <f t="shared" si="15"/>
        <v>-0.15097011178687408</v>
      </c>
      <c r="O39" s="11"/>
      <c r="P39" s="6">
        <v>51851.519999999997</v>
      </c>
      <c r="Q39" s="2"/>
      <c r="R39" s="7">
        <f t="shared" si="16"/>
        <v>1.4782429008660412E-2</v>
      </c>
      <c r="S39" s="2"/>
      <c r="T39" s="6">
        <v>43958.67</v>
      </c>
      <c r="U39" s="2"/>
      <c r="V39" s="7">
        <f t="shared" si="17"/>
        <v>1.1920616736267483E-2</v>
      </c>
      <c r="W39" s="2"/>
      <c r="X39" s="6">
        <f t="shared" si="18"/>
        <v>7892.8499999999985</v>
      </c>
      <c r="Y39" s="2"/>
      <c r="Z39" s="7">
        <f t="shared" si="19"/>
        <v>0.17955161063790143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6">
        <v>5188.91</v>
      </c>
      <c r="E40" s="2"/>
      <c r="F40" s="7">
        <f t="shared" si="12"/>
        <v>1.2646981668334232E-2</v>
      </c>
      <c r="G40" s="2"/>
      <c r="H40" s="6">
        <v>11448.89</v>
      </c>
      <c r="I40" s="2"/>
      <c r="J40" s="7">
        <f t="shared" si="13"/>
        <v>2.7624954474728243E-2</v>
      </c>
      <c r="K40" s="2"/>
      <c r="L40" s="6">
        <f t="shared" si="14"/>
        <v>-6259.98</v>
      </c>
      <c r="M40" s="2"/>
      <c r="N40" s="7">
        <f t="shared" si="15"/>
        <v>-0.54677615035169347</v>
      </c>
      <c r="O40" s="11"/>
      <c r="P40" s="6">
        <v>57875.630000000005</v>
      </c>
      <c r="Q40" s="2"/>
      <c r="R40" s="7">
        <f t="shared" si="16"/>
        <v>1.6499851726747779E-2</v>
      </c>
      <c r="S40" s="2"/>
      <c r="T40" s="6">
        <v>33066.44</v>
      </c>
      <c r="U40" s="2"/>
      <c r="V40" s="7">
        <f t="shared" si="17"/>
        <v>8.9668854420023314E-3</v>
      </c>
      <c r="W40" s="2"/>
      <c r="X40" s="6">
        <f t="shared" si="18"/>
        <v>24809.190000000002</v>
      </c>
      <c r="Y40" s="2"/>
      <c r="Z40" s="7">
        <f t="shared" si="19"/>
        <v>0.750283066456504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6">
        <v>3608.74</v>
      </c>
      <c r="E41" s="2"/>
      <c r="F41" s="7">
        <f t="shared" si="12"/>
        <v>8.7956176973168695E-3</v>
      </c>
      <c r="G41" s="2"/>
      <c r="H41" s="6">
        <v>2709.05</v>
      </c>
      <c r="I41" s="2"/>
      <c r="J41" s="7">
        <f t="shared" si="13"/>
        <v>6.5366496594659006E-3</v>
      </c>
      <c r="K41" s="2"/>
      <c r="L41" s="6">
        <f t="shared" si="14"/>
        <v>899.6899999999996</v>
      </c>
      <c r="M41" s="2"/>
      <c r="N41" s="7">
        <f t="shared" si="15"/>
        <v>0.33210535058415297</v>
      </c>
      <c r="O41" s="11"/>
      <c r="P41" s="6">
        <v>19262.89</v>
      </c>
      <c r="Q41" s="2"/>
      <c r="R41" s="7">
        <f t="shared" si="16"/>
        <v>5.4916867225229772E-3</v>
      </c>
      <c r="S41" s="2"/>
      <c r="T41" s="6">
        <v>19285.16</v>
      </c>
      <c r="U41" s="2"/>
      <c r="V41" s="7">
        <f t="shared" si="17"/>
        <v>5.2297078382397885E-3</v>
      </c>
      <c r="W41" s="2"/>
      <c r="X41" s="6">
        <f t="shared" si="18"/>
        <v>-22.270000000000437</v>
      </c>
      <c r="Y41" s="2"/>
      <c r="Z41" s="7">
        <f t="shared" si="19"/>
        <v>-1.1547739297988939E-3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234618.58999999997</v>
      </c>
      <c r="E42" s="1"/>
      <c r="F42" s="5">
        <f t="shared" ref="F42:F49" si="20">IF(D$12=0,0,D42/D$12)</f>
        <v>0.57183821010201075</v>
      </c>
      <c r="G42" s="1"/>
      <c r="H42" s="1">
        <f>SUM(OSRRefH22_1x_0)</f>
        <v>207265.17</v>
      </c>
      <c r="I42" s="1"/>
      <c r="J42" s="5">
        <f t="shared" ref="J42:J49" si="21">IF(H$12=0,0,H42/H$12)</f>
        <v>0.50010882150556168</v>
      </c>
      <c r="K42" s="1"/>
      <c r="L42" s="1">
        <f t="shared" ref="L42:L49" si="22">+D42-H42</f>
        <v>27353.419999999955</v>
      </c>
      <c r="M42" s="1"/>
      <c r="N42" s="5">
        <f t="shared" ref="N42:N49" si="23">IF(H42=0,0,L42/H42)</f>
        <v>0.13197306619341762</v>
      </c>
      <c r="O42" s="13"/>
      <c r="P42" s="1">
        <f>SUM(OSRRefP22_1x_0)</f>
        <v>1526721.4200000002</v>
      </c>
      <c r="Q42" s="1"/>
      <c r="R42" s="5">
        <f t="shared" ref="R42:R49" si="24">IF(P$12=0,0,P42/P$12)</f>
        <v>0.43525534077209738</v>
      </c>
      <c r="S42" s="1"/>
      <c r="T42" s="1">
        <f>SUM(OSRRefT22_1x_0)</f>
        <v>1379587.34</v>
      </c>
      <c r="U42" s="1"/>
      <c r="V42" s="5">
        <f t="shared" ref="V42:V49" si="25">IF(T$12=0,0,T42/T$12)</f>
        <v>0.37411350103055302</v>
      </c>
      <c r="W42" s="1"/>
      <c r="X42" s="1">
        <f t="shared" ref="X42:X49" si="26">+P42-T42</f>
        <v>147134.08000000007</v>
      </c>
      <c r="Y42" s="1"/>
      <c r="Z42" s="5">
        <f t="shared" ref="Z42:Z49" si="27">IF(T42=0,0,X42/T42)</f>
        <v>0.10665079022833021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6">
        <v>20764.329999999998</v>
      </c>
      <c r="E43" s="2"/>
      <c r="F43" s="7">
        <f t="shared" si="20"/>
        <v>5.060910689629277E-2</v>
      </c>
      <c r="G43" s="2"/>
      <c r="H43" s="6">
        <v>19626.129999999997</v>
      </c>
      <c r="I43" s="2"/>
      <c r="J43" s="7">
        <f t="shared" si="21"/>
        <v>4.7355765298216522E-2</v>
      </c>
      <c r="K43" s="2"/>
      <c r="L43" s="6">
        <f t="shared" si="22"/>
        <v>1138.2000000000007</v>
      </c>
      <c r="M43" s="2"/>
      <c r="N43" s="7">
        <f t="shared" si="23"/>
        <v>5.7994112950439075E-2</v>
      </c>
      <c r="O43" s="11"/>
      <c r="P43" s="6">
        <v>124998.73999999999</v>
      </c>
      <c r="Q43" s="2"/>
      <c r="R43" s="7">
        <f t="shared" si="24"/>
        <v>3.5636081646632553E-2</v>
      </c>
      <c r="S43" s="2"/>
      <c r="T43" s="6">
        <v>118123.34999999999</v>
      </c>
      <c r="U43" s="2"/>
      <c r="V43" s="7">
        <f t="shared" si="25"/>
        <v>3.2032433714531891E-2</v>
      </c>
      <c r="W43" s="2"/>
      <c r="X43" s="6">
        <f t="shared" si="26"/>
        <v>6875.3899999999994</v>
      </c>
      <c r="Y43" s="2"/>
      <c r="Z43" s="7">
        <f t="shared" si="27"/>
        <v>5.8205172812995906E-2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6">
        <v>78522.13</v>
      </c>
      <c r="E44" s="2"/>
      <c r="F44" s="7">
        <f t="shared" si="20"/>
        <v>0.19138276413901137</v>
      </c>
      <c r="G44" s="2"/>
      <c r="H44" s="6">
        <v>70610.320000000007</v>
      </c>
      <c r="I44" s="2"/>
      <c r="J44" s="7">
        <f t="shared" si="21"/>
        <v>0.17037519580029098</v>
      </c>
      <c r="K44" s="2"/>
      <c r="L44" s="6">
        <f t="shared" si="22"/>
        <v>7911.8099999999977</v>
      </c>
      <c r="M44" s="2"/>
      <c r="N44" s="7">
        <f t="shared" si="23"/>
        <v>0.11204891862832511</v>
      </c>
      <c r="O44" s="11"/>
      <c r="P44" s="6">
        <v>438646.82</v>
      </c>
      <c r="Q44" s="2"/>
      <c r="R44" s="7">
        <f t="shared" si="24"/>
        <v>0.12505449168172203</v>
      </c>
      <c r="S44" s="2"/>
      <c r="T44" s="6">
        <v>411049.04</v>
      </c>
      <c r="U44" s="2"/>
      <c r="V44" s="7">
        <f t="shared" si="25"/>
        <v>0.11146738665320589</v>
      </c>
      <c r="W44" s="2"/>
      <c r="X44" s="6">
        <f t="shared" si="26"/>
        <v>27597.780000000028</v>
      </c>
      <c r="Y44" s="2"/>
      <c r="Z44" s="7">
        <f t="shared" si="27"/>
        <v>6.7139872167077758E-2</v>
      </c>
    </row>
    <row r="45" spans="1:26" s="24" customFormat="1" hidden="1" outlineLevel="2" x14ac:dyDescent="0.25">
      <c r="A45" s="25"/>
      <c r="B45" s="11" t="str">
        <f>CONCATENATE("          ", "6004", " - ", "STAFF HOURLY")</f>
        <v xml:space="preserve">          6004 - STAFF HOURLY</v>
      </c>
      <c r="C45" s="11"/>
      <c r="D45" s="6">
        <v>23998.09</v>
      </c>
      <c r="E45" s="2"/>
      <c r="F45" s="7">
        <f t="shared" si="20"/>
        <v>5.8490782130550555E-2</v>
      </c>
      <c r="G45" s="2"/>
      <c r="H45" s="6">
        <v>13267.1</v>
      </c>
      <c r="I45" s="2"/>
      <c r="J45" s="7">
        <f t="shared" si="21"/>
        <v>3.2012101916575934E-2</v>
      </c>
      <c r="K45" s="2"/>
      <c r="L45" s="6">
        <f t="shared" si="22"/>
        <v>10730.99</v>
      </c>
      <c r="M45" s="2"/>
      <c r="N45" s="7">
        <f t="shared" si="23"/>
        <v>0.80884217349684551</v>
      </c>
      <c r="O45" s="11"/>
      <c r="P45" s="6">
        <v>145836.08000000002</v>
      </c>
      <c r="Q45" s="2"/>
      <c r="R45" s="7">
        <f t="shared" si="24"/>
        <v>4.1576630723676393E-2</v>
      </c>
      <c r="S45" s="2"/>
      <c r="T45" s="6">
        <v>96668.07</v>
      </c>
      <c r="U45" s="2"/>
      <c r="V45" s="7">
        <f t="shared" si="25"/>
        <v>2.6214237444050895E-2</v>
      </c>
      <c r="W45" s="2"/>
      <c r="X45" s="6">
        <f t="shared" si="26"/>
        <v>49168.010000000009</v>
      </c>
      <c r="Y45" s="2"/>
      <c r="Z45" s="7">
        <f t="shared" si="27"/>
        <v>0.50862720234302816</v>
      </c>
    </row>
    <row r="46" spans="1:26" s="24" customFormat="1" hidden="1" outlineLevel="2" x14ac:dyDescent="0.25">
      <c r="A46" s="25"/>
      <c r="B46" s="11" t="str">
        <f>CONCATENATE("          ", "6005", " - ", "TEMPORARY WAGES-HOURLY")</f>
        <v xml:space="preserve">          6005 - TEMPORARY WAGES-HOURLY</v>
      </c>
      <c r="C46" s="11"/>
      <c r="D46" s="6">
        <v>32623.070000000003</v>
      </c>
      <c r="E46" s="2"/>
      <c r="F46" s="7">
        <f t="shared" si="20"/>
        <v>7.9512531197261954E-2</v>
      </c>
      <c r="G46" s="2"/>
      <c r="H46" s="6">
        <v>25960.14</v>
      </c>
      <c r="I46" s="2"/>
      <c r="J46" s="7">
        <f t="shared" si="21"/>
        <v>6.2639058079654156E-2</v>
      </c>
      <c r="K46" s="2"/>
      <c r="L46" s="6">
        <f t="shared" si="22"/>
        <v>6662.9300000000039</v>
      </c>
      <c r="M46" s="2"/>
      <c r="N46" s="7">
        <f t="shared" si="23"/>
        <v>0.25666001801222965</v>
      </c>
      <c r="O46" s="11"/>
      <c r="P46" s="6">
        <v>308312.63</v>
      </c>
      <c r="Q46" s="2"/>
      <c r="R46" s="7">
        <f t="shared" si="24"/>
        <v>8.7897318447914069E-2</v>
      </c>
      <c r="S46" s="2"/>
      <c r="T46" s="6">
        <v>240568.78999999998</v>
      </c>
      <c r="U46" s="2"/>
      <c r="V46" s="7">
        <f t="shared" si="25"/>
        <v>6.523692241593336E-2</v>
      </c>
      <c r="W46" s="2"/>
      <c r="X46" s="6">
        <f t="shared" si="26"/>
        <v>67743.840000000026</v>
      </c>
      <c r="Y46" s="2"/>
      <c r="Z46" s="7">
        <f t="shared" si="27"/>
        <v>0.28159862299677374</v>
      </c>
    </row>
    <row r="47" spans="1:26" s="24" customFormat="1" hidden="1" outlineLevel="2" x14ac:dyDescent="0.25">
      <c r="A47" s="25"/>
      <c r="B47" s="11" t="str">
        <f>CONCATENATE("          ", "6006", " - ", "TEMPORARY PART TIME")</f>
        <v xml:space="preserve">          6006 - TEMPORARY PART TIME</v>
      </c>
      <c r="C47" s="11"/>
      <c r="D47" s="6">
        <v>68.25</v>
      </c>
      <c r="E47" s="2"/>
      <c r="F47" s="7">
        <f t="shared" si="20"/>
        <v>1.6634640008475989E-4</v>
      </c>
      <c r="G47" s="2"/>
      <c r="H47" s="6">
        <v>186.49</v>
      </c>
      <c r="I47" s="2"/>
      <c r="J47" s="7">
        <f t="shared" si="21"/>
        <v>4.4998054483815202E-4</v>
      </c>
      <c r="K47" s="2"/>
      <c r="L47" s="6">
        <f t="shared" si="22"/>
        <v>-118.24000000000001</v>
      </c>
      <c r="M47" s="2"/>
      <c r="N47" s="7">
        <f t="shared" si="23"/>
        <v>-0.63402863424312295</v>
      </c>
      <c r="O47" s="11"/>
      <c r="P47" s="6">
        <v>10710.9</v>
      </c>
      <c r="Q47" s="2"/>
      <c r="R47" s="7">
        <f t="shared" si="24"/>
        <v>3.0535868354266337E-3</v>
      </c>
      <c r="S47" s="2"/>
      <c r="T47" s="6">
        <v>5898.43</v>
      </c>
      <c r="U47" s="2"/>
      <c r="V47" s="7">
        <f t="shared" si="25"/>
        <v>1.5995234472676772E-3</v>
      </c>
      <c r="W47" s="2"/>
      <c r="X47" s="6">
        <f t="shared" si="26"/>
        <v>4812.4699999999993</v>
      </c>
      <c r="Y47" s="2"/>
      <c r="Z47" s="7">
        <f t="shared" si="27"/>
        <v>0.81588999106541893</v>
      </c>
    </row>
    <row r="48" spans="1:26" s="24" customFormat="1" hidden="1" outlineLevel="2" x14ac:dyDescent="0.25">
      <c r="A48" s="25"/>
      <c r="B48" s="11" t="str">
        <f>CONCATENATE("          ", "6007", " - ", "STUDENT HOURLY")</f>
        <v xml:space="preserve">          6007 - STUDENT HOURLY</v>
      </c>
      <c r="C48" s="11"/>
      <c r="D48" s="6">
        <v>77407.719999999987</v>
      </c>
      <c r="E48" s="2"/>
      <c r="F48" s="7">
        <f t="shared" si="20"/>
        <v>0.18866660162298998</v>
      </c>
      <c r="G48" s="2"/>
      <c r="H48" s="6">
        <v>75738.47</v>
      </c>
      <c r="I48" s="2"/>
      <c r="J48" s="7">
        <f t="shared" si="21"/>
        <v>0.18274887659288985</v>
      </c>
      <c r="K48" s="2"/>
      <c r="L48" s="6">
        <f t="shared" si="22"/>
        <v>1669.2499999999854</v>
      </c>
      <c r="M48" s="2"/>
      <c r="N48" s="7">
        <f t="shared" si="23"/>
        <v>2.203965831366788E-2</v>
      </c>
      <c r="O48" s="11"/>
      <c r="P48" s="6">
        <v>475470.58</v>
      </c>
      <c r="Q48" s="2"/>
      <c r="R48" s="7">
        <f t="shared" si="24"/>
        <v>0.13555263364616105</v>
      </c>
      <c r="S48" s="2"/>
      <c r="T48" s="6">
        <v>467456.07999999996</v>
      </c>
      <c r="U48" s="2"/>
      <c r="V48" s="7">
        <f t="shared" si="25"/>
        <v>0.12676372535197247</v>
      </c>
      <c r="W48" s="2"/>
      <c r="X48" s="6">
        <f t="shared" si="26"/>
        <v>8014.5000000000582</v>
      </c>
      <c r="Y48" s="2"/>
      <c r="Z48" s="7">
        <f t="shared" si="27"/>
        <v>1.7144926214244682E-2</v>
      </c>
    </row>
    <row r="49" spans="1:26" s="24" customFormat="1" hidden="1" outlineLevel="2" x14ac:dyDescent="0.25">
      <c r="A49" s="25"/>
      <c r="B49" s="11" t="str">
        <f>CONCATENATE("          ", "6008", " - ", "STUDENT HOURLY-FICA EXEMPT")</f>
        <v xml:space="preserve">          6008 - STUDENT HOURLY-FICA EXEMPT</v>
      </c>
      <c r="C49" s="11"/>
      <c r="D49" s="6">
        <v>1235</v>
      </c>
      <c r="E49" s="2"/>
      <c r="F49" s="7">
        <f t="shared" si="20"/>
        <v>3.0100777158194644E-3</v>
      </c>
      <c r="G49" s="2"/>
      <c r="H49" s="6">
        <v>1876.52</v>
      </c>
      <c r="I49" s="2"/>
      <c r="J49" s="7">
        <f t="shared" si="21"/>
        <v>4.5278432730960858E-3</v>
      </c>
      <c r="K49" s="2"/>
      <c r="L49" s="6">
        <f t="shared" si="22"/>
        <v>-641.52</v>
      </c>
      <c r="M49" s="2"/>
      <c r="N49" s="7">
        <f t="shared" si="23"/>
        <v>-0.34186685993221494</v>
      </c>
      <c r="O49" s="11"/>
      <c r="P49" s="6">
        <v>22745.670000000002</v>
      </c>
      <c r="Q49" s="2"/>
      <c r="R49" s="7">
        <f t="shared" si="24"/>
        <v>6.4845977905646146E-3</v>
      </c>
      <c r="S49" s="2"/>
      <c r="T49" s="6">
        <v>39823.58</v>
      </c>
      <c r="U49" s="2"/>
      <c r="V49" s="7">
        <f t="shared" si="25"/>
        <v>1.0799272003590807E-2</v>
      </c>
      <c r="W49" s="2"/>
      <c r="X49" s="6">
        <f t="shared" si="26"/>
        <v>-17077.91</v>
      </c>
      <c r="Y49" s="2"/>
      <c r="Z49" s="7">
        <f t="shared" si="27"/>
        <v>-0.42883914504923965</v>
      </c>
    </row>
    <row r="50" spans="1:26" s="26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4169.58</v>
      </c>
      <c r="E50" s="1"/>
      <c r="F50" s="5">
        <f t="shared" ref="F50:F59" si="28">IF(D$12=0,0,D50/D$12)</f>
        <v>1.016255857678261E-2</v>
      </c>
      <c r="G50" s="1"/>
      <c r="H50" s="1">
        <f>SUM(OSRRefH22_2x_0)</f>
        <v>7197.11</v>
      </c>
      <c r="I50" s="1"/>
      <c r="J50" s="5">
        <f t="shared" ref="J50:J59" si="29">IF(H$12=0,0,H50/H$12)</f>
        <v>1.7365861328007465E-2</v>
      </c>
      <c r="K50" s="1"/>
      <c r="L50" s="1">
        <f t="shared" ref="L50:L59" si="30">+D50-H50</f>
        <v>-3027.5299999999997</v>
      </c>
      <c r="M50" s="1"/>
      <c r="N50" s="5">
        <f t="shared" ref="N50:N59" si="31">IF(H50=0,0,L50/H50)</f>
        <v>-0.42065912567683417</v>
      </c>
      <c r="O50" s="13"/>
      <c r="P50" s="1">
        <f>SUM(OSRRefP22_2x_0)</f>
        <v>23811.01</v>
      </c>
      <c r="Q50" s="1"/>
      <c r="R50" s="5">
        <f t="shared" ref="R50:R59" si="32">IF(P$12=0,0,P50/P$12)</f>
        <v>6.788317197827627E-3</v>
      </c>
      <c r="S50" s="1"/>
      <c r="T50" s="1">
        <f>SUM(OSRRefT22_2x_0)</f>
        <v>19892.169999999998</v>
      </c>
      <c r="U50" s="1"/>
      <c r="V50" s="5">
        <f t="shared" ref="V50:V59" si="33">IF(T$12=0,0,T50/T$12)</f>
        <v>5.3943154927725964E-3</v>
      </c>
      <c r="W50" s="1"/>
      <c r="X50" s="1">
        <f t="shared" ref="X50:X59" si="34">+P50-T50</f>
        <v>3918.84</v>
      </c>
      <c r="Y50" s="1"/>
      <c r="Z50" s="5">
        <f t="shared" ref="Z50:Z59" si="35">IF(T50=0,0,X50/T50)</f>
        <v>0.1970041478632045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4169.58</v>
      </c>
      <c r="E51" s="2"/>
      <c r="F51" s="7">
        <f t="shared" si="28"/>
        <v>1.016255857678261E-2</v>
      </c>
      <c r="G51" s="2"/>
      <c r="H51" s="6">
        <v>7197.11</v>
      </c>
      <c r="I51" s="2"/>
      <c r="J51" s="7">
        <f t="shared" si="29"/>
        <v>1.7365861328007465E-2</v>
      </c>
      <c r="K51" s="2"/>
      <c r="L51" s="6">
        <f t="shared" si="30"/>
        <v>-3027.5299999999997</v>
      </c>
      <c r="M51" s="2"/>
      <c r="N51" s="7">
        <f t="shared" si="31"/>
        <v>-0.42065912567683417</v>
      </c>
      <c r="O51" s="11"/>
      <c r="P51" s="6">
        <v>23811.01</v>
      </c>
      <c r="Q51" s="2"/>
      <c r="R51" s="7">
        <f t="shared" si="32"/>
        <v>6.788317197827627E-3</v>
      </c>
      <c r="S51" s="2"/>
      <c r="T51" s="6">
        <v>19892.169999999998</v>
      </c>
      <c r="U51" s="2"/>
      <c r="V51" s="7">
        <f t="shared" si="33"/>
        <v>5.3943154927725964E-3</v>
      </c>
      <c r="W51" s="2"/>
      <c r="X51" s="6">
        <f t="shared" si="34"/>
        <v>3918.84</v>
      </c>
      <c r="Y51" s="2"/>
      <c r="Z51" s="7">
        <f t="shared" si="35"/>
        <v>0.1970041478632045</v>
      </c>
    </row>
    <row r="52" spans="1:26" s="26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-412.33</v>
      </c>
      <c r="E52" s="1"/>
      <c r="F52" s="5">
        <f t="shared" si="28"/>
        <v>-1.0049759875010848E-3</v>
      </c>
      <c r="G52" s="1"/>
      <c r="H52" s="1">
        <f>SUM(OSRRefH22_3x_0)</f>
        <v>1919.34</v>
      </c>
      <c r="I52" s="1"/>
      <c r="J52" s="5">
        <f t="shared" si="29"/>
        <v>4.6311633810373672E-3</v>
      </c>
      <c r="K52" s="1"/>
      <c r="L52" s="1">
        <f t="shared" si="30"/>
        <v>-2331.67</v>
      </c>
      <c r="M52" s="1"/>
      <c r="N52" s="5">
        <f t="shared" si="31"/>
        <v>-1.214829055821272</v>
      </c>
      <c r="O52" s="13"/>
      <c r="P52" s="1">
        <f>SUM(OSRRefP22_3x_0)</f>
        <v>-504.38</v>
      </c>
      <c r="Q52" s="1"/>
      <c r="R52" s="5">
        <f t="shared" si="32"/>
        <v>-1.4379446433562872E-4</v>
      </c>
      <c r="S52" s="1"/>
      <c r="T52" s="1">
        <f>SUM(OSRRefT22_3x_0)</f>
        <v>1505.39</v>
      </c>
      <c r="U52" s="1"/>
      <c r="V52" s="5">
        <f t="shared" si="33"/>
        <v>4.0822839336608022E-4</v>
      </c>
      <c r="W52" s="1"/>
      <c r="X52" s="1">
        <f t="shared" si="34"/>
        <v>-2009.77</v>
      </c>
      <c r="Y52" s="1"/>
      <c r="Z52" s="5">
        <f t="shared" si="35"/>
        <v>-1.3350493891948265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-412.33</v>
      </c>
      <c r="E53" s="2"/>
      <c r="F53" s="7">
        <f t="shared" si="28"/>
        <v>-1.0049759875010848E-3</v>
      </c>
      <c r="G53" s="2"/>
      <c r="H53" s="6">
        <v>1919.34</v>
      </c>
      <c r="I53" s="2"/>
      <c r="J53" s="7">
        <f t="shared" si="29"/>
        <v>4.6311633810373672E-3</v>
      </c>
      <c r="K53" s="2"/>
      <c r="L53" s="6">
        <f t="shared" si="30"/>
        <v>-2331.67</v>
      </c>
      <c r="M53" s="2"/>
      <c r="N53" s="7">
        <f t="shared" si="31"/>
        <v>-1.214829055821272</v>
      </c>
      <c r="O53" s="11"/>
      <c r="P53" s="6">
        <v>-504.38</v>
      </c>
      <c r="Q53" s="2"/>
      <c r="R53" s="7">
        <f t="shared" si="32"/>
        <v>-1.4379446433562872E-4</v>
      </c>
      <c r="S53" s="2"/>
      <c r="T53" s="6">
        <v>1505.39</v>
      </c>
      <c r="U53" s="2"/>
      <c r="V53" s="7">
        <f t="shared" si="33"/>
        <v>4.0822839336608022E-4</v>
      </c>
      <c r="W53" s="2"/>
      <c r="X53" s="6">
        <f t="shared" si="34"/>
        <v>-2009.77</v>
      </c>
      <c r="Y53" s="2"/>
      <c r="Z53" s="7">
        <f t="shared" si="35"/>
        <v>-1.3350493891948265</v>
      </c>
    </row>
    <row r="54" spans="1:26" s="26" customFormat="1" outlineLevel="1" collapsed="1" x14ac:dyDescent="0.25">
      <c r="A54" s="27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10950.57</v>
      </c>
      <c r="E54" s="1"/>
      <c r="F54" s="5">
        <f t="shared" si="28"/>
        <v>2.6689932576940203E-2</v>
      </c>
      <c r="G54" s="1"/>
      <c r="H54" s="1">
        <f>SUM(OSRRefH22_4x_0)</f>
        <v>13270.27</v>
      </c>
      <c r="I54" s="1"/>
      <c r="J54" s="5">
        <f t="shared" si="29"/>
        <v>3.2019750789583266E-2</v>
      </c>
      <c r="K54" s="1"/>
      <c r="L54" s="1">
        <f t="shared" si="30"/>
        <v>-2319.7000000000007</v>
      </c>
      <c r="M54" s="1"/>
      <c r="N54" s="5">
        <f t="shared" si="31"/>
        <v>-0.17480428054591207</v>
      </c>
      <c r="O54" s="13"/>
      <c r="P54" s="1">
        <f>SUM(OSRRefP22_4x_0)</f>
        <v>114362.37000000001</v>
      </c>
      <c r="Q54" s="1"/>
      <c r="R54" s="5">
        <f t="shared" si="32"/>
        <v>3.2603742682705453E-2</v>
      </c>
      <c r="S54" s="1"/>
      <c r="T54" s="1">
        <f>SUM(OSRRefT22_4x_0)</f>
        <v>118402.33</v>
      </c>
      <c r="U54" s="1"/>
      <c r="V54" s="5">
        <f t="shared" si="33"/>
        <v>3.2108086905519792E-2</v>
      </c>
      <c r="W54" s="1"/>
      <c r="X54" s="1">
        <f t="shared" si="34"/>
        <v>-4039.9599999999919</v>
      </c>
      <c r="Y54" s="1"/>
      <c r="Z54" s="5">
        <f t="shared" si="35"/>
        <v>-3.4120612322409462E-2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6">
        <v>10950.57</v>
      </c>
      <c r="E55" s="2"/>
      <c r="F55" s="7">
        <f t="shared" si="28"/>
        <v>2.6689932576940203E-2</v>
      </c>
      <c r="G55" s="2"/>
      <c r="H55" s="6">
        <v>13270.27</v>
      </c>
      <c r="I55" s="2"/>
      <c r="J55" s="7">
        <f t="shared" si="29"/>
        <v>3.2019750789583266E-2</v>
      </c>
      <c r="K55" s="2"/>
      <c r="L55" s="6">
        <f t="shared" si="30"/>
        <v>-2319.7000000000007</v>
      </c>
      <c r="M55" s="2"/>
      <c r="N55" s="7">
        <f t="shared" si="31"/>
        <v>-0.17480428054591207</v>
      </c>
      <c r="O55" s="11"/>
      <c r="P55" s="6">
        <v>114362.37000000001</v>
      </c>
      <c r="Q55" s="2"/>
      <c r="R55" s="7">
        <f t="shared" si="32"/>
        <v>3.2603742682705453E-2</v>
      </c>
      <c r="S55" s="2"/>
      <c r="T55" s="6">
        <v>118402.33</v>
      </c>
      <c r="U55" s="2"/>
      <c r="V55" s="7">
        <f t="shared" si="33"/>
        <v>3.2108086905519792E-2</v>
      </c>
      <c r="W55" s="2"/>
      <c r="X55" s="6">
        <f t="shared" si="34"/>
        <v>-4039.9599999999919</v>
      </c>
      <c r="Y55" s="2"/>
      <c r="Z55" s="7">
        <f t="shared" si="35"/>
        <v>-3.4120612322409462E-2</v>
      </c>
    </row>
    <row r="56" spans="1:26" s="26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40745.619999999995</v>
      </c>
      <c r="E56" s="1"/>
      <c r="F56" s="5">
        <f t="shared" si="28"/>
        <v>9.9309702655261428E-2</v>
      </c>
      <c r="G56" s="1"/>
      <c r="H56" s="1">
        <f>SUM(OSRRefH22_5x_0)</f>
        <v>35444.590000000004</v>
      </c>
      <c r="I56" s="1"/>
      <c r="J56" s="5">
        <f t="shared" si="29"/>
        <v>8.5524027667783345E-2</v>
      </c>
      <c r="K56" s="1"/>
      <c r="L56" s="1">
        <f t="shared" si="30"/>
        <v>5301.0299999999916</v>
      </c>
      <c r="M56" s="1"/>
      <c r="N56" s="5">
        <f t="shared" si="31"/>
        <v>0.1495582259521126</v>
      </c>
      <c r="O56" s="13"/>
      <c r="P56" s="1">
        <f>SUM(OSRRefP22_5x_0)</f>
        <v>279346.49</v>
      </c>
      <c r="Q56" s="1"/>
      <c r="R56" s="5">
        <f t="shared" si="32"/>
        <v>7.9639317367040857E-2</v>
      </c>
      <c r="S56" s="1"/>
      <c r="T56" s="1">
        <f>SUM(OSRRefT22_5x_0)</f>
        <v>267085.99</v>
      </c>
      <c r="U56" s="1"/>
      <c r="V56" s="5">
        <f t="shared" si="33"/>
        <v>7.2427799167185211E-2</v>
      </c>
      <c r="W56" s="1"/>
      <c r="X56" s="1">
        <f t="shared" si="34"/>
        <v>12260.5</v>
      </c>
      <c r="Y56" s="1"/>
      <c r="Z56" s="5">
        <f t="shared" si="35"/>
        <v>4.5904691593894535E-2</v>
      </c>
    </row>
    <row r="57" spans="1:26" s="24" customFormat="1" hidden="1" outlineLevel="2" x14ac:dyDescent="0.25">
      <c r="A57" s="25"/>
      <c r="B57" s="11" t="str">
        <f>CONCATENATE("          ", "6321", " - ", "BUILDING DEPRECIATION")</f>
        <v xml:space="preserve">          6321 - BUILDING DEPRECIATION</v>
      </c>
      <c r="C57" s="11"/>
      <c r="D57" s="6">
        <v>24042.959999999999</v>
      </c>
      <c r="E57" s="2"/>
      <c r="F57" s="7">
        <f t="shared" si="28"/>
        <v>5.8600144225375503E-2</v>
      </c>
      <c r="G57" s="2"/>
      <c r="H57" s="6">
        <v>21516.510000000002</v>
      </c>
      <c r="I57" s="2"/>
      <c r="J57" s="7">
        <f t="shared" si="29"/>
        <v>5.1917051277899869E-2</v>
      </c>
      <c r="K57" s="2"/>
      <c r="L57" s="6">
        <f t="shared" si="30"/>
        <v>2526.4499999999971</v>
      </c>
      <c r="M57" s="2"/>
      <c r="N57" s="7">
        <f t="shared" si="31"/>
        <v>0.11741913535234091</v>
      </c>
      <c r="O57" s="11"/>
      <c r="P57" s="6">
        <v>168300.72</v>
      </c>
      <c r="Q57" s="2"/>
      <c r="R57" s="7">
        <f t="shared" si="32"/>
        <v>4.7981109242437522E-2</v>
      </c>
      <c r="S57" s="2"/>
      <c r="T57" s="6">
        <v>169589.43</v>
      </c>
      <c r="U57" s="2"/>
      <c r="V57" s="7">
        <f t="shared" si="33"/>
        <v>4.5988893602833363E-2</v>
      </c>
      <c r="W57" s="2"/>
      <c r="X57" s="6">
        <f t="shared" si="34"/>
        <v>-1288.7099999999919</v>
      </c>
      <c r="Y57" s="2"/>
      <c r="Z57" s="7">
        <f t="shared" si="35"/>
        <v>-7.5989995367045692E-3</v>
      </c>
    </row>
    <row r="58" spans="1:26" s="24" customFormat="1" hidden="1" outlineLevel="2" x14ac:dyDescent="0.25">
      <c r="A58" s="25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16278.409999999998</v>
      </c>
      <c r="E58" s="2"/>
      <c r="F58" s="7">
        <f t="shared" si="28"/>
        <v>3.9675529708479935E-2</v>
      </c>
      <c r="G58" s="2"/>
      <c r="H58" s="6">
        <v>13503.83</v>
      </c>
      <c r="I58" s="2"/>
      <c r="J58" s="7">
        <f t="shared" si="29"/>
        <v>3.2583306240558649E-2</v>
      </c>
      <c r="K58" s="2"/>
      <c r="L58" s="6">
        <f t="shared" si="30"/>
        <v>2774.5799999999981</v>
      </c>
      <c r="M58" s="2"/>
      <c r="N58" s="7">
        <f t="shared" si="31"/>
        <v>0.20546615293587064</v>
      </c>
      <c r="O58" s="11"/>
      <c r="P58" s="6">
        <v>108076.01999999999</v>
      </c>
      <c r="Q58" s="2"/>
      <c r="R58" s="7">
        <f t="shared" si="32"/>
        <v>3.0811557562604969E-2</v>
      </c>
      <c r="S58" s="2"/>
      <c r="T58" s="6">
        <v>94526.81</v>
      </c>
      <c r="U58" s="2"/>
      <c r="V58" s="7">
        <f t="shared" si="33"/>
        <v>2.5633575203980841E-2</v>
      </c>
      <c r="W58" s="2"/>
      <c r="X58" s="6">
        <f t="shared" si="34"/>
        <v>13549.209999999992</v>
      </c>
      <c r="Y58" s="2"/>
      <c r="Z58" s="7">
        <f t="shared" si="35"/>
        <v>0.14333721829817372</v>
      </c>
    </row>
    <row r="59" spans="1:26" s="24" customFormat="1" hidden="1" outlineLevel="2" x14ac:dyDescent="0.25">
      <c r="A59" s="25"/>
      <c r="B59" s="11" t="str">
        <f>CONCATENATE("          ", "6326", " - ", "VEHICLES DEPRECIATION EXPENSE")</f>
        <v xml:space="preserve">          6326 - VEHICLES DEPRECIATION EXPENSE</v>
      </c>
      <c r="C59" s="11"/>
      <c r="D59" s="6">
        <v>424.25</v>
      </c>
      <c r="E59" s="2"/>
      <c r="F59" s="7">
        <f t="shared" si="28"/>
        <v>1.0340287214059983E-3</v>
      </c>
      <c r="G59" s="2"/>
      <c r="H59" s="6">
        <v>424.25</v>
      </c>
      <c r="I59" s="2"/>
      <c r="J59" s="7">
        <f t="shared" si="29"/>
        <v>1.0236701493248216E-3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2969.75</v>
      </c>
      <c r="Q59" s="2"/>
      <c r="R59" s="7">
        <f t="shared" si="32"/>
        <v>8.4665056199836116E-4</v>
      </c>
      <c r="S59" s="2"/>
      <c r="T59" s="6">
        <v>2969.75</v>
      </c>
      <c r="U59" s="2"/>
      <c r="V59" s="7">
        <f t="shared" si="33"/>
        <v>8.0533036037101118E-4</v>
      </c>
      <c r="W59" s="2"/>
      <c r="X59" s="6">
        <f t="shared" si="34"/>
        <v>0</v>
      </c>
      <c r="Y59" s="2"/>
      <c r="Z59" s="7">
        <f t="shared" si="35"/>
        <v>0</v>
      </c>
    </row>
    <row r="60" spans="1:26" s="26" customFormat="1" outlineLevel="1" collapsed="1" x14ac:dyDescent="0.25">
      <c r="A60" s="27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SUM(OSRRefD22_6x_0)</f>
        <v>0.09</v>
      </c>
      <c r="E60" s="1"/>
      <c r="F60" s="5">
        <f t="shared" ref="F60:F72" si="36">IF(D$12=0,0,D60/D$12)</f>
        <v>2.1935789022166137E-7</v>
      </c>
      <c r="G60" s="1"/>
      <c r="H60" s="1">
        <f>SUM(OSRRefH22_6x_0)</f>
        <v>0</v>
      </c>
      <c r="I60" s="1"/>
      <c r="J60" s="5">
        <f t="shared" ref="J60:J72" si="37">IF(H$12=0,0,H60/H$12)</f>
        <v>0</v>
      </c>
      <c r="K60" s="1"/>
      <c r="L60" s="1">
        <f t="shared" ref="L60:L72" si="38">+D60-H60</f>
        <v>0.09</v>
      </c>
      <c r="M60" s="1"/>
      <c r="N60" s="5">
        <f t="shared" ref="N60:N72" si="39">IF(H60=0,0,L60/H60)</f>
        <v>0</v>
      </c>
      <c r="O60" s="13"/>
      <c r="P60" s="1">
        <f>SUM(OSRRefP22_6x_0)</f>
        <v>0.09</v>
      </c>
      <c r="Q60" s="1"/>
      <c r="R60" s="5">
        <f t="shared" ref="R60:R72" si="40">IF(P$12=0,0,P60/P$12)</f>
        <v>2.5658237420608636E-8</v>
      </c>
      <c r="S60" s="1"/>
      <c r="T60" s="1">
        <f>SUM(OSRRefT22_6x_0)</f>
        <v>0</v>
      </c>
      <c r="U60" s="1"/>
      <c r="V60" s="5">
        <f t="shared" ref="V60:V72" si="41">IF(T$12=0,0,T60/T$12)</f>
        <v>0</v>
      </c>
      <c r="W60" s="1"/>
      <c r="X60" s="1">
        <f t="shared" ref="X60:X72" si="42">+P60-T60</f>
        <v>0.09</v>
      </c>
      <c r="Y60" s="1"/>
      <c r="Z60" s="5">
        <f t="shared" ref="Z60:Z72" si="43">IF(T60=0,0,X60/T60)</f>
        <v>0</v>
      </c>
    </row>
    <row r="61" spans="1:26" s="24" customFormat="1" hidden="1" outlineLevel="2" x14ac:dyDescent="0.25">
      <c r="A61" s="25"/>
      <c r="B61" s="11" t="str">
        <f>CONCATENATE("          ", "6382", " - ", "DISCOUNTS/MARK DOWNS")</f>
        <v xml:space="preserve">          6382 - DISCOUNTS/MARK DOWNS</v>
      </c>
      <c r="C61" s="11"/>
      <c r="D61" s="6">
        <v>0.09</v>
      </c>
      <c r="E61" s="2"/>
      <c r="F61" s="7">
        <f t="shared" si="36"/>
        <v>2.1935789022166137E-7</v>
      </c>
      <c r="G61" s="2"/>
      <c r="H61" s="6"/>
      <c r="I61" s="2"/>
      <c r="J61" s="7">
        <f t="shared" si="37"/>
        <v>0</v>
      </c>
      <c r="K61" s="2"/>
      <c r="L61" s="6">
        <f t="shared" si="38"/>
        <v>0.09</v>
      </c>
      <c r="M61" s="2"/>
      <c r="N61" s="7">
        <f t="shared" si="39"/>
        <v>0</v>
      </c>
      <c r="O61" s="11"/>
      <c r="P61" s="6">
        <v>0.09</v>
      </c>
      <c r="Q61" s="2"/>
      <c r="R61" s="7">
        <f t="shared" si="40"/>
        <v>2.5658237420608636E-8</v>
      </c>
      <c r="S61" s="2"/>
      <c r="T61" s="6"/>
      <c r="U61" s="2"/>
      <c r="V61" s="7">
        <f t="shared" si="41"/>
        <v>0</v>
      </c>
      <c r="W61" s="2"/>
      <c r="X61" s="6">
        <f t="shared" si="42"/>
        <v>0.09</v>
      </c>
      <c r="Y61" s="2"/>
      <c r="Z61" s="7">
        <f t="shared" si="43"/>
        <v>0</v>
      </c>
    </row>
    <row r="62" spans="1:26" s="26" customFormat="1" outlineLevel="1" collapsed="1" x14ac:dyDescent="0.25">
      <c r="A62" s="27"/>
      <c r="B62" s="13" t="str">
        <f>CONCATENATE("     ","Donations                                         ")</f>
        <v xml:space="preserve">     Donations                                         </v>
      </c>
      <c r="C62" s="13"/>
      <c r="D62" s="1">
        <f>SUM(OSRRefD22_7x_0)</f>
        <v>0</v>
      </c>
      <c r="E62" s="1"/>
      <c r="F62" s="5">
        <f t="shared" si="36"/>
        <v>0</v>
      </c>
      <c r="G62" s="1"/>
      <c r="H62" s="1">
        <f>SUM(OSRRefH22_7x_0)</f>
        <v>0</v>
      </c>
      <c r="I62" s="1"/>
      <c r="J62" s="5">
        <f t="shared" si="37"/>
        <v>0</v>
      </c>
      <c r="K62" s="1"/>
      <c r="L62" s="1">
        <f t="shared" si="38"/>
        <v>0</v>
      </c>
      <c r="M62" s="1"/>
      <c r="N62" s="5">
        <f t="shared" si="39"/>
        <v>0</v>
      </c>
      <c r="O62" s="13"/>
      <c r="P62" s="1">
        <f>SUM(OSRRefP22_7x_0)</f>
        <v>236.68</v>
      </c>
      <c r="Q62" s="1"/>
      <c r="R62" s="5">
        <f t="shared" si="40"/>
        <v>6.7475462585662809E-5</v>
      </c>
      <c r="S62" s="1"/>
      <c r="T62" s="1">
        <f>SUM(OSRRefT22_7x_0)</f>
        <v>750.24</v>
      </c>
      <c r="U62" s="1"/>
      <c r="V62" s="5">
        <f t="shared" si="41"/>
        <v>2.0344845511061451E-4</v>
      </c>
      <c r="W62" s="1"/>
      <c r="X62" s="1">
        <f t="shared" si="42"/>
        <v>-513.55999999999995</v>
      </c>
      <c r="Y62" s="1"/>
      <c r="Z62" s="5">
        <f t="shared" si="43"/>
        <v>-0.68452761782896132</v>
      </c>
    </row>
    <row r="63" spans="1:26" s="24" customFormat="1" hidden="1" outlineLevel="2" x14ac:dyDescent="0.25">
      <c r="A63" s="25"/>
      <c r="B63" s="11" t="str">
        <f>CONCATENATE("          ", "6399", " - ", "DONATION-ON CAMPUS")</f>
        <v xml:space="preserve">          6399 - DONATION-ON CAMPUS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236.68</v>
      </c>
      <c r="Q63" s="2"/>
      <c r="R63" s="7">
        <f t="shared" si="40"/>
        <v>6.7475462585662809E-5</v>
      </c>
      <c r="S63" s="2"/>
      <c r="T63" s="6">
        <v>750.24</v>
      </c>
      <c r="U63" s="2"/>
      <c r="V63" s="7">
        <f t="shared" si="41"/>
        <v>2.0344845511061451E-4</v>
      </c>
      <c r="W63" s="2"/>
      <c r="X63" s="6">
        <f t="shared" si="42"/>
        <v>-513.55999999999995</v>
      </c>
      <c r="Y63" s="2"/>
      <c r="Z63" s="7">
        <f t="shared" si="43"/>
        <v>-0.68452761782896132</v>
      </c>
    </row>
    <row r="64" spans="1:26" s="26" customFormat="1" outlineLevel="1" collapsed="1" x14ac:dyDescent="0.25">
      <c r="A64" s="27"/>
      <c r="B64" s="13" t="str">
        <f>CONCATENATE("     ","Employees' Appreciation                           ")</f>
        <v xml:space="preserve">     Employees' Appreciation                           </v>
      </c>
      <c r="C64" s="13"/>
      <c r="D64" s="1">
        <f>SUM(OSRRefD22_8x_0)</f>
        <v>162.79</v>
      </c>
      <c r="E64" s="1"/>
      <c r="F64" s="5">
        <f t="shared" si="36"/>
        <v>3.9676967721315838E-4</v>
      </c>
      <c r="G64" s="1"/>
      <c r="H64" s="1">
        <f>SUM(OSRRefH22_8x_0)</f>
        <v>669.84</v>
      </c>
      <c r="I64" s="1"/>
      <c r="J64" s="5">
        <f t="shared" si="37"/>
        <v>1.6162527114289653E-3</v>
      </c>
      <c r="K64" s="1"/>
      <c r="L64" s="1">
        <f t="shared" si="38"/>
        <v>-507.05000000000007</v>
      </c>
      <c r="M64" s="1"/>
      <c r="N64" s="5">
        <f t="shared" si="39"/>
        <v>-0.75697181416457671</v>
      </c>
      <c r="O64" s="13"/>
      <c r="P64" s="1">
        <f>SUM(OSRRefP22_8x_0)</f>
        <v>1372.65</v>
      </c>
      <c r="Q64" s="1"/>
      <c r="R64" s="5">
        <f t="shared" si="40"/>
        <v>3.9133088439331613E-4</v>
      </c>
      <c r="S64" s="1"/>
      <c r="T64" s="1">
        <f>SUM(OSRRefT22_8x_0)</f>
        <v>2191.2399999999998</v>
      </c>
      <c r="U64" s="1"/>
      <c r="V64" s="5">
        <f t="shared" si="41"/>
        <v>5.9421570800888106E-4</v>
      </c>
      <c r="W64" s="1"/>
      <c r="X64" s="1">
        <f t="shared" si="42"/>
        <v>-818.58999999999969</v>
      </c>
      <c r="Y64" s="1"/>
      <c r="Z64" s="5">
        <f t="shared" si="43"/>
        <v>-0.37357386685164556</v>
      </c>
    </row>
    <row r="65" spans="1:26" s="24" customFormat="1" hidden="1" outlineLevel="2" x14ac:dyDescent="0.25">
      <c r="A65" s="25"/>
      <c r="B65" s="11" t="str">
        <f>CONCATENATE("          ", "6277", " - ", "EMPLOYEE APPRECIATION")</f>
        <v xml:space="preserve">          6277 - EMPLOYEE APPRECIATION</v>
      </c>
      <c r="C65" s="11"/>
      <c r="D65" s="6">
        <v>162.79</v>
      </c>
      <c r="E65" s="2"/>
      <c r="F65" s="7">
        <f t="shared" si="36"/>
        <v>3.9676967721315838E-4</v>
      </c>
      <c r="G65" s="2"/>
      <c r="H65" s="6">
        <v>669.84</v>
      </c>
      <c r="I65" s="2"/>
      <c r="J65" s="7">
        <f t="shared" si="37"/>
        <v>1.6162527114289653E-3</v>
      </c>
      <c r="K65" s="2"/>
      <c r="L65" s="6">
        <f t="shared" si="38"/>
        <v>-507.05000000000007</v>
      </c>
      <c r="M65" s="2"/>
      <c r="N65" s="7">
        <f t="shared" si="39"/>
        <v>-0.75697181416457671</v>
      </c>
      <c r="O65" s="11"/>
      <c r="P65" s="6">
        <v>1372.65</v>
      </c>
      <c r="Q65" s="2"/>
      <c r="R65" s="7">
        <f t="shared" si="40"/>
        <v>3.9133088439331613E-4</v>
      </c>
      <c r="S65" s="2"/>
      <c r="T65" s="6">
        <v>2191.2399999999998</v>
      </c>
      <c r="U65" s="2"/>
      <c r="V65" s="7">
        <f t="shared" si="41"/>
        <v>5.9421570800888106E-4</v>
      </c>
      <c r="W65" s="2"/>
      <c r="X65" s="6">
        <f t="shared" si="42"/>
        <v>-818.58999999999969</v>
      </c>
      <c r="Y65" s="2"/>
      <c r="Z65" s="7">
        <f t="shared" si="43"/>
        <v>-0.37357386685164556</v>
      </c>
    </row>
    <row r="66" spans="1:26" s="26" customFormat="1" outlineLevel="1" collapsed="1" x14ac:dyDescent="0.25">
      <c r="A66" s="27"/>
      <c r="B66" s="13" t="str">
        <f>CONCATENATE("     ","Equipment Rental                                  ")</f>
        <v xml:space="preserve">     Equipment Rental                                  </v>
      </c>
      <c r="C66" s="13"/>
      <c r="D66" s="1">
        <f>SUM(OSRRefD22_9x_0)</f>
        <v>4676.88</v>
      </c>
      <c r="E66" s="1"/>
      <c r="F66" s="5">
        <f t="shared" si="36"/>
        <v>1.1399005884665374E-2</v>
      </c>
      <c r="G66" s="1"/>
      <c r="H66" s="1">
        <f>SUM(OSRRefH22_9x_0)</f>
        <v>1727.93</v>
      </c>
      <c r="I66" s="1"/>
      <c r="J66" s="5">
        <f t="shared" si="37"/>
        <v>4.169311399228849E-3</v>
      </c>
      <c r="K66" s="1"/>
      <c r="L66" s="1">
        <f t="shared" si="38"/>
        <v>2948.95</v>
      </c>
      <c r="M66" s="1"/>
      <c r="N66" s="5">
        <f t="shared" si="39"/>
        <v>1.7066374216548121</v>
      </c>
      <c r="O66" s="13"/>
      <c r="P66" s="1">
        <f>SUM(OSRRefP22_9x_0)</f>
        <v>19559.89</v>
      </c>
      <c r="Q66" s="1"/>
      <c r="R66" s="5">
        <f t="shared" si="40"/>
        <v>5.576358906010985E-3</v>
      </c>
      <c r="S66" s="1"/>
      <c r="T66" s="1">
        <f>SUM(OSRRefT22_9x_0)</f>
        <v>11187.81</v>
      </c>
      <c r="U66" s="1"/>
      <c r="V66" s="5">
        <f t="shared" si="41"/>
        <v>3.0338860372295319E-3</v>
      </c>
      <c r="W66" s="1"/>
      <c r="X66" s="1">
        <f t="shared" si="42"/>
        <v>8372.08</v>
      </c>
      <c r="Y66" s="1"/>
      <c r="Z66" s="5">
        <f t="shared" si="43"/>
        <v>0.74832161075313219</v>
      </c>
    </row>
    <row r="67" spans="1:26" s="24" customFormat="1" hidden="1" outlineLevel="2" x14ac:dyDescent="0.25">
      <c r="A67" s="25"/>
      <c r="B67" s="11" t="str">
        <f>CONCATENATE("          ", "6351", " - ", "EQUIPMENT RENTAL")</f>
        <v xml:space="preserve">          6351 - EQUIPMENT RENTAL</v>
      </c>
      <c r="C67" s="11"/>
      <c r="D67" s="6">
        <v>4676.88</v>
      </c>
      <c r="E67" s="2"/>
      <c r="F67" s="7">
        <f t="shared" si="36"/>
        <v>1.1399005884665374E-2</v>
      </c>
      <c r="G67" s="2"/>
      <c r="H67" s="6">
        <v>1727.93</v>
      </c>
      <c r="I67" s="2"/>
      <c r="J67" s="7">
        <f t="shared" si="37"/>
        <v>4.169311399228849E-3</v>
      </c>
      <c r="K67" s="2"/>
      <c r="L67" s="6">
        <f t="shared" si="38"/>
        <v>2948.95</v>
      </c>
      <c r="M67" s="2"/>
      <c r="N67" s="7">
        <f t="shared" si="39"/>
        <v>1.7066374216548121</v>
      </c>
      <c r="O67" s="11"/>
      <c r="P67" s="6">
        <v>19559.89</v>
      </c>
      <c r="Q67" s="2"/>
      <c r="R67" s="7">
        <f t="shared" si="40"/>
        <v>5.576358906010985E-3</v>
      </c>
      <c r="S67" s="2"/>
      <c r="T67" s="6">
        <v>11187.81</v>
      </c>
      <c r="U67" s="2"/>
      <c r="V67" s="7">
        <f t="shared" si="41"/>
        <v>3.0338860372295319E-3</v>
      </c>
      <c r="W67" s="2"/>
      <c r="X67" s="6">
        <f t="shared" si="42"/>
        <v>8372.08</v>
      </c>
      <c r="Y67" s="2"/>
      <c r="Z67" s="7">
        <f t="shared" si="43"/>
        <v>0.74832161075313219</v>
      </c>
    </row>
    <row r="68" spans="1:26" s="26" customFormat="1" outlineLevel="1" collapsed="1" x14ac:dyDescent="0.25">
      <c r="A68" s="27"/>
      <c r="B68" s="13" t="str">
        <f>CONCATENATE("     ","Freight out/Postage                               ")</f>
        <v xml:space="preserve">     Freight out/Postage                               </v>
      </c>
      <c r="C68" s="13"/>
      <c r="D68" s="1">
        <f>SUM(OSRRefD22_10x_0)</f>
        <v>0</v>
      </c>
      <c r="E68" s="1"/>
      <c r="F68" s="5">
        <f t="shared" si="36"/>
        <v>0</v>
      </c>
      <c r="G68" s="1"/>
      <c r="H68" s="1">
        <f>SUM(OSRRefH22_10x_0)</f>
        <v>0</v>
      </c>
      <c r="I68" s="1"/>
      <c r="J68" s="5">
        <f t="shared" si="37"/>
        <v>0</v>
      </c>
      <c r="K68" s="1"/>
      <c r="L68" s="1">
        <f t="shared" si="38"/>
        <v>0</v>
      </c>
      <c r="M68" s="1"/>
      <c r="N68" s="5">
        <f t="shared" si="39"/>
        <v>0</v>
      </c>
      <c r="O68" s="13"/>
      <c r="P68" s="1">
        <f>SUM(OSRRefP22_10x_0)</f>
        <v>0</v>
      </c>
      <c r="Q68" s="1"/>
      <c r="R68" s="5">
        <f t="shared" si="40"/>
        <v>0</v>
      </c>
      <c r="S68" s="1"/>
      <c r="T68" s="1">
        <f>SUM(OSRRefT22_10x_0)</f>
        <v>9.01</v>
      </c>
      <c r="U68" s="1"/>
      <c r="V68" s="5">
        <f t="shared" si="41"/>
        <v>2.4433122474763231E-6</v>
      </c>
      <c r="W68" s="1"/>
      <c r="X68" s="1">
        <f t="shared" si="42"/>
        <v>-9.01</v>
      </c>
      <c r="Y68" s="1"/>
      <c r="Z68" s="5">
        <f t="shared" si="43"/>
        <v>-1</v>
      </c>
    </row>
    <row r="69" spans="1:26" s="24" customFormat="1" hidden="1" outlineLevel="2" x14ac:dyDescent="0.25">
      <c r="A69" s="25"/>
      <c r="B69" s="11" t="str">
        <f>CONCATENATE("          ", "6307", " - ", "POSTAGE")</f>
        <v xml:space="preserve">          6307 - POSTAGE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/>
      <c r="Q69" s="2"/>
      <c r="R69" s="7">
        <f t="shared" si="40"/>
        <v>0</v>
      </c>
      <c r="S69" s="2"/>
      <c r="T69" s="6">
        <v>9.01</v>
      </c>
      <c r="U69" s="2"/>
      <c r="V69" s="7">
        <f t="shared" si="41"/>
        <v>2.4433122474763231E-6</v>
      </c>
      <c r="W69" s="2"/>
      <c r="X69" s="6">
        <f t="shared" si="42"/>
        <v>-9.01</v>
      </c>
      <c r="Y69" s="2"/>
      <c r="Z69" s="7">
        <f t="shared" si="43"/>
        <v>-1</v>
      </c>
    </row>
    <row r="70" spans="1:26" s="26" customFormat="1" outlineLevel="1" collapsed="1" x14ac:dyDescent="0.25">
      <c r="A70" s="27"/>
      <c r="B70" s="13" t="str">
        <f>CONCATENATE("     ","General                                           ")</f>
        <v xml:space="preserve">     General                                           </v>
      </c>
      <c r="C70" s="13"/>
      <c r="D70" s="1">
        <f>SUM(OSRRefD22_11x_0)</f>
        <v>9531.09</v>
      </c>
      <c r="E70" s="1"/>
      <c r="F70" s="5">
        <f t="shared" si="36"/>
        <v>2.3230219932364161E-2</v>
      </c>
      <c r="G70" s="1"/>
      <c r="H70" s="1">
        <f>SUM(OSRRefH22_11x_0)</f>
        <v>5308.4400000000005</v>
      </c>
      <c r="I70" s="1"/>
      <c r="J70" s="5">
        <f t="shared" si="37"/>
        <v>1.2808701396539439E-2</v>
      </c>
      <c r="K70" s="1"/>
      <c r="L70" s="1">
        <f t="shared" si="38"/>
        <v>4222.6499999999996</v>
      </c>
      <c r="M70" s="1"/>
      <c r="N70" s="5">
        <f t="shared" si="39"/>
        <v>0.79545968307073245</v>
      </c>
      <c r="O70" s="13"/>
      <c r="P70" s="1">
        <f>SUM(OSRRefP22_11x_0)</f>
        <v>75106.600000000006</v>
      </c>
      <c r="Q70" s="1"/>
      <c r="R70" s="5">
        <f t="shared" si="40"/>
        <v>2.1412255273940944E-2</v>
      </c>
      <c r="S70" s="1"/>
      <c r="T70" s="1">
        <f>SUM(OSRRefT22_11x_0)</f>
        <v>38496.19</v>
      </c>
      <c r="U70" s="1"/>
      <c r="V70" s="5">
        <f t="shared" si="41"/>
        <v>1.0439313263948454E-2</v>
      </c>
      <c r="W70" s="1"/>
      <c r="X70" s="1">
        <f t="shared" si="42"/>
        <v>36610.410000000003</v>
      </c>
      <c r="Y70" s="1"/>
      <c r="Z70" s="5">
        <f t="shared" si="43"/>
        <v>0.95101385357875678</v>
      </c>
    </row>
    <row r="71" spans="1:26" s="24" customFormat="1" hidden="1" outlineLevel="2" x14ac:dyDescent="0.25">
      <c r="A71" s="25"/>
      <c r="B71" s="11" t="str">
        <f>CONCATENATE("          ", "6269", " - ", "ENTERTAINMENT")</f>
        <v xml:space="preserve">          6269 - ENTERTAINMENT</v>
      </c>
      <c r="C71" s="11"/>
      <c r="D71" s="6"/>
      <c r="E71" s="2"/>
      <c r="F71" s="7">
        <f t="shared" si="36"/>
        <v>0</v>
      </c>
      <c r="G71" s="2"/>
      <c r="H71" s="6">
        <v>1250</v>
      </c>
      <c r="I71" s="2"/>
      <c r="J71" s="7">
        <f t="shared" si="37"/>
        <v>3.0161171164549841E-3</v>
      </c>
      <c r="K71" s="2"/>
      <c r="L71" s="6">
        <f t="shared" si="38"/>
        <v>-1250</v>
      </c>
      <c r="M71" s="2"/>
      <c r="N71" s="7">
        <f t="shared" si="39"/>
        <v>-1</v>
      </c>
      <c r="O71" s="11"/>
      <c r="P71" s="6">
        <v>7350</v>
      </c>
      <c r="Q71" s="2"/>
      <c r="R71" s="7">
        <f t="shared" si="40"/>
        <v>2.0954227226830388E-3</v>
      </c>
      <c r="S71" s="2"/>
      <c r="T71" s="6">
        <v>6110</v>
      </c>
      <c r="U71" s="2"/>
      <c r="V71" s="7">
        <f t="shared" si="41"/>
        <v>1.6568965407414357E-3</v>
      </c>
      <c r="W71" s="2"/>
      <c r="X71" s="6">
        <f t="shared" si="42"/>
        <v>1240</v>
      </c>
      <c r="Y71" s="2"/>
      <c r="Z71" s="7">
        <f t="shared" si="43"/>
        <v>0.20294599018003273</v>
      </c>
    </row>
    <row r="72" spans="1:26" s="24" customFormat="1" hidden="1" outlineLevel="2" x14ac:dyDescent="0.25">
      <c r="A72" s="25"/>
      <c r="B72" s="11" t="str">
        <f>CONCATENATE("          ", "6279", " - ", "GENERAL EXPENSE")</f>
        <v xml:space="preserve">          6279 - GENERAL EXPENSE</v>
      </c>
      <c r="C72" s="11"/>
      <c r="D72" s="6">
        <v>9531.09</v>
      </c>
      <c r="E72" s="2"/>
      <c r="F72" s="7">
        <f t="shared" si="36"/>
        <v>2.3230219932364161E-2</v>
      </c>
      <c r="G72" s="2"/>
      <c r="H72" s="6">
        <v>4058.44</v>
      </c>
      <c r="I72" s="2"/>
      <c r="J72" s="7">
        <f t="shared" si="37"/>
        <v>9.7925842800844522E-3</v>
      </c>
      <c r="K72" s="2"/>
      <c r="L72" s="6">
        <f t="shared" si="38"/>
        <v>5472.65</v>
      </c>
      <c r="M72" s="2"/>
      <c r="N72" s="7">
        <f t="shared" si="39"/>
        <v>1.3484614778092074</v>
      </c>
      <c r="O72" s="11"/>
      <c r="P72" s="6">
        <v>67756.600000000006</v>
      </c>
      <c r="Q72" s="2"/>
      <c r="R72" s="7">
        <f t="shared" si="40"/>
        <v>1.9316832551257903E-2</v>
      </c>
      <c r="S72" s="2"/>
      <c r="T72" s="6">
        <v>32386.190000000002</v>
      </c>
      <c r="U72" s="2"/>
      <c r="V72" s="7">
        <f t="shared" si="41"/>
        <v>8.7824167232070181E-3</v>
      </c>
      <c r="W72" s="2"/>
      <c r="X72" s="6">
        <f t="shared" si="42"/>
        <v>35370.410000000003</v>
      </c>
      <c r="Y72" s="2"/>
      <c r="Z72" s="7">
        <f t="shared" si="43"/>
        <v>1.0921448308677248</v>
      </c>
    </row>
    <row r="73" spans="1:26" s="26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SUM(OSRRefD22_12x_0)</f>
        <v>4240.13</v>
      </c>
      <c r="E73" s="1"/>
      <c r="F73" s="5">
        <f t="shared" ref="F73:F85" si="44">IF(D$12=0,0,D73/D$12)</f>
        <v>1.0334510789617479E-2</v>
      </c>
      <c r="G73" s="1"/>
      <c r="H73" s="1">
        <f>SUM(OSRRefH22_12x_0)</f>
        <v>3993.18</v>
      </c>
      <c r="I73" s="1"/>
      <c r="J73" s="5">
        <f t="shared" ref="J73:J85" si="45">IF(H$12=0,0,H73/H$12)</f>
        <v>9.6351188376685715E-3</v>
      </c>
      <c r="K73" s="1"/>
      <c r="L73" s="1">
        <f t="shared" ref="L73:L85" si="46">+D73-H73</f>
        <v>246.95000000000027</v>
      </c>
      <c r="M73" s="1"/>
      <c r="N73" s="5">
        <f t="shared" ref="N73:N85" si="47">IF(H73=0,0,L73/H73)</f>
        <v>6.1842942216479166E-2</v>
      </c>
      <c r="O73" s="13"/>
      <c r="P73" s="1">
        <f>SUM(OSRRefP22_12x_0)</f>
        <v>29680.91</v>
      </c>
      <c r="Q73" s="1"/>
      <c r="R73" s="5">
        <f t="shared" ref="R73:R85" si="48">IF(P$12=0,0,P73/P$12)</f>
        <v>8.4617759515524128E-3</v>
      </c>
      <c r="S73" s="1"/>
      <c r="T73" s="1">
        <f>SUM(OSRRefT22_12x_0)</f>
        <v>32540.26</v>
      </c>
      <c r="U73" s="1"/>
      <c r="V73" s="5">
        <f t="shared" ref="V73:V85" si="49">IF(T$12=0,0,T73/T$12)</f>
        <v>8.8241970914610321E-3</v>
      </c>
      <c r="W73" s="1"/>
      <c r="X73" s="1">
        <f t="shared" ref="X73:X85" si="50">+P73-T73</f>
        <v>-2859.3499999999985</v>
      </c>
      <c r="Y73" s="1"/>
      <c r="Z73" s="5">
        <f t="shared" ref="Z73:Z85" si="51">IF(T73=0,0,X73/T73)</f>
        <v>-8.7871147925677254E-2</v>
      </c>
    </row>
    <row r="74" spans="1:26" s="24" customFormat="1" hidden="1" outlineLevel="2" x14ac:dyDescent="0.25">
      <c r="A74" s="25"/>
      <c r="B74" s="11" t="str">
        <f>CONCATENATE("          ", "6314", " - ", "LIABILITY INSURANCE")</f>
        <v xml:space="preserve">          6314 - LIABILITY INSURANCE</v>
      </c>
      <c r="C74" s="11"/>
      <c r="D74" s="6">
        <v>4240.13</v>
      </c>
      <c r="E74" s="2"/>
      <c r="F74" s="7">
        <f t="shared" si="44"/>
        <v>1.0334510789617479E-2</v>
      </c>
      <c r="G74" s="2"/>
      <c r="H74" s="6">
        <v>3993.18</v>
      </c>
      <c r="I74" s="2"/>
      <c r="J74" s="7">
        <f t="shared" si="45"/>
        <v>9.6351188376685715E-3</v>
      </c>
      <c r="K74" s="2"/>
      <c r="L74" s="6">
        <f t="shared" si="46"/>
        <v>246.95000000000027</v>
      </c>
      <c r="M74" s="2"/>
      <c r="N74" s="7">
        <f t="shared" si="47"/>
        <v>6.1842942216479166E-2</v>
      </c>
      <c r="O74" s="11"/>
      <c r="P74" s="6">
        <v>29680.91</v>
      </c>
      <c r="Q74" s="2"/>
      <c r="R74" s="7">
        <f t="shared" si="48"/>
        <v>8.4617759515524128E-3</v>
      </c>
      <c r="S74" s="2"/>
      <c r="T74" s="6">
        <v>32540.26</v>
      </c>
      <c r="U74" s="2"/>
      <c r="V74" s="7">
        <f t="shared" si="49"/>
        <v>8.8241970914610321E-3</v>
      </c>
      <c r="W74" s="2"/>
      <c r="X74" s="6">
        <f t="shared" si="50"/>
        <v>-2859.3499999999985</v>
      </c>
      <c r="Y74" s="2"/>
      <c r="Z74" s="7">
        <f t="shared" si="51"/>
        <v>-8.7871147925677254E-2</v>
      </c>
    </row>
    <row r="75" spans="1:26" s="26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SUM(OSRRefD22_13x_0)</f>
        <v>7754</v>
      </c>
      <c r="E75" s="1"/>
      <c r="F75" s="5">
        <f t="shared" si="44"/>
        <v>1.8898900897541804E-2</v>
      </c>
      <c r="G75" s="1"/>
      <c r="H75" s="1">
        <f>SUM(OSRRefH22_13x_0)</f>
        <v>7949</v>
      </c>
      <c r="I75" s="1"/>
      <c r="J75" s="5">
        <f t="shared" si="45"/>
        <v>1.9180091966960536E-2</v>
      </c>
      <c r="K75" s="1"/>
      <c r="L75" s="1">
        <f t="shared" si="46"/>
        <v>-195</v>
      </c>
      <c r="M75" s="1"/>
      <c r="N75" s="5">
        <f t="shared" si="47"/>
        <v>-2.4531387595924017E-2</v>
      </c>
      <c r="O75" s="13"/>
      <c r="P75" s="1">
        <f>SUM(OSRRefP22_13x_0)</f>
        <v>53885.049999999996</v>
      </c>
      <c r="Q75" s="1"/>
      <c r="R75" s="5">
        <f t="shared" si="48"/>
        <v>1.5362171181348527E-2</v>
      </c>
      <c r="S75" s="1"/>
      <c r="T75" s="1">
        <f>SUM(OSRRefT22_13x_0)</f>
        <v>55243.100000000006</v>
      </c>
      <c r="U75" s="1"/>
      <c r="V75" s="5">
        <f t="shared" si="49"/>
        <v>1.4980703975422784E-2</v>
      </c>
      <c r="W75" s="1"/>
      <c r="X75" s="1">
        <f t="shared" si="50"/>
        <v>-1358.0500000000102</v>
      </c>
      <c r="Y75" s="1"/>
      <c r="Z75" s="5">
        <f t="shared" si="51"/>
        <v>-2.4583160611913707E-2</v>
      </c>
    </row>
    <row r="76" spans="1:26" s="24" customFormat="1" hidden="1" outlineLevel="2" x14ac:dyDescent="0.25">
      <c r="A76" s="25"/>
      <c r="B76" s="11" t="str">
        <f>CONCATENATE("          ", "6401", " - ", "INTEREST EXPENSE")</f>
        <v xml:space="preserve">          6401 - INTEREST EXPENSE</v>
      </c>
      <c r="C76" s="11"/>
      <c r="D76" s="6">
        <v>7754</v>
      </c>
      <c r="E76" s="2"/>
      <c r="F76" s="7">
        <f t="shared" si="44"/>
        <v>1.8898900897541804E-2</v>
      </c>
      <c r="G76" s="2"/>
      <c r="H76" s="6">
        <v>7949</v>
      </c>
      <c r="I76" s="2"/>
      <c r="J76" s="7">
        <f t="shared" si="45"/>
        <v>1.9180091966960536E-2</v>
      </c>
      <c r="K76" s="2"/>
      <c r="L76" s="6">
        <f t="shared" si="46"/>
        <v>-195</v>
      </c>
      <c r="M76" s="2"/>
      <c r="N76" s="7">
        <f t="shared" si="47"/>
        <v>-2.4531387595924017E-2</v>
      </c>
      <c r="O76" s="11"/>
      <c r="P76" s="6">
        <v>53885.049999999996</v>
      </c>
      <c r="Q76" s="2"/>
      <c r="R76" s="7">
        <f t="shared" si="48"/>
        <v>1.5362171181348527E-2</v>
      </c>
      <c r="S76" s="2"/>
      <c r="T76" s="6">
        <v>55243.100000000006</v>
      </c>
      <c r="U76" s="2"/>
      <c r="V76" s="7">
        <f t="shared" si="49"/>
        <v>1.4980703975422784E-2</v>
      </c>
      <c r="W76" s="2"/>
      <c r="X76" s="6">
        <f t="shared" si="50"/>
        <v>-1358.0500000000102</v>
      </c>
      <c r="Y76" s="2"/>
      <c r="Z76" s="7">
        <f t="shared" si="51"/>
        <v>-2.4583160611913707E-2</v>
      </c>
    </row>
    <row r="77" spans="1:26" s="26" customFormat="1" outlineLevel="1" collapsed="1" x14ac:dyDescent="0.25">
      <c r="A77" s="27"/>
      <c r="B77" s="13" t="str">
        <f>CONCATENATE("     ","Professional Services                             ")</f>
        <v xml:space="preserve">     Professional Services                             </v>
      </c>
      <c r="C77" s="13"/>
      <c r="D77" s="1">
        <f>SUM(OSRRefD22_14x_0)</f>
        <v>0</v>
      </c>
      <c r="E77" s="1"/>
      <c r="F77" s="5">
        <f t="shared" si="44"/>
        <v>0</v>
      </c>
      <c r="G77" s="1"/>
      <c r="H77" s="1">
        <f>SUM(OSRRefH22_14x_0)</f>
        <v>0</v>
      </c>
      <c r="I77" s="1"/>
      <c r="J77" s="5">
        <f t="shared" si="45"/>
        <v>0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SUM(OSRRefP22_14x_0)</f>
        <v>125</v>
      </c>
      <c r="Q77" s="1"/>
      <c r="R77" s="5">
        <f t="shared" si="48"/>
        <v>3.5636440861956441E-5</v>
      </c>
      <c r="S77" s="1"/>
      <c r="T77" s="1">
        <f>SUM(OSRRefT22_14x_0)</f>
        <v>0</v>
      </c>
      <c r="U77" s="1"/>
      <c r="V77" s="5">
        <f t="shared" si="49"/>
        <v>0</v>
      </c>
      <c r="W77" s="1"/>
      <c r="X77" s="1">
        <f t="shared" si="50"/>
        <v>125</v>
      </c>
      <c r="Y77" s="1"/>
      <c r="Z77" s="5">
        <f t="shared" si="51"/>
        <v>0</v>
      </c>
    </row>
    <row r="78" spans="1:26" s="24" customFormat="1" hidden="1" outlineLevel="2" x14ac:dyDescent="0.25">
      <c r="A78" s="25"/>
      <c r="B78" s="11" t="str">
        <f>CONCATENATE("          ", "6336", " - ", "PROFESSIONAL SERVICES")</f>
        <v xml:space="preserve">          6336 - PROFESSIONAL SERVICES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125</v>
      </c>
      <c r="Q78" s="2"/>
      <c r="R78" s="7">
        <f t="shared" si="48"/>
        <v>3.5636440861956441E-5</v>
      </c>
      <c r="S78" s="2"/>
      <c r="T78" s="6"/>
      <c r="U78" s="2"/>
      <c r="V78" s="7">
        <f t="shared" si="49"/>
        <v>0</v>
      </c>
      <c r="W78" s="2"/>
      <c r="X78" s="6">
        <f t="shared" si="50"/>
        <v>125</v>
      </c>
      <c r="Y78" s="2"/>
      <c r="Z78" s="7">
        <f t="shared" si="51"/>
        <v>0</v>
      </c>
    </row>
    <row r="79" spans="1:26" s="26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SUM(OSRRefD22_15x_0)</f>
        <v>1850</v>
      </c>
      <c r="E79" s="1"/>
      <c r="F79" s="5">
        <f t="shared" si="44"/>
        <v>4.5090232990008172E-3</v>
      </c>
      <c r="G79" s="1"/>
      <c r="H79" s="1">
        <f>SUM(OSRRefH22_15x_0)</f>
        <v>1850</v>
      </c>
      <c r="I79" s="1"/>
      <c r="J79" s="5">
        <f t="shared" si="45"/>
        <v>4.4638533323533769E-3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SUM(OSRRefP22_15x_0)</f>
        <v>12950</v>
      </c>
      <c r="Q79" s="1"/>
      <c r="R79" s="5">
        <f t="shared" si="48"/>
        <v>3.6919352732986874E-3</v>
      </c>
      <c r="S79" s="1"/>
      <c r="T79" s="1">
        <f>SUM(OSRRefT22_15x_0)</f>
        <v>12950</v>
      </c>
      <c r="U79" s="1"/>
      <c r="V79" s="5">
        <f t="shared" si="49"/>
        <v>3.5117528973161363E-3</v>
      </c>
      <c r="W79" s="1"/>
      <c r="X79" s="1">
        <f t="shared" si="50"/>
        <v>0</v>
      </c>
      <c r="Y79" s="1"/>
      <c r="Z79" s="5">
        <f t="shared" si="51"/>
        <v>0</v>
      </c>
    </row>
    <row r="80" spans="1:26" s="24" customFormat="1" hidden="1" outlineLevel="2" x14ac:dyDescent="0.25">
      <c r="A80" s="25"/>
      <c r="B80" s="11" t="str">
        <f>CONCATENATE("          ", "6273", " - ", "RENT")</f>
        <v xml:space="preserve">          6273 - RENT</v>
      </c>
      <c r="C80" s="11"/>
      <c r="D80" s="6">
        <v>1850</v>
      </c>
      <c r="E80" s="2"/>
      <c r="F80" s="7">
        <f t="shared" si="44"/>
        <v>4.5090232990008172E-3</v>
      </c>
      <c r="G80" s="2"/>
      <c r="H80" s="6">
        <v>1850</v>
      </c>
      <c r="I80" s="2"/>
      <c r="J80" s="7">
        <f t="shared" si="45"/>
        <v>4.4638533323533769E-3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12950</v>
      </c>
      <c r="Q80" s="2"/>
      <c r="R80" s="7">
        <f t="shared" si="48"/>
        <v>3.6919352732986874E-3</v>
      </c>
      <c r="S80" s="2"/>
      <c r="T80" s="6">
        <v>12950</v>
      </c>
      <c r="U80" s="2"/>
      <c r="V80" s="7">
        <f t="shared" si="49"/>
        <v>3.5117528973161363E-3</v>
      </c>
      <c r="W80" s="2"/>
      <c r="X80" s="6">
        <f t="shared" si="50"/>
        <v>0</v>
      </c>
      <c r="Y80" s="2"/>
      <c r="Z80" s="7">
        <f t="shared" si="51"/>
        <v>0</v>
      </c>
    </row>
    <row r="81" spans="1:26" s="26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SUM(OSRRefD22_16x_0)</f>
        <v>32479.58</v>
      </c>
      <c r="E81" s="1"/>
      <c r="F81" s="5">
        <f t="shared" si="44"/>
        <v>7.9162801600951876E-2</v>
      </c>
      <c r="G81" s="1"/>
      <c r="H81" s="1">
        <f>SUM(OSRRefH22_16x_0)</f>
        <v>19984.239999999998</v>
      </c>
      <c r="I81" s="1"/>
      <c r="J81" s="5">
        <f t="shared" si="45"/>
        <v>4.8219846658675479E-2</v>
      </c>
      <c r="K81" s="1"/>
      <c r="L81" s="1">
        <f t="shared" si="46"/>
        <v>12495.340000000004</v>
      </c>
      <c r="M81" s="1"/>
      <c r="N81" s="5">
        <f t="shared" si="47"/>
        <v>0.62525970464726233</v>
      </c>
      <c r="O81" s="13"/>
      <c r="P81" s="1">
        <f>SUM(OSRRefP22_16x_0)</f>
        <v>176930.3</v>
      </c>
      <c r="Q81" s="1"/>
      <c r="R81" s="5">
        <f t="shared" si="48"/>
        <v>5.0441329381105689E-2</v>
      </c>
      <c r="S81" s="1"/>
      <c r="T81" s="1">
        <f>SUM(OSRRefT22_16x_0)</f>
        <v>184171.12</v>
      </c>
      <c r="U81" s="1"/>
      <c r="V81" s="5">
        <f t="shared" si="49"/>
        <v>4.9943124653433035E-2</v>
      </c>
      <c r="W81" s="1"/>
      <c r="X81" s="1">
        <f t="shared" si="50"/>
        <v>-7240.820000000007</v>
      </c>
      <c r="Y81" s="1"/>
      <c r="Z81" s="5">
        <f t="shared" si="51"/>
        <v>-3.9315718990034956E-2</v>
      </c>
    </row>
    <row r="82" spans="1:26" s="24" customFormat="1" hidden="1" outlineLevel="2" x14ac:dyDescent="0.25">
      <c r="A82" s="25"/>
      <c r="B82" s="11" t="str">
        <f>CONCATENATE("          ", "6371", " - ", "COMPUTER SOFTWARE MAINTENANCE")</f>
        <v xml:space="preserve">          6371 - COMPUTER SOFTWARE MAINTENANCE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10932.69</v>
      </c>
      <c r="Q82" s="2"/>
      <c r="R82" s="7">
        <f t="shared" si="48"/>
        <v>3.1168172851768206E-3</v>
      </c>
      <c r="S82" s="2"/>
      <c r="T82" s="6">
        <v>16634.64</v>
      </c>
      <c r="U82" s="2"/>
      <c r="V82" s="7">
        <f t="shared" si="49"/>
        <v>4.5109455765104936E-3</v>
      </c>
      <c r="W82" s="2"/>
      <c r="X82" s="6">
        <f t="shared" si="50"/>
        <v>-5701.9499999999989</v>
      </c>
      <c r="Y82" s="2"/>
      <c r="Z82" s="7">
        <f t="shared" si="51"/>
        <v>-0.34277567774234963</v>
      </c>
    </row>
    <row r="83" spans="1:26" s="24" customFormat="1" hidden="1" outlineLevel="2" x14ac:dyDescent="0.25">
      <c r="A83" s="25"/>
      <c r="B83" s="11" t="str">
        <f>CONCATENATE("          ", "6372", " - ", "COMPUTER HARDWARE MAINTENANCE")</f>
        <v xml:space="preserve">          6372 - COMPUTER HARDWARE MAINTENANCE</v>
      </c>
      <c r="C83" s="11"/>
      <c r="D83" s="6">
        <v>-0.01</v>
      </c>
      <c r="E83" s="2"/>
      <c r="F83" s="7">
        <f t="shared" si="44"/>
        <v>-2.4373098913517931E-8</v>
      </c>
      <c r="G83" s="2"/>
      <c r="H83" s="6">
        <v>880.96</v>
      </c>
      <c r="I83" s="2"/>
      <c r="J83" s="7">
        <f t="shared" si="45"/>
        <v>2.1256628279297464E-3</v>
      </c>
      <c r="K83" s="2"/>
      <c r="L83" s="6">
        <f t="shared" si="46"/>
        <v>-880.97</v>
      </c>
      <c r="M83" s="2"/>
      <c r="N83" s="7">
        <f t="shared" si="47"/>
        <v>-1.0000113512531783</v>
      </c>
      <c r="O83" s="11"/>
      <c r="P83" s="6">
        <v>-0.01</v>
      </c>
      <c r="Q83" s="2"/>
      <c r="R83" s="7">
        <f t="shared" si="48"/>
        <v>-2.8509152689565155E-9</v>
      </c>
      <c r="S83" s="2"/>
      <c r="T83" s="6">
        <v>880.96</v>
      </c>
      <c r="U83" s="2"/>
      <c r="V83" s="7">
        <f t="shared" si="49"/>
        <v>2.3889682103626436E-4</v>
      </c>
      <c r="W83" s="2"/>
      <c r="X83" s="6">
        <f t="shared" si="50"/>
        <v>-880.97</v>
      </c>
      <c r="Y83" s="2"/>
      <c r="Z83" s="7">
        <f t="shared" si="51"/>
        <v>-1.0000113512531783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6">
        <v>6799</v>
      </c>
      <c r="E84" s="2"/>
      <c r="F84" s="7">
        <f t="shared" si="44"/>
        <v>1.657126995130084E-2</v>
      </c>
      <c r="G84" s="2"/>
      <c r="H84" s="6">
        <v>7565.9</v>
      </c>
      <c r="I84" s="2"/>
      <c r="J84" s="7">
        <f t="shared" si="45"/>
        <v>1.825571239310941E-2</v>
      </c>
      <c r="K84" s="2"/>
      <c r="L84" s="6">
        <f t="shared" si="46"/>
        <v>-766.89999999999964</v>
      </c>
      <c r="M84" s="2"/>
      <c r="N84" s="7">
        <f t="shared" si="47"/>
        <v>-0.10136269313630893</v>
      </c>
      <c r="O84" s="11"/>
      <c r="P84" s="6">
        <v>65120.62</v>
      </c>
      <c r="Q84" s="2"/>
      <c r="R84" s="7">
        <f t="shared" si="48"/>
        <v>1.8565336988191503E-2</v>
      </c>
      <c r="S84" s="2"/>
      <c r="T84" s="6">
        <v>76561.37999999999</v>
      </c>
      <c r="U84" s="2"/>
      <c r="V84" s="7">
        <f t="shared" si="49"/>
        <v>2.0761748883206303E-2</v>
      </c>
      <c r="W84" s="2"/>
      <c r="X84" s="6">
        <f t="shared" si="50"/>
        <v>-11440.759999999987</v>
      </c>
      <c r="Y84" s="2"/>
      <c r="Z84" s="7">
        <f t="shared" si="51"/>
        <v>-0.14943252067817989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25680.59</v>
      </c>
      <c r="E85" s="2"/>
      <c r="F85" s="7">
        <f t="shared" si="44"/>
        <v>6.2591556022749947E-2</v>
      </c>
      <c r="G85" s="2"/>
      <c r="H85" s="6">
        <v>11537.38</v>
      </c>
      <c r="I85" s="2"/>
      <c r="J85" s="7">
        <f t="shared" si="45"/>
        <v>2.7838471437636323E-2</v>
      </c>
      <c r="K85" s="2"/>
      <c r="L85" s="6">
        <f t="shared" si="46"/>
        <v>14143.210000000001</v>
      </c>
      <c r="M85" s="2"/>
      <c r="N85" s="7">
        <f t="shared" si="47"/>
        <v>1.2258597705891634</v>
      </c>
      <c r="O85" s="11"/>
      <c r="P85" s="6">
        <v>100877</v>
      </c>
      <c r="Q85" s="2"/>
      <c r="R85" s="7">
        <f t="shared" si="48"/>
        <v>2.875917795865264E-2</v>
      </c>
      <c r="S85" s="2"/>
      <c r="T85" s="6">
        <v>90094.14</v>
      </c>
      <c r="U85" s="2"/>
      <c r="V85" s="7">
        <f t="shared" si="49"/>
        <v>2.4431533372679969E-2</v>
      </c>
      <c r="W85" s="2"/>
      <c r="X85" s="6">
        <f t="shared" si="50"/>
        <v>10782.86</v>
      </c>
      <c r="Y85" s="2"/>
      <c r="Z85" s="7">
        <f t="shared" si="51"/>
        <v>0.11968436570902392</v>
      </c>
    </row>
    <row r="86" spans="1:26" s="26" customFormat="1" outlineLevel="1" collapsed="1" x14ac:dyDescent="0.25">
      <c r="A86" s="27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SUM(OSRRefD22_17x_0)</f>
        <v>25849.93</v>
      </c>
      <c r="E86" s="1"/>
      <c r="F86" s="5">
        <f t="shared" ref="F86:F88" si="52">IF(D$12=0,0,D86/D$12)</f>
        <v>6.300429007975146E-2</v>
      </c>
      <c r="G86" s="1"/>
      <c r="H86" s="1">
        <f>SUM(OSRRefH22_17x_0)</f>
        <v>29126.34</v>
      </c>
      <c r="I86" s="1"/>
      <c r="J86" s="5">
        <f t="shared" ref="J86:J88" si="53">IF(H$12=0,0,H86/H$12)</f>
        <v>7.0278762090949978E-2</v>
      </c>
      <c r="K86" s="1"/>
      <c r="L86" s="1">
        <f t="shared" ref="L86:L88" si="54">+D86-H86</f>
        <v>-3276.41</v>
      </c>
      <c r="M86" s="1"/>
      <c r="N86" s="5">
        <f t="shared" ref="N86:N88" si="55">IF(H86=0,0,L86/H86)</f>
        <v>-0.11248958846185274</v>
      </c>
      <c r="O86" s="13"/>
      <c r="P86" s="1">
        <f>SUM(OSRRefP22_17x_0)</f>
        <v>159522.10999999999</v>
      </c>
      <c r="Q86" s="1"/>
      <c r="R86" s="5">
        <f t="shared" ref="R86:R88" si="56">IF(P$12=0,0,P86/P$12)</f>
        <v>4.5478401913516077E-2</v>
      </c>
      <c r="S86" s="1"/>
      <c r="T86" s="1">
        <f>SUM(OSRRefT22_17x_0)</f>
        <v>175423.93</v>
      </c>
      <c r="U86" s="1"/>
      <c r="V86" s="5">
        <f t="shared" ref="V86:V88" si="57">IF(T$12=0,0,T86/T$12)</f>
        <v>4.7571080651434984E-2</v>
      </c>
      <c r="W86" s="1"/>
      <c r="X86" s="1">
        <f t="shared" ref="X86:X88" si="58">+P86-T86</f>
        <v>-15901.820000000007</v>
      </c>
      <c r="Y86" s="1"/>
      <c r="Z86" s="5">
        <f t="shared" ref="Z86:Z88" si="59">IF(T86=0,0,X86/T86)</f>
        <v>-9.0647952078145827E-2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6">
        <v>17641.37</v>
      </c>
      <c r="E87" s="2"/>
      <c r="F87" s="7">
        <f t="shared" si="52"/>
        <v>4.2997485597996779E-2</v>
      </c>
      <c r="G87" s="2"/>
      <c r="H87" s="6">
        <v>20823.38</v>
      </c>
      <c r="I87" s="2"/>
      <c r="J87" s="7">
        <f t="shared" si="53"/>
        <v>5.0244602272357115E-2</v>
      </c>
      <c r="K87" s="2"/>
      <c r="L87" s="6">
        <f t="shared" si="54"/>
        <v>-3182.010000000002</v>
      </c>
      <c r="M87" s="2"/>
      <c r="N87" s="7">
        <f t="shared" si="55"/>
        <v>-0.15280948626015575</v>
      </c>
      <c r="O87" s="11"/>
      <c r="P87" s="6">
        <v>78668.429999999993</v>
      </c>
      <c r="Q87" s="2"/>
      <c r="R87" s="7">
        <f t="shared" si="56"/>
        <v>2.242770282718368E-2</v>
      </c>
      <c r="S87" s="2"/>
      <c r="T87" s="6">
        <v>94511.37</v>
      </c>
      <c r="U87" s="2"/>
      <c r="V87" s="7">
        <f t="shared" si="57"/>
        <v>2.5629388218287055E-2</v>
      </c>
      <c r="W87" s="2"/>
      <c r="X87" s="6">
        <f t="shared" si="58"/>
        <v>-15842.940000000002</v>
      </c>
      <c r="Y87" s="2"/>
      <c r="Z87" s="7">
        <f t="shared" si="59"/>
        <v>-0.1676299899154991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6">
        <v>8208.56</v>
      </c>
      <c r="E88" s="2"/>
      <c r="F88" s="7">
        <f t="shared" si="52"/>
        <v>2.0006804481754674E-2</v>
      </c>
      <c r="G88" s="2"/>
      <c r="H88" s="6">
        <v>8302.9599999999991</v>
      </c>
      <c r="I88" s="2"/>
      <c r="J88" s="7">
        <f t="shared" si="53"/>
        <v>2.0034159818592859E-2</v>
      </c>
      <c r="K88" s="2"/>
      <c r="L88" s="6">
        <f t="shared" si="54"/>
        <v>-94.399999999999636</v>
      </c>
      <c r="M88" s="2"/>
      <c r="N88" s="7">
        <f t="shared" si="55"/>
        <v>-1.1369439332478977E-2</v>
      </c>
      <c r="O88" s="11"/>
      <c r="P88" s="6">
        <v>80853.679999999993</v>
      </c>
      <c r="Q88" s="2"/>
      <c r="R88" s="7">
        <f t="shared" si="56"/>
        <v>2.30506990863324E-2</v>
      </c>
      <c r="S88" s="2"/>
      <c r="T88" s="6">
        <v>80912.56</v>
      </c>
      <c r="U88" s="2"/>
      <c r="V88" s="7">
        <f t="shared" si="57"/>
        <v>2.1941692433147929E-2</v>
      </c>
      <c r="W88" s="2"/>
      <c r="X88" s="6">
        <f t="shared" si="58"/>
        <v>-58.880000000004657</v>
      </c>
      <c r="Y88" s="2"/>
      <c r="Z88" s="7">
        <f t="shared" si="59"/>
        <v>-7.2769913595620577E-4</v>
      </c>
    </row>
    <row r="89" spans="1:26" s="26" customFormat="1" outlineLevel="1" collapsed="1" x14ac:dyDescent="0.25">
      <c r="A89" s="27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SUM(OSRRefD22_18x_0)</f>
        <v>25171.949999999997</v>
      </c>
      <c r="E89" s="1"/>
      <c r="F89" s="5">
        <f t="shared" ref="F89:F94" si="60">IF(D$12=0,0,D89/D$12)</f>
        <v>6.1351842719612762E-2</v>
      </c>
      <c r="G89" s="1"/>
      <c r="H89" s="1">
        <f>SUM(OSRRefH22_18x_0)</f>
        <v>22828.87</v>
      </c>
      <c r="I89" s="1"/>
      <c r="J89" s="5">
        <f t="shared" ref="J89:J94" si="61">IF(H$12=0,0,H89/H$12)</f>
        <v>5.5083636445060556E-2</v>
      </c>
      <c r="K89" s="1"/>
      <c r="L89" s="1">
        <f t="shared" ref="L89:L94" si="62">+D89-H89</f>
        <v>2343.0799999999981</v>
      </c>
      <c r="M89" s="1"/>
      <c r="N89" s="5">
        <f t="shared" ref="N89:N94" si="63">IF(H89=0,0,L89/H89)</f>
        <v>0.10263670518952529</v>
      </c>
      <c r="O89" s="13"/>
      <c r="P89" s="1">
        <f>SUM(OSRRefP22_18x_0)</f>
        <v>156999.85999999999</v>
      </c>
      <c r="Q89" s="1"/>
      <c r="R89" s="5">
        <f t="shared" ref="R89:R94" si="64">IF(P$12=0,0,P89/P$12)</f>
        <v>4.4759329809803523E-2</v>
      </c>
      <c r="S89" s="1"/>
      <c r="T89" s="1">
        <f>SUM(OSRRefT22_18x_0)</f>
        <v>156192.98000000001</v>
      </c>
      <c r="U89" s="1"/>
      <c r="V89" s="5">
        <f t="shared" ref="V89:V94" si="65">IF(T$12=0,0,T89/T$12)</f>
        <v>4.2356073363354542E-2</v>
      </c>
      <c r="W89" s="1"/>
      <c r="X89" s="1">
        <f t="shared" ref="X89:X94" si="66">+P89-T89</f>
        <v>806.87999999997555</v>
      </c>
      <c r="Y89" s="1"/>
      <c r="Z89" s="5">
        <f t="shared" ref="Z89:Z94" si="67">IF(T89=0,0,X89/T89)</f>
        <v>5.1659171878273629E-3</v>
      </c>
    </row>
    <row r="90" spans="1:26" s="24" customFormat="1" hidden="1" outlineLevel="2" x14ac:dyDescent="0.25">
      <c r="A90" s="25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949.03</v>
      </c>
      <c r="E90" s="2"/>
      <c r="F90" s="7">
        <f t="shared" si="60"/>
        <v>2.3130802061895922E-3</v>
      </c>
      <c r="G90" s="2"/>
      <c r="H90" s="6">
        <v>1427.57</v>
      </c>
      <c r="I90" s="2"/>
      <c r="J90" s="7">
        <f t="shared" si="61"/>
        <v>3.4445746495501131E-3</v>
      </c>
      <c r="K90" s="2"/>
      <c r="L90" s="6">
        <f t="shared" si="62"/>
        <v>-478.53999999999996</v>
      </c>
      <c r="M90" s="2"/>
      <c r="N90" s="7">
        <f t="shared" si="63"/>
        <v>-0.3352129843019957</v>
      </c>
      <c r="O90" s="11"/>
      <c r="P90" s="6">
        <v>9892.02</v>
      </c>
      <c r="Q90" s="2"/>
      <c r="R90" s="7">
        <f t="shared" si="64"/>
        <v>2.820131085882323E-3</v>
      </c>
      <c r="S90" s="2"/>
      <c r="T90" s="6">
        <v>7621.5</v>
      </c>
      <c r="U90" s="2"/>
      <c r="V90" s="7">
        <f t="shared" si="65"/>
        <v>2.0667818306482574E-3</v>
      </c>
      <c r="W90" s="2"/>
      <c r="X90" s="6">
        <f t="shared" si="66"/>
        <v>2270.5200000000004</v>
      </c>
      <c r="Y90" s="2"/>
      <c r="Z90" s="7">
        <f t="shared" si="67"/>
        <v>0.29790986026372768</v>
      </c>
    </row>
    <row r="91" spans="1:26" s="24" customFormat="1" hidden="1" outlineLevel="2" x14ac:dyDescent="0.25">
      <c r="A91" s="25"/>
      <c r="B91" s="11" t="str">
        <f>CONCATENATE("          ", "6283", " - ", "PLANT SERVICE")</f>
        <v xml:space="preserve">          6283 - PLANT SERVICE</v>
      </c>
      <c r="C91" s="11"/>
      <c r="D91" s="6"/>
      <c r="E91" s="2"/>
      <c r="F91" s="7">
        <f t="shared" si="60"/>
        <v>0</v>
      </c>
      <c r="G91" s="2"/>
      <c r="H91" s="6">
        <v>176</v>
      </c>
      <c r="I91" s="2"/>
      <c r="J91" s="7">
        <f t="shared" si="61"/>
        <v>4.2466928999686178E-4</v>
      </c>
      <c r="K91" s="2"/>
      <c r="L91" s="6">
        <f t="shared" si="62"/>
        <v>-176</v>
      </c>
      <c r="M91" s="2"/>
      <c r="N91" s="7">
        <f t="shared" si="63"/>
        <v>-1</v>
      </c>
      <c r="O91" s="11"/>
      <c r="P91" s="6">
        <v>799.12</v>
      </c>
      <c r="Q91" s="2"/>
      <c r="R91" s="7">
        <f t="shared" si="64"/>
        <v>2.2782234097285306E-4</v>
      </c>
      <c r="S91" s="2"/>
      <c r="T91" s="6">
        <v>1232</v>
      </c>
      <c r="U91" s="2"/>
      <c r="V91" s="7">
        <f t="shared" si="65"/>
        <v>3.3409108644737298E-4</v>
      </c>
      <c r="W91" s="2"/>
      <c r="X91" s="6">
        <f t="shared" si="66"/>
        <v>-432.88</v>
      </c>
      <c r="Y91" s="2"/>
      <c r="Z91" s="7">
        <f t="shared" si="67"/>
        <v>-0.35136363636363638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6">
        <v>5130</v>
      </c>
      <c r="E92" s="2"/>
      <c r="F92" s="7">
        <f t="shared" si="60"/>
        <v>1.2503399742634699E-2</v>
      </c>
      <c r="G92" s="2"/>
      <c r="H92" s="6">
        <v>4199</v>
      </c>
      <c r="I92" s="2"/>
      <c r="J92" s="7">
        <f t="shared" si="61"/>
        <v>1.0131740617595583E-2</v>
      </c>
      <c r="K92" s="2"/>
      <c r="L92" s="6">
        <f t="shared" si="62"/>
        <v>931</v>
      </c>
      <c r="M92" s="2"/>
      <c r="N92" s="7">
        <f t="shared" si="63"/>
        <v>0.22171945701357465</v>
      </c>
      <c r="O92" s="11"/>
      <c r="P92" s="6">
        <v>28023</v>
      </c>
      <c r="Q92" s="2"/>
      <c r="R92" s="7">
        <f t="shared" si="64"/>
        <v>7.9891198581968428E-3</v>
      </c>
      <c r="S92" s="2"/>
      <c r="T92" s="6">
        <v>38899.270000000004</v>
      </c>
      <c r="U92" s="2"/>
      <c r="V92" s="7">
        <f t="shared" si="65"/>
        <v>1.0548619623628006E-2</v>
      </c>
      <c r="W92" s="2"/>
      <c r="X92" s="6">
        <f t="shared" si="66"/>
        <v>-10876.270000000004</v>
      </c>
      <c r="Y92" s="2"/>
      <c r="Z92" s="7">
        <f t="shared" si="67"/>
        <v>-0.27960087682879403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6">
        <v>16169.82</v>
      </c>
      <c r="E93" s="2"/>
      <c r="F93" s="7">
        <f t="shared" si="60"/>
        <v>3.9410862227378052E-2</v>
      </c>
      <c r="G93" s="2"/>
      <c r="H93" s="6">
        <v>14182.46</v>
      </c>
      <c r="I93" s="2"/>
      <c r="J93" s="7">
        <f t="shared" si="61"/>
        <v>3.4220768287550524E-2</v>
      </c>
      <c r="K93" s="2"/>
      <c r="L93" s="6">
        <f t="shared" si="62"/>
        <v>1987.3600000000006</v>
      </c>
      <c r="M93" s="2"/>
      <c r="N93" s="7">
        <f t="shared" si="63"/>
        <v>0.14012801728332044</v>
      </c>
      <c r="O93" s="11"/>
      <c r="P93" s="6">
        <v>95816.58</v>
      </c>
      <c r="Q93" s="2"/>
      <c r="R93" s="7">
        <f t="shared" si="64"/>
        <v>2.7316495094119347E-2</v>
      </c>
      <c r="S93" s="2"/>
      <c r="T93" s="6">
        <v>85785.73000000001</v>
      </c>
      <c r="U93" s="2"/>
      <c r="V93" s="7">
        <f t="shared" si="65"/>
        <v>2.3263188098523537E-2</v>
      </c>
      <c r="W93" s="2"/>
      <c r="X93" s="6">
        <f t="shared" si="66"/>
        <v>10030.849999999991</v>
      </c>
      <c r="Y93" s="2"/>
      <c r="Z93" s="7">
        <f t="shared" si="67"/>
        <v>0.11692912096219255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6">
        <v>2923.1</v>
      </c>
      <c r="E94" s="2"/>
      <c r="F94" s="7">
        <f t="shared" si="60"/>
        <v>7.1245005434104258E-3</v>
      </c>
      <c r="G94" s="2"/>
      <c r="H94" s="6">
        <v>2843.84</v>
      </c>
      <c r="I94" s="2"/>
      <c r="J94" s="7">
        <f t="shared" si="61"/>
        <v>6.8618836003674745E-3</v>
      </c>
      <c r="K94" s="2"/>
      <c r="L94" s="6">
        <f t="shared" si="62"/>
        <v>79.259999999999764</v>
      </c>
      <c r="M94" s="2"/>
      <c r="N94" s="7">
        <f t="shared" si="63"/>
        <v>2.787076628783608E-2</v>
      </c>
      <c r="O94" s="11"/>
      <c r="P94" s="6">
        <v>22469.14</v>
      </c>
      <c r="Q94" s="2"/>
      <c r="R94" s="7">
        <f t="shared" si="64"/>
        <v>6.4057614306321595E-3</v>
      </c>
      <c r="S94" s="2"/>
      <c r="T94" s="6">
        <v>22654.48</v>
      </c>
      <c r="U94" s="2"/>
      <c r="V94" s="7">
        <f t="shared" si="65"/>
        <v>6.1433927241073714E-3</v>
      </c>
      <c r="W94" s="2"/>
      <c r="X94" s="6">
        <f t="shared" si="66"/>
        <v>-185.34000000000015</v>
      </c>
      <c r="Y94" s="2"/>
      <c r="Z94" s="7">
        <f t="shared" si="67"/>
        <v>-8.1811632842598968E-3</v>
      </c>
    </row>
    <row r="95" spans="1:26" s="26" customFormat="1" outlineLevel="1" collapsed="1" x14ac:dyDescent="0.25">
      <c r="A95" s="27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SUM(OSRRefD22_19x_0)</f>
        <v>585.98</v>
      </c>
      <c r="E95" s="1"/>
      <c r="F95" s="5">
        <f t="shared" ref="F95:F97" si="68">IF(D$12=0,0,D95/D$12)</f>
        <v>1.4282148501343237E-3</v>
      </c>
      <c r="G95" s="1"/>
      <c r="H95" s="1">
        <f>SUM(OSRRefH22_19x_0)</f>
        <v>1635.16</v>
      </c>
      <c r="I95" s="1"/>
      <c r="J95" s="5">
        <f t="shared" ref="J95:J97" si="69">IF(H$12=0,0,H95/H$12)</f>
        <v>3.9454672513140254E-3</v>
      </c>
      <c r="K95" s="1"/>
      <c r="L95" s="1">
        <f t="shared" ref="L95:L97" si="70">+D95-H95</f>
        <v>-1049.18</v>
      </c>
      <c r="M95" s="1"/>
      <c r="N95" s="5">
        <f t="shared" ref="N95:N97" si="71">IF(H95=0,0,L95/H95)</f>
        <v>-0.6416375155948042</v>
      </c>
      <c r="O95" s="13"/>
      <c r="P95" s="1">
        <f>SUM(OSRRefP22_19x_0)</f>
        <v>6860.58</v>
      </c>
      <c r="Q95" s="1"/>
      <c r="R95" s="5">
        <f t="shared" ref="R95:R97" si="72">IF(P$12=0,0,P95/P$12)</f>
        <v>1.9558932275897689E-3</v>
      </c>
      <c r="S95" s="1"/>
      <c r="T95" s="1">
        <f>SUM(OSRRefT22_19x_0)</f>
        <v>3591.95</v>
      </c>
      <c r="U95" s="1"/>
      <c r="V95" s="5">
        <f t="shared" ref="V95:V97" si="73">IF(T$12=0,0,T95/T$12)</f>
        <v>9.7405720614013086E-4</v>
      </c>
      <c r="W95" s="1"/>
      <c r="X95" s="1">
        <f t="shared" ref="X95:X97" si="74">+P95-T95</f>
        <v>3268.63</v>
      </c>
      <c r="Y95" s="1"/>
      <c r="Z95" s="5">
        <f t="shared" ref="Z95:Z97" si="75">IF(T95=0,0,X95/T95)</f>
        <v>0.90998761118612459</v>
      </c>
    </row>
    <row r="96" spans="1:26" s="24" customFormat="1" hidden="1" outlineLevel="2" x14ac:dyDescent="0.25">
      <c r="A96" s="25"/>
      <c r="B96" s="11" t="str">
        <f>CONCATENATE("          ", "6258", " - ", "MEMBERSHIP DUES")</f>
        <v xml:space="preserve">          6258 - MEMBERSHIP DUES</v>
      </c>
      <c r="C96" s="11"/>
      <c r="D96" s="6">
        <v>131.19999999999999</v>
      </c>
      <c r="E96" s="2"/>
      <c r="F96" s="7">
        <f t="shared" si="68"/>
        <v>3.1977505774535522E-4</v>
      </c>
      <c r="G96" s="2"/>
      <c r="H96" s="6"/>
      <c r="I96" s="2"/>
      <c r="J96" s="7">
        <f t="shared" si="69"/>
        <v>0</v>
      </c>
      <c r="K96" s="2"/>
      <c r="L96" s="6">
        <f t="shared" si="70"/>
        <v>131.19999999999999</v>
      </c>
      <c r="M96" s="2"/>
      <c r="N96" s="7">
        <f t="shared" si="71"/>
        <v>0</v>
      </c>
      <c r="O96" s="11"/>
      <c r="P96" s="6">
        <v>3861.2</v>
      </c>
      <c r="Q96" s="2"/>
      <c r="R96" s="7">
        <f t="shared" si="72"/>
        <v>1.1007954036494896E-3</v>
      </c>
      <c r="S96" s="2"/>
      <c r="T96" s="6"/>
      <c r="U96" s="2"/>
      <c r="V96" s="7">
        <f t="shared" si="73"/>
        <v>0</v>
      </c>
      <c r="W96" s="2"/>
      <c r="X96" s="6">
        <f t="shared" si="74"/>
        <v>3861.2</v>
      </c>
      <c r="Y96" s="2"/>
      <c r="Z96" s="7">
        <f t="shared" si="75"/>
        <v>0</v>
      </c>
    </row>
    <row r="97" spans="1:26" s="24" customFormat="1" hidden="1" outlineLevel="2" x14ac:dyDescent="0.25">
      <c r="A97" s="25"/>
      <c r="B97" s="11" t="str">
        <f>CONCATENATE("          ", "6275", " - ", "SUBSCRIPTIONS")</f>
        <v xml:space="preserve">          6275 - SUBSCRIPTIONS</v>
      </c>
      <c r="C97" s="11"/>
      <c r="D97" s="6">
        <v>454.78</v>
      </c>
      <c r="E97" s="2"/>
      <c r="F97" s="7">
        <f t="shared" si="68"/>
        <v>1.1084397923889684E-3</v>
      </c>
      <c r="G97" s="2"/>
      <c r="H97" s="6">
        <v>1635.16</v>
      </c>
      <c r="I97" s="2"/>
      <c r="J97" s="7">
        <f t="shared" si="69"/>
        <v>3.9454672513140254E-3</v>
      </c>
      <c r="K97" s="2"/>
      <c r="L97" s="6">
        <f t="shared" si="70"/>
        <v>-1180.3800000000001</v>
      </c>
      <c r="M97" s="2"/>
      <c r="N97" s="7">
        <f t="shared" si="71"/>
        <v>-0.72187431199393337</v>
      </c>
      <c r="O97" s="11"/>
      <c r="P97" s="6">
        <v>2999.38</v>
      </c>
      <c r="Q97" s="2"/>
      <c r="R97" s="7">
        <f t="shared" si="72"/>
        <v>8.5509782394027937E-4</v>
      </c>
      <c r="S97" s="2"/>
      <c r="T97" s="6">
        <v>3591.95</v>
      </c>
      <c r="U97" s="2"/>
      <c r="V97" s="7">
        <f t="shared" si="73"/>
        <v>9.7405720614013086E-4</v>
      </c>
      <c r="W97" s="2"/>
      <c r="X97" s="6">
        <f t="shared" si="74"/>
        <v>-592.56999999999971</v>
      </c>
      <c r="Y97" s="2"/>
      <c r="Z97" s="7">
        <f t="shared" si="75"/>
        <v>-0.16497167276827343</v>
      </c>
    </row>
    <row r="98" spans="1:26" s="26" customFormat="1" outlineLevel="1" collapsed="1" x14ac:dyDescent="0.25">
      <c r="A98" s="27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SUM(OSRRefD22_20x_0)</f>
        <v>14767.399999999998</v>
      </c>
      <c r="E98" s="1"/>
      <c r="F98" s="5">
        <f t="shared" ref="F98:F106" si="76">IF(D$12=0,0,D98/D$12)</f>
        <v>3.5992730089548466E-2</v>
      </c>
      <c r="G98" s="1"/>
      <c r="H98" s="1">
        <f>SUM(OSRRefH22_20x_0)</f>
        <v>18540.290000000005</v>
      </c>
      <c r="I98" s="1"/>
      <c r="J98" s="5">
        <f t="shared" ref="J98:J106" si="77">IF(H$12=0,0,H98/H$12)</f>
        <v>4.4735748810431353E-2</v>
      </c>
      <c r="K98" s="1"/>
      <c r="L98" s="1">
        <f t="shared" ref="L98:L106" si="78">+D98-H98</f>
        <v>-3772.8900000000067</v>
      </c>
      <c r="M98" s="1"/>
      <c r="N98" s="5">
        <f t="shared" ref="N98:N106" si="79">IF(H98=0,0,L98/H98)</f>
        <v>-0.20349681693220578</v>
      </c>
      <c r="O98" s="13"/>
      <c r="P98" s="1">
        <f>SUM(OSRRefP22_20x_0)</f>
        <v>131173.31</v>
      </c>
      <c r="Q98" s="1"/>
      <c r="R98" s="5">
        <f t="shared" ref="R98:R106" si="80">IF(P$12=0,0,P98/P$12)</f>
        <v>3.7396399235856637E-2</v>
      </c>
      <c r="S98" s="1"/>
      <c r="T98" s="1">
        <f>SUM(OSRRefT22_20x_0)</f>
        <v>124277.98999999999</v>
      </c>
      <c r="U98" s="1"/>
      <c r="V98" s="5">
        <f t="shared" ref="V98:V106" si="81">IF(T$12=0,0,T98/T$12)</f>
        <v>3.3701435633600445E-2</v>
      </c>
      <c r="W98" s="1"/>
      <c r="X98" s="1">
        <f t="shared" ref="X98:X106" si="82">+P98-T98</f>
        <v>6895.320000000007</v>
      </c>
      <c r="Y98" s="1"/>
      <c r="Z98" s="5">
        <f t="shared" ref="Z98:Z106" si="83">IF(T98=0,0,X98/T98)</f>
        <v>5.5483034445600606E-2</v>
      </c>
    </row>
    <row r="99" spans="1:26" s="24" customFormat="1" hidden="1" outlineLevel="2" x14ac:dyDescent="0.25">
      <c r="A99" s="25"/>
      <c r="B99" s="11" t="str">
        <f>CONCATENATE("          ", "6234", " - ", "EXPENDABLE SUPPLIES &amp; EQUIPMEN")</f>
        <v xml:space="preserve">          6234 - EXPENDABLE SUPPLIES &amp; EQUIPMEN</v>
      </c>
      <c r="C99" s="11"/>
      <c r="D99" s="6">
        <v>1008.79</v>
      </c>
      <c r="E99" s="2"/>
      <c r="F99" s="7">
        <f t="shared" si="76"/>
        <v>2.4587338452967751E-3</v>
      </c>
      <c r="G99" s="2"/>
      <c r="H99" s="6">
        <v>39.630000000000003</v>
      </c>
      <c r="I99" s="2"/>
      <c r="J99" s="7">
        <f t="shared" si="77"/>
        <v>9.5622977060088829E-5</v>
      </c>
      <c r="K99" s="2"/>
      <c r="L99" s="6">
        <f t="shared" si="78"/>
        <v>969.16</v>
      </c>
      <c r="M99" s="2"/>
      <c r="N99" s="7">
        <f t="shared" si="79"/>
        <v>24.455210698965427</v>
      </c>
      <c r="O99" s="11"/>
      <c r="P99" s="6">
        <v>13211.51</v>
      </c>
      <c r="Q99" s="2"/>
      <c r="R99" s="7">
        <f t="shared" si="80"/>
        <v>3.7664895584971691E-3</v>
      </c>
      <c r="S99" s="2"/>
      <c r="T99" s="6">
        <v>7015.91</v>
      </c>
      <c r="U99" s="2"/>
      <c r="V99" s="7">
        <f t="shared" si="81"/>
        <v>1.9025592486339191E-3</v>
      </c>
      <c r="W99" s="2"/>
      <c r="X99" s="6">
        <f t="shared" si="82"/>
        <v>6195.6</v>
      </c>
      <c r="Y99" s="2"/>
      <c r="Z99" s="7">
        <f t="shared" si="83"/>
        <v>0.88307860277569128</v>
      </c>
    </row>
    <row r="100" spans="1:26" s="24" customFormat="1" hidden="1" outlineLevel="2" x14ac:dyDescent="0.25">
      <c r="A100" s="25"/>
      <c r="B100" s="11" t="str">
        <f>CONCATENATE("          ", "6237", " - ", "JANITORIAL SUPPLIES")</f>
        <v xml:space="preserve">          6237 - JANITORIAL SUPPLIES</v>
      </c>
      <c r="C100" s="11"/>
      <c r="D100" s="6">
        <v>5936.7</v>
      </c>
      <c r="E100" s="2"/>
      <c r="F100" s="7">
        <f t="shared" si="76"/>
        <v>1.446957763198819E-2</v>
      </c>
      <c r="G100" s="2"/>
      <c r="H100" s="6">
        <v>5471.21</v>
      </c>
      <c r="I100" s="2"/>
      <c r="J100" s="7">
        <f t="shared" si="77"/>
        <v>1.320144810297574E-2</v>
      </c>
      <c r="K100" s="2"/>
      <c r="L100" s="6">
        <f t="shared" si="78"/>
        <v>465.48999999999978</v>
      </c>
      <c r="M100" s="2"/>
      <c r="N100" s="7">
        <f t="shared" si="79"/>
        <v>8.5079900058670707E-2</v>
      </c>
      <c r="O100" s="11"/>
      <c r="P100" s="6">
        <v>35930.18</v>
      </c>
      <c r="Q100" s="2"/>
      <c r="R100" s="7">
        <f t="shared" si="80"/>
        <v>1.0243389877835601E-2</v>
      </c>
      <c r="S100" s="2"/>
      <c r="T100" s="6">
        <v>33481.39</v>
      </c>
      <c r="U100" s="2"/>
      <c r="V100" s="7">
        <f t="shared" si="81"/>
        <v>9.0794106825228954E-3</v>
      </c>
      <c r="W100" s="2"/>
      <c r="X100" s="6">
        <f t="shared" si="82"/>
        <v>2448.7900000000009</v>
      </c>
      <c r="Y100" s="2"/>
      <c r="Z100" s="7">
        <f t="shared" si="83"/>
        <v>7.3138839217846127E-2</v>
      </c>
    </row>
    <row r="101" spans="1:26" s="24" customFormat="1" hidden="1" outlineLevel="2" x14ac:dyDescent="0.25">
      <c r="A101" s="25"/>
      <c r="B101" s="11" t="str">
        <f>CONCATENATE("          ", "6239", " - ", "KITCHEN SUPPLIES")</f>
        <v xml:space="preserve">          6239 - KITCHEN SUPPLIES</v>
      </c>
      <c r="C101" s="11"/>
      <c r="D101" s="6">
        <v>2414.56</v>
      </c>
      <c r="E101" s="2"/>
      <c r="F101" s="7">
        <f t="shared" si="76"/>
        <v>5.8850309712623851E-3</v>
      </c>
      <c r="G101" s="2"/>
      <c r="H101" s="6">
        <v>4212.1099999999997</v>
      </c>
      <c r="I101" s="2"/>
      <c r="J101" s="7">
        <f t="shared" si="77"/>
        <v>1.0163373653912962E-2</v>
      </c>
      <c r="K101" s="2"/>
      <c r="L101" s="6">
        <f t="shared" si="78"/>
        <v>-1797.5499999999997</v>
      </c>
      <c r="M101" s="2"/>
      <c r="N101" s="7">
        <f t="shared" si="79"/>
        <v>-0.42675761079364022</v>
      </c>
      <c r="O101" s="11"/>
      <c r="P101" s="6">
        <v>35848.400000000001</v>
      </c>
      <c r="Q101" s="2"/>
      <c r="R101" s="7">
        <f t="shared" si="80"/>
        <v>1.0220075092766075E-2</v>
      </c>
      <c r="S101" s="2"/>
      <c r="T101" s="6">
        <v>23112.75</v>
      </c>
      <c r="U101" s="2"/>
      <c r="V101" s="7">
        <f t="shared" si="81"/>
        <v>6.2676653882195775E-3</v>
      </c>
      <c r="W101" s="2"/>
      <c r="X101" s="6">
        <f t="shared" si="82"/>
        <v>12735.650000000001</v>
      </c>
      <c r="Y101" s="2"/>
      <c r="Z101" s="7">
        <f t="shared" si="83"/>
        <v>0.55102270391883279</v>
      </c>
    </row>
    <row r="102" spans="1:26" s="24" customFormat="1" hidden="1" outlineLevel="2" x14ac:dyDescent="0.25">
      <c r="A102" s="25"/>
      <c r="B102" s="11" t="str">
        <f>CONCATENATE("          ", "6241", " - ", "OFFICE EXPENSE")</f>
        <v xml:space="preserve">          6241 - OFFICE EXPENSE</v>
      </c>
      <c r="C102" s="11"/>
      <c r="D102" s="6">
        <v>749.3</v>
      </c>
      <c r="E102" s="2"/>
      <c r="F102" s="7">
        <f t="shared" si="76"/>
        <v>1.8262763015898984E-3</v>
      </c>
      <c r="G102" s="2"/>
      <c r="H102" s="6">
        <v>3018.85</v>
      </c>
      <c r="I102" s="2"/>
      <c r="J102" s="7">
        <f t="shared" si="77"/>
        <v>7.284164125608103E-3</v>
      </c>
      <c r="K102" s="2"/>
      <c r="L102" s="6">
        <f t="shared" si="78"/>
        <v>-2269.5500000000002</v>
      </c>
      <c r="M102" s="2"/>
      <c r="N102" s="7">
        <f t="shared" si="79"/>
        <v>-0.75179290127035137</v>
      </c>
      <c r="O102" s="11"/>
      <c r="P102" s="6">
        <v>15281.7</v>
      </c>
      <c r="Q102" s="2"/>
      <c r="R102" s="7">
        <f t="shared" si="80"/>
        <v>4.3566831865612787E-3</v>
      </c>
      <c r="S102" s="2"/>
      <c r="T102" s="6">
        <v>15670.26</v>
      </c>
      <c r="U102" s="2"/>
      <c r="V102" s="7">
        <f t="shared" si="81"/>
        <v>4.2494271009032554E-3</v>
      </c>
      <c r="W102" s="2"/>
      <c r="X102" s="6">
        <f t="shared" si="82"/>
        <v>-388.55999999999949</v>
      </c>
      <c r="Y102" s="2"/>
      <c r="Z102" s="7">
        <f t="shared" si="83"/>
        <v>-2.4796014871482634E-2</v>
      </c>
    </row>
    <row r="103" spans="1:26" s="24" customFormat="1" hidden="1" outlineLevel="2" x14ac:dyDescent="0.25">
      <c r="A103" s="25"/>
      <c r="B103" s="11" t="str">
        <f>CONCATENATE("          ", "6243", " - ", "PAPER SUPPLIES")</f>
        <v xml:space="preserve">          6243 - PAPER SUPPLIES</v>
      </c>
      <c r="C103" s="11"/>
      <c r="D103" s="6">
        <v>4864.68</v>
      </c>
      <c r="E103" s="2"/>
      <c r="F103" s="7">
        <f t="shared" si="76"/>
        <v>1.1856732682261241E-2</v>
      </c>
      <c r="G103" s="2"/>
      <c r="H103" s="6">
        <v>5345.68</v>
      </c>
      <c r="I103" s="2"/>
      <c r="J103" s="7">
        <f t="shared" si="77"/>
        <v>1.2898557557672864E-2</v>
      </c>
      <c r="K103" s="2"/>
      <c r="L103" s="6">
        <f t="shared" si="78"/>
        <v>-481</v>
      </c>
      <c r="M103" s="2"/>
      <c r="N103" s="7">
        <f t="shared" si="79"/>
        <v>-8.9979198156268231E-2</v>
      </c>
      <c r="O103" s="11"/>
      <c r="P103" s="6">
        <v>23710.929999999997</v>
      </c>
      <c r="Q103" s="2"/>
      <c r="R103" s="7">
        <f t="shared" si="80"/>
        <v>6.7597852378159101E-3</v>
      </c>
      <c r="S103" s="2"/>
      <c r="T103" s="6">
        <v>30722.25</v>
      </c>
      <c r="U103" s="2"/>
      <c r="V103" s="7">
        <f t="shared" si="81"/>
        <v>8.3311930849089312E-3</v>
      </c>
      <c r="W103" s="2"/>
      <c r="X103" s="6">
        <f t="shared" si="82"/>
        <v>-7011.3200000000033</v>
      </c>
      <c r="Y103" s="2"/>
      <c r="Z103" s="7">
        <f t="shared" si="83"/>
        <v>-0.22821635785139446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6">
        <v>260.38</v>
      </c>
      <c r="E104" s="2"/>
      <c r="F104" s="7">
        <f t="shared" si="76"/>
        <v>6.3462674951017984E-4</v>
      </c>
      <c r="G104" s="2"/>
      <c r="H104" s="6">
        <v>106.18</v>
      </c>
      <c r="I104" s="2"/>
      <c r="J104" s="7">
        <f t="shared" si="77"/>
        <v>2.5620105234015219E-4</v>
      </c>
      <c r="K104" s="2"/>
      <c r="L104" s="6">
        <f t="shared" si="78"/>
        <v>154.19999999999999</v>
      </c>
      <c r="M104" s="2"/>
      <c r="N104" s="7">
        <f t="shared" si="79"/>
        <v>1.4522508947071009</v>
      </c>
      <c r="O104" s="11"/>
      <c r="P104" s="6">
        <v>531.28</v>
      </c>
      <c r="Q104" s="2"/>
      <c r="R104" s="7">
        <f t="shared" si="80"/>
        <v>1.5146342640912175E-4</v>
      </c>
      <c r="S104" s="2"/>
      <c r="T104" s="6">
        <v>106.18</v>
      </c>
      <c r="U104" s="2"/>
      <c r="V104" s="7">
        <f t="shared" si="81"/>
        <v>2.8793661979693233E-5</v>
      </c>
      <c r="W104" s="2"/>
      <c r="X104" s="6">
        <f t="shared" si="82"/>
        <v>425.09999999999997</v>
      </c>
      <c r="Y104" s="2"/>
      <c r="Z104" s="7">
        <f t="shared" si="83"/>
        <v>4.0035788284045957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6">
        <v>-615.96</v>
      </c>
      <c r="E105" s="2"/>
      <c r="F105" s="7">
        <f t="shared" si="76"/>
        <v>-1.5012854006770506E-3</v>
      </c>
      <c r="G105" s="2"/>
      <c r="H105" s="6"/>
      <c r="I105" s="2"/>
      <c r="J105" s="7">
        <f t="shared" si="77"/>
        <v>0</v>
      </c>
      <c r="K105" s="2"/>
      <c r="L105" s="6">
        <f t="shared" si="78"/>
        <v>-615.96</v>
      </c>
      <c r="M105" s="2"/>
      <c r="N105" s="7">
        <f t="shared" si="79"/>
        <v>0</v>
      </c>
      <c r="O105" s="11"/>
      <c r="P105" s="6">
        <v>2776.61</v>
      </c>
      <c r="Q105" s="2"/>
      <c r="R105" s="7">
        <f t="shared" si="80"/>
        <v>7.9158798449373508E-4</v>
      </c>
      <c r="S105" s="2"/>
      <c r="T105" s="6">
        <v>5841.19</v>
      </c>
      <c r="U105" s="2"/>
      <c r="V105" s="7">
        <f t="shared" si="81"/>
        <v>1.5840012282837097E-3</v>
      </c>
      <c r="W105" s="2"/>
      <c r="X105" s="6">
        <f t="shared" si="82"/>
        <v>-3064.5799999999995</v>
      </c>
      <c r="Y105" s="2"/>
      <c r="Z105" s="7">
        <f t="shared" si="83"/>
        <v>-0.52464994290546951</v>
      </c>
    </row>
    <row r="106" spans="1:26" s="24" customFormat="1" hidden="1" outlineLevel="2" x14ac:dyDescent="0.25">
      <c r="A106" s="25"/>
      <c r="B106" s="11" t="str">
        <f>CONCATENATE("          ", "6248", " - ", "UNIFORMS")</f>
        <v xml:space="preserve">          6248 - UNIFORMS</v>
      </c>
      <c r="C106" s="11"/>
      <c r="D106" s="6">
        <v>148.94999999999999</v>
      </c>
      <c r="E106" s="2"/>
      <c r="F106" s="7">
        <f t="shared" si="76"/>
        <v>3.6303730831684956E-4</v>
      </c>
      <c r="G106" s="2"/>
      <c r="H106" s="6">
        <v>346.63</v>
      </c>
      <c r="I106" s="2"/>
      <c r="J106" s="7">
        <f t="shared" si="77"/>
        <v>8.3638134086143291E-4</v>
      </c>
      <c r="K106" s="2"/>
      <c r="L106" s="6">
        <f t="shared" si="78"/>
        <v>-197.68</v>
      </c>
      <c r="M106" s="2"/>
      <c r="N106" s="7">
        <f t="shared" si="79"/>
        <v>-0.57029108848051235</v>
      </c>
      <c r="O106" s="11"/>
      <c r="P106" s="6">
        <v>3882.7</v>
      </c>
      <c r="Q106" s="2"/>
      <c r="R106" s="7">
        <f t="shared" si="80"/>
        <v>1.1069248714777461E-3</v>
      </c>
      <c r="S106" s="2"/>
      <c r="T106" s="6">
        <v>8328.06</v>
      </c>
      <c r="U106" s="2"/>
      <c r="V106" s="7">
        <f t="shared" si="81"/>
        <v>2.2583852381484648E-3</v>
      </c>
      <c r="W106" s="2"/>
      <c r="X106" s="6">
        <f t="shared" si="82"/>
        <v>-4445.3599999999997</v>
      </c>
      <c r="Y106" s="2"/>
      <c r="Z106" s="7">
        <f t="shared" si="83"/>
        <v>-0.53378097660199375</v>
      </c>
    </row>
    <row r="107" spans="1:26" s="26" customFormat="1" outlineLevel="1" collapsed="1" x14ac:dyDescent="0.25">
      <c r="A107" s="27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SUM(OSRRefD22_21x_0)</f>
        <v>2863.61</v>
      </c>
      <c r="E107" s="1"/>
      <c r="F107" s="5">
        <f t="shared" ref="F107:F114" si="84">IF(D$12=0,0,D107/D$12)</f>
        <v>6.9795049779739085E-3</v>
      </c>
      <c r="G107" s="1"/>
      <c r="H107" s="1">
        <f>SUM(OSRRefH22_21x_0)</f>
        <v>8.42</v>
      </c>
      <c r="I107" s="1"/>
      <c r="J107" s="5">
        <f t="shared" ref="J107:J114" si="85">IF(H$12=0,0,H107/H$12)</f>
        <v>2.0316564896440775E-5</v>
      </c>
      <c r="K107" s="1"/>
      <c r="L107" s="1">
        <f t="shared" ref="L107:L114" si="86">+D107-H107</f>
        <v>2855.19</v>
      </c>
      <c r="M107" s="1"/>
      <c r="N107" s="5">
        <f t="shared" ref="N107:N114" si="87">IF(H107=0,0,L107/H107)</f>
        <v>339.09619952494063</v>
      </c>
      <c r="O107" s="13"/>
      <c r="P107" s="1">
        <f>SUM(OSRRefP22_21x_0)</f>
        <v>13362.13</v>
      </c>
      <c r="Q107" s="1"/>
      <c r="R107" s="5">
        <f t="shared" ref="R107:R114" si="88">IF(P$12=0,0,P107/P$12)</f>
        <v>3.8094300442781922E-3</v>
      </c>
      <c r="S107" s="1"/>
      <c r="T107" s="1">
        <f>SUM(OSRRefT22_21x_0)</f>
        <v>11542.93</v>
      </c>
      <c r="U107" s="1"/>
      <c r="V107" s="5">
        <f t="shared" ref="V107:V114" si="89">IF(T$12=0,0,T107/T$12)</f>
        <v>3.1301867081866678E-3</v>
      </c>
      <c r="W107" s="1"/>
      <c r="X107" s="1">
        <f t="shared" ref="X107:X114" si="90">+P107-T107</f>
        <v>1819.1999999999989</v>
      </c>
      <c r="Y107" s="1"/>
      <c r="Z107" s="5">
        <f t="shared" ref="Z107:Z114" si="91">IF(T107=0,0,X107/T107)</f>
        <v>0.15760296562484558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6">
        <v>2863.61</v>
      </c>
      <c r="E108" s="2"/>
      <c r="F108" s="7">
        <f t="shared" si="84"/>
        <v>6.9795049779739085E-3</v>
      </c>
      <c r="G108" s="2"/>
      <c r="H108" s="6">
        <v>8.42</v>
      </c>
      <c r="I108" s="2"/>
      <c r="J108" s="7">
        <f t="shared" si="85"/>
        <v>2.0316564896440775E-5</v>
      </c>
      <c r="K108" s="2"/>
      <c r="L108" s="6">
        <f t="shared" si="86"/>
        <v>2855.19</v>
      </c>
      <c r="M108" s="2"/>
      <c r="N108" s="7">
        <f t="shared" si="87"/>
        <v>339.09619952494063</v>
      </c>
      <c r="O108" s="11"/>
      <c r="P108" s="6">
        <v>13362.13</v>
      </c>
      <c r="Q108" s="2"/>
      <c r="R108" s="7">
        <f t="shared" si="88"/>
        <v>3.8094300442781922E-3</v>
      </c>
      <c r="S108" s="2"/>
      <c r="T108" s="6">
        <v>11542.93</v>
      </c>
      <c r="U108" s="2"/>
      <c r="V108" s="7">
        <f t="shared" si="89"/>
        <v>3.1301867081866678E-3</v>
      </c>
      <c r="W108" s="2"/>
      <c r="X108" s="6">
        <f t="shared" si="90"/>
        <v>1819.1999999999989</v>
      </c>
      <c r="Y108" s="2"/>
      <c r="Z108" s="7">
        <f t="shared" si="91"/>
        <v>0.15760296562484558</v>
      </c>
    </row>
    <row r="109" spans="1:26" s="26" customFormat="1" outlineLevel="1" collapsed="1" x14ac:dyDescent="0.25">
      <c r="A109" s="27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SUM(OSRRefD22_22x_0)</f>
        <v>0</v>
      </c>
      <c r="E109" s="1"/>
      <c r="F109" s="5">
        <f t="shared" si="84"/>
        <v>0</v>
      </c>
      <c r="G109" s="1"/>
      <c r="H109" s="1">
        <f>SUM(OSRRefH22_22x_0)</f>
        <v>45.98</v>
      </c>
      <c r="I109" s="1"/>
      <c r="J109" s="5">
        <f t="shared" si="85"/>
        <v>1.1094485201168013E-4</v>
      </c>
      <c r="K109" s="1"/>
      <c r="L109" s="1">
        <f t="shared" si="86"/>
        <v>-45.98</v>
      </c>
      <c r="M109" s="1"/>
      <c r="N109" s="5">
        <f t="shared" si="87"/>
        <v>-1</v>
      </c>
      <c r="O109" s="13"/>
      <c r="P109" s="1">
        <f>SUM(OSRRefP22_22x_0)</f>
        <v>1811.5</v>
      </c>
      <c r="Q109" s="1"/>
      <c r="R109" s="5">
        <f t="shared" si="88"/>
        <v>5.1644330097147279E-4</v>
      </c>
      <c r="S109" s="1"/>
      <c r="T109" s="1">
        <f>SUM(OSRRefT22_22x_0)</f>
        <v>1098.96</v>
      </c>
      <c r="U109" s="1"/>
      <c r="V109" s="5">
        <f t="shared" si="89"/>
        <v>2.9801358795633522E-4</v>
      </c>
      <c r="W109" s="1"/>
      <c r="X109" s="1">
        <f t="shared" si="90"/>
        <v>712.54</v>
      </c>
      <c r="Y109" s="1"/>
      <c r="Z109" s="5">
        <f t="shared" si="91"/>
        <v>0.64837664701172015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6"/>
      <c r="E110" s="2"/>
      <c r="F110" s="7">
        <f t="shared" si="84"/>
        <v>0</v>
      </c>
      <c r="G110" s="2"/>
      <c r="H110" s="6">
        <v>45.98</v>
      </c>
      <c r="I110" s="2"/>
      <c r="J110" s="7">
        <f t="shared" si="85"/>
        <v>1.1094485201168013E-4</v>
      </c>
      <c r="K110" s="2"/>
      <c r="L110" s="6">
        <f t="shared" si="86"/>
        <v>-45.98</v>
      </c>
      <c r="M110" s="2"/>
      <c r="N110" s="7">
        <f t="shared" si="87"/>
        <v>-1</v>
      </c>
      <c r="O110" s="11"/>
      <c r="P110" s="6">
        <v>1811.5</v>
      </c>
      <c r="Q110" s="2"/>
      <c r="R110" s="7">
        <f t="shared" si="88"/>
        <v>5.1644330097147279E-4</v>
      </c>
      <c r="S110" s="2"/>
      <c r="T110" s="6">
        <v>1098.96</v>
      </c>
      <c r="U110" s="2"/>
      <c r="V110" s="7">
        <f t="shared" si="89"/>
        <v>2.9801358795633522E-4</v>
      </c>
      <c r="W110" s="2"/>
      <c r="X110" s="6">
        <f t="shared" si="90"/>
        <v>712.54</v>
      </c>
      <c r="Y110" s="2"/>
      <c r="Z110" s="7">
        <f t="shared" si="91"/>
        <v>0.64837664701172015</v>
      </c>
    </row>
    <row r="111" spans="1:26" s="26" customFormat="1" outlineLevel="1" collapsed="1" x14ac:dyDescent="0.25">
      <c r="A111" s="27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SUM(OSRRefD22_23x_0)</f>
        <v>125.53</v>
      </c>
      <c r="E111" s="1"/>
      <c r="F111" s="5">
        <f t="shared" si="84"/>
        <v>3.0595551066139057E-4</v>
      </c>
      <c r="G111" s="1"/>
      <c r="H111" s="1">
        <f>SUM(OSRRefH22_23x_0)</f>
        <v>54.16</v>
      </c>
      <c r="I111" s="1"/>
      <c r="J111" s="5">
        <f t="shared" si="85"/>
        <v>1.3068232242176154E-4</v>
      </c>
      <c r="K111" s="1"/>
      <c r="L111" s="1">
        <f t="shared" si="86"/>
        <v>71.37</v>
      </c>
      <c r="M111" s="1"/>
      <c r="N111" s="5">
        <f t="shared" si="87"/>
        <v>1.3177621861152145</v>
      </c>
      <c r="O111" s="13"/>
      <c r="P111" s="1">
        <f>SUM(OSRRefP22_23x_0)</f>
        <v>3069.35</v>
      </c>
      <c r="Q111" s="1"/>
      <c r="R111" s="5">
        <f t="shared" si="88"/>
        <v>8.7504567807716806E-4</v>
      </c>
      <c r="S111" s="1"/>
      <c r="T111" s="1">
        <f>SUM(OSRRefT22_23x_0)</f>
        <v>3268.7</v>
      </c>
      <c r="U111" s="1"/>
      <c r="V111" s="5">
        <f t="shared" si="89"/>
        <v>8.8639897262218173E-4</v>
      </c>
      <c r="W111" s="1"/>
      <c r="X111" s="1">
        <f t="shared" si="90"/>
        <v>-199.34999999999991</v>
      </c>
      <c r="Y111" s="1"/>
      <c r="Z111" s="5">
        <f t="shared" si="91"/>
        <v>-6.0987548566708454E-2</v>
      </c>
    </row>
    <row r="112" spans="1:26" s="24" customFormat="1" hidden="1" outlineLevel="2" x14ac:dyDescent="0.25">
      <c r="A112" s="25"/>
      <c r="B112" s="11" t="str">
        <f>CONCATENATE("          ", "6292", " - ", "TRAVEL/CONFERENCE")</f>
        <v xml:space="preserve">          6292 - TRAVEL/CONFERENCE</v>
      </c>
      <c r="C112" s="11"/>
      <c r="D112" s="6">
        <v>21.44</v>
      </c>
      <c r="E112" s="2"/>
      <c r="F112" s="7">
        <f t="shared" si="84"/>
        <v>5.2255924070582444E-5</v>
      </c>
      <c r="G112" s="2"/>
      <c r="H112" s="6">
        <v>54.16</v>
      </c>
      <c r="I112" s="2"/>
      <c r="J112" s="7">
        <f t="shared" si="85"/>
        <v>1.3068232242176154E-4</v>
      </c>
      <c r="K112" s="2"/>
      <c r="L112" s="6">
        <f t="shared" si="86"/>
        <v>-32.72</v>
      </c>
      <c r="M112" s="2"/>
      <c r="N112" s="7">
        <f t="shared" si="87"/>
        <v>-0.60413589364844911</v>
      </c>
      <c r="O112" s="11"/>
      <c r="P112" s="6">
        <v>2147.04</v>
      </c>
      <c r="Q112" s="2"/>
      <c r="R112" s="7">
        <f t="shared" si="88"/>
        <v>6.1210291190603961E-4</v>
      </c>
      <c r="S112" s="2"/>
      <c r="T112" s="6">
        <v>1339.02</v>
      </c>
      <c r="U112" s="2"/>
      <c r="V112" s="7">
        <f t="shared" si="89"/>
        <v>3.6311253780418938E-4</v>
      </c>
      <c r="W112" s="2"/>
      <c r="X112" s="6">
        <f t="shared" si="90"/>
        <v>808.02</v>
      </c>
      <c r="Y112" s="2"/>
      <c r="Z112" s="7">
        <f t="shared" si="91"/>
        <v>0.60344132275843532</v>
      </c>
    </row>
    <row r="113" spans="1:26" s="24" customFormat="1" hidden="1" outlineLevel="2" x14ac:dyDescent="0.25">
      <c r="A113" s="25"/>
      <c r="B113" s="11" t="str">
        <f>CONCATENATE("          ", "6294", " - ", "TRAVEL OPERATIONAL")</f>
        <v xml:space="preserve">          6294 - TRAVEL OPERATIONAL</v>
      </c>
      <c r="C113" s="11"/>
      <c r="D113" s="6"/>
      <c r="E113" s="2"/>
      <c r="F113" s="7">
        <f t="shared" si="84"/>
        <v>0</v>
      </c>
      <c r="G113" s="2"/>
      <c r="H113" s="6"/>
      <c r="I113" s="2"/>
      <c r="J113" s="7">
        <f t="shared" si="85"/>
        <v>0</v>
      </c>
      <c r="K113" s="2"/>
      <c r="L113" s="6">
        <f t="shared" si="86"/>
        <v>0</v>
      </c>
      <c r="M113" s="2"/>
      <c r="N113" s="7">
        <f t="shared" si="87"/>
        <v>0</v>
      </c>
      <c r="O113" s="11"/>
      <c r="P113" s="6">
        <v>45.49</v>
      </c>
      <c r="Q113" s="2"/>
      <c r="R113" s="7">
        <f t="shared" si="88"/>
        <v>1.2968813558483189E-5</v>
      </c>
      <c r="S113" s="2"/>
      <c r="T113" s="6">
        <v>1258.9000000000001</v>
      </c>
      <c r="U113" s="2"/>
      <c r="V113" s="7">
        <f t="shared" si="89"/>
        <v>3.4138577007191383E-4</v>
      </c>
      <c r="W113" s="2"/>
      <c r="X113" s="6">
        <f t="shared" si="90"/>
        <v>-1213.4100000000001</v>
      </c>
      <c r="Y113" s="2"/>
      <c r="Z113" s="7">
        <f t="shared" si="91"/>
        <v>-0.96386527921201048</v>
      </c>
    </row>
    <row r="114" spans="1:26" s="24" customFormat="1" hidden="1" outlineLevel="2" x14ac:dyDescent="0.25">
      <c r="A114" s="25"/>
      <c r="B114" s="11" t="str">
        <f>CONCATENATE("          ", "6298", " - ", "VEHICLE MILEAGE")</f>
        <v xml:space="preserve">          6298 - VEHICLE MILEAGE</v>
      </c>
      <c r="C114" s="11"/>
      <c r="D114" s="6">
        <v>104.09</v>
      </c>
      <c r="E114" s="2"/>
      <c r="F114" s="7">
        <f t="shared" si="84"/>
        <v>2.5369958659080812E-4</v>
      </c>
      <c r="G114" s="2"/>
      <c r="H114" s="6"/>
      <c r="I114" s="2"/>
      <c r="J114" s="7">
        <f t="shared" si="85"/>
        <v>0</v>
      </c>
      <c r="K114" s="2"/>
      <c r="L114" s="6">
        <f t="shared" si="86"/>
        <v>104.09</v>
      </c>
      <c r="M114" s="2"/>
      <c r="N114" s="7">
        <f t="shared" si="87"/>
        <v>0</v>
      </c>
      <c r="O114" s="11"/>
      <c r="P114" s="6">
        <v>876.82</v>
      </c>
      <c r="Q114" s="2"/>
      <c r="R114" s="7">
        <f t="shared" si="88"/>
        <v>2.4997395261264519E-4</v>
      </c>
      <c r="S114" s="2"/>
      <c r="T114" s="6">
        <v>670.78</v>
      </c>
      <c r="U114" s="2"/>
      <c r="V114" s="7">
        <f t="shared" si="89"/>
        <v>1.8190066474607858E-4</v>
      </c>
      <c r="W114" s="2"/>
      <c r="X114" s="6">
        <f t="shared" si="90"/>
        <v>206.04000000000008</v>
      </c>
      <c r="Y114" s="2"/>
      <c r="Z114" s="7">
        <f t="shared" si="91"/>
        <v>0.30716479322579698</v>
      </c>
    </row>
    <row r="115" spans="1:26" s="26" customFormat="1" outlineLevel="1" collapsed="1" x14ac:dyDescent="0.25">
      <c r="A115" s="27"/>
      <c r="B115" s="13" t="str">
        <f>CONCATENATE("     ","Utilities                                         ")</f>
        <v xml:space="preserve">     Utilities                                         </v>
      </c>
      <c r="C115" s="13"/>
      <c r="D115" s="1">
        <f>SUM(OSRRefD22_24x_0)</f>
        <v>15583</v>
      </c>
      <c r="E115" s="1"/>
      <c r="F115" s="5">
        <f t="shared" ref="F115:F116" si="92">IF(D$12=0,0,D115/D$12)</f>
        <v>3.7980600036934993E-2</v>
      </c>
      <c r="G115" s="1"/>
      <c r="H115" s="1">
        <f>SUM(OSRRefH22_24x_0)</f>
        <v>13693</v>
      </c>
      <c r="I115" s="1"/>
      <c r="J115" s="5">
        <f t="shared" ref="J115:J116" si="93">IF(H$12=0,0,H115/H$12)</f>
        <v>3.3039753340494478E-2</v>
      </c>
      <c r="K115" s="1"/>
      <c r="L115" s="1">
        <f t="shared" ref="L115:L116" si="94">+D115-H115</f>
        <v>1890</v>
      </c>
      <c r="M115" s="1"/>
      <c r="N115" s="5">
        <f t="shared" ref="N115:N116" si="95">IF(H115=0,0,L115/H115)</f>
        <v>0.13802672898561308</v>
      </c>
      <c r="O115" s="13"/>
      <c r="P115" s="1">
        <f>SUM(OSRRefP22_24x_0)</f>
        <v>112470</v>
      </c>
      <c r="Q115" s="1"/>
      <c r="R115" s="5">
        <f t="shared" ref="R115:R116" si="96">IF(P$12=0,0,P115/P$12)</f>
        <v>3.2064244029953927E-2</v>
      </c>
      <c r="S115" s="1"/>
      <c r="T115" s="1">
        <f>SUM(OSRRefT22_24x_0)</f>
        <v>72037.62</v>
      </c>
      <c r="U115" s="1"/>
      <c r="V115" s="5">
        <f t="shared" ref="V115:V116" si="97">IF(T$12=0,0,T115/T$12)</f>
        <v>1.9535005463379058E-2</v>
      </c>
      <c r="W115" s="1"/>
      <c r="X115" s="1">
        <f t="shared" ref="X115:X116" si="98">+P115-T115</f>
        <v>40432.380000000005</v>
      </c>
      <c r="Y115" s="1"/>
      <c r="Z115" s="5">
        <f t="shared" ref="Z115:Z116" si="99">IF(T115=0,0,X115/T115)</f>
        <v>0.5612675710274716</v>
      </c>
    </row>
    <row r="116" spans="1:26" s="24" customFormat="1" hidden="1" outlineLevel="2" x14ac:dyDescent="0.25">
      <c r="A116" s="25"/>
      <c r="B116" s="11" t="str">
        <f>CONCATENATE("          ", "6274", " - ", "UTILITIES")</f>
        <v xml:space="preserve">          6274 - UTILITIES</v>
      </c>
      <c r="C116" s="11"/>
      <c r="D116" s="6">
        <v>15583</v>
      </c>
      <c r="E116" s="2"/>
      <c r="F116" s="7">
        <f t="shared" si="92"/>
        <v>3.7980600036934993E-2</v>
      </c>
      <c r="G116" s="2"/>
      <c r="H116" s="6">
        <v>13693</v>
      </c>
      <c r="I116" s="2"/>
      <c r="J116" s="7">
        <f t="shared" si="93"/>
        <v>3.3039753340494478E-2</v>
      </c>
      <c r="K116" s="2"/>
      <c r="L116" s="6">
        <f t="shared" si="94"/>
        <v>1890</v>
      </c>
      <c r="M116" s="2"/>
      <c r="N116" s="7">
        <f t="shared" si="95"/>
        <v>0.13802672898561308</v>
      </c>
      <c r="O116" s="11"/>
      <c r="P116" s="6">
        <v>112470</v>
      </c>
      <c r="Q116" s="2"/>
      <c r="R116" s="7">
        <f t="shared" si="96"/>
        <v>3.2064244029953927E-2</v>
      </c>
      <c r="S116" s="2"/>
      <c r="T116" s="6">
        <v>72037.62</v>
      </c>
      <c r="U116" s="2"/>
      <c r="V116" s="7">
        <f t="shared" si="97"/>
        <v>1.9535005463379058E-2</v>
      </c>
      <c r="W116" s="2"/>
      <c r="X116" s="6">
        <f t="shared" si="98"/>
        <v>40432.380000000005</v>
      </c>
      <c r="Y116" s="2"/>
      <c r="Z116" s="7">
        <f t="shared" si="99"/>
        <v>0.5612675710274716</v>
      </c>
    </row>
    <row r="117" spans="1:26" s="59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9" t="s">
        <v>0</v>
      </c>
      <c r="C118" s="10"/>
      <c r="D118" s="4">
        <f>SUM(OSRRefD25x_0)</f>
        <v>65507.39</v>
      </c>
      <c r="E118" s="4"/>
      <c r="F118" s="12">
        <f t="shared" ref="F118:F121" si="100">IF(D$12=0,0,D118/D$12)</f>
        <v>0.15966180960363954</v>
      </c>
      <c r="G118" s="4"/>
      <c r="H118" s="4">
        <f>SUM(OSRRefH25x_0)</f>
        <v>39019.89</v>
      </c>
      <c r="I118" s="4"/>
      <c r="J118" s="12">
        <f t="shared" ref="J118:J121" si="101">IF(H$12=0,0,H118/H$12)</f>
        <v>9.4150846488952541E-2</v>
      </c>
      <c r="K118" s="4"/>
      <c r="L118" s="4">
        <f t="shared" ref="L118:L121" si="102">+D118-H118</f>
        <v>26487.5</v>
      </c>
      <c r="M118" s="4"/>
      <c r="N118" s="12">
        <f t="shared" ref="N118:N121" si="103">IF(H118=0,0,L118/H118)</f>
        <v>0.67882046822787045</v>
      </c>
      <c r="O118" s="10"/>
      <c r="P118" s="4">
        <f>SUM(OSRRefP25x_0)</f>
        <v>579944.91999999993</v>
      </c>
      <c r="Q118" s="4"/>
      <c r="R118" s="12">
        <f t="shared" ref="R118:R121" si="104">IF(P$12=0,0,P118/P$12)</f>
        <v>0.16533738275817647</v>
      </c>
      <c r="S118" s="4"/>
      <c r="T118" s="4">
        <f>SUM(OSRRefT25x_0)</f>
        <v>497237.75</v>
      </c>
      <c r="U118" s="4"/>
      <c r="V118" s="12">
        <f t="shared" ref="V118:V121" si="105">IF(T$12=0,0,T118/T$12)</f>
        <v>0.134839853993626</v>
      </c>
      <c r="W118" s="4"/>
      <c r="X118" s="4">
        <f t="shared" ref="X118:X121" si="106">+P118-T118</f>
        <v>82707.169999999925</v>
      </c>
      <c r="Y118" s="4"/>
      <c r="Z118" s="12">
        <f t="shared" ref="Z118:Z121" si="107">IF(T118=0,0,X118/T118)</f>
        <v>0.16633324802873459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--47160.59</f>
        <v>47160.59</v>
      </c>
      <c r="E119" s="2"/>
      <c r="F119" s="19">
        <f t="shared" si="100"/>
        <v>0.11494497248898645</v>
      </c>
      <c r="G119" s="2"/>
      <c r="H119" s="2">
        <f>--18804.95</f>
        <v>18804.95</v>
      </c>
      <c r="I119" s="2"/>
      <c r="J119" s="19">
        <f t="shared" si="101"/>
        <v>4.5374345255264126E-2</v>
      </c>
      <c r="K119" s="2"/>
      <c r="L119" s="2">
        <f t="shared" si="102"/>
        <v>28355.639999999996</v>
      </c>
      <c r="M119" s="2"/>
      <c r="N119" s="19">
        <f t="shared" si="103"/>
        <v>1.5078817013605457</v>
      </c>
      <c r="O119" s="11"/>
      <c r="P119" s="2">
        <f>--230131.86</f>
        <v>230131.86</v>
      </c>
      <c r="Q119" s="2"/>
      <c r="R119" s="19">
        <f t="shared" si="104"/>
        <v>6.5608643354736304E-2</v>
      </c>
      <c r="S119" s="2"/>
      <c r="T119" s="2">
        <f>--198706.14</f>
        <v>198706.14</v>
      </c>
      <c r="U119" s="2"/>
      <c r="V119" s="19">
        <f t="shared" si="105"/>
        <v>5.3884699834710878E-2</v>
      </c>
      <c r="W119" s="2"/>
      <c r="X119" s="2">
        <f t="shared" si="106"/>
        <v>31425.719999999972</v>
      </c>
      <c r="Y119" s="2"/>
      <c r="Z119" s="19">
        <f t="shared" si="107"/>
        <v>0.15815173099331489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>--18346.8</f>
        <v>18346.8</v>
      </c>
      <c r="E120" s="2"/>
      <c r="F120" s="19">
        <f t="shared" si="100"/>
        <v>4.4716837114653074E-2</v>
      </c>
      <c r="G120" s="2"/>
      <c r="H120" s="2">
        <f>--11250.38</f>
        <v>11250.38</v>
      </c>
      <c r="I120" s="2"/>
      <c r="J120" s="19">
        <f t="shared" si="101"/>
        <v>2.7145970947698259E-2</v>
      </c>
      <c r="K120" s="2"/>
      <c r="L120" s="2">
        <f t="shared" si="102"/>
        <v>7096.42</v>
      </c>
      <c r="M120" s="2"/>
      <c r="N120" s="19">
        <f t="shared" si="103"/>
        <v>0.63077158282653567</v>
      </c>
      <c r="O120" s="11"/>
      <c r="P120" s="2">
        <f>--122397</f>
        <v>122397</v>
      </c>
      <c r="Q120" s="2"/>
      <c r="R120" s="19">
        <f t="shared" si="104"/>
        <v>3.4894347617447058E-2</v>
      </c>
      <c r="S120" s="2"/>
      <c r="T120" s="2">
        <f>--71636.05</f>
        <v>71636.05</v>
      </c>
      <c r="U120" s="2"/>
      <c r="V120" s="19">
        <f t="shared" si="105"/>
        <v>1.9426108582222674E-2</v>
      </c>
      <c r="W120" s="2"/>
      <c r="X120" s="2">
        <f t="shared" si="106"/>
        <v>50760.95</v>
      </c>
      <c r="Y120" s="2"/>
      <c r="Z120" s="19">
        <f t="shared" si="107"/>
        <v>0.70859504397576356</v>
      </c>
    </row>
    <row r="121" spans="1:26" s="24" customFormat="1" hidden="1" outlineLevel="1" x14ac:dyDescent="0.25">
      <c r="A121" s="44"/>
      <c r="B121" s="11" t="str">
        <f>CONCATENATE("          ", "9165", " - ", "OTHER INCOME")</f>
        <v xml:space="preserve">          9165 - OTHER INCOME</v>
      </c>
      <c r="C121" s="11"/>
      <c r="D121" s="2">
        <f>0</f>
        <v>0</v>
      </c>
      <c r="E121" s="2"/>
      <c r="F121" s="19">
        <f t="shared" si="100"/>
        <v>0</v>
      </c>
      <c r="G121" s="2"/>
      <c r="H121" s="2">
        <f>--8964.56</f>
        <v>8964.56</v>
      </c>
      <c r="I121" s="2"/>
      <c r="J121" s="19">
        <f t="shared" si="101"/>
        <v>2.1630530285990154E-2</v>
      </c>
      <c r="K121" s="2"/>
      <c r="L121" s="2">
        <f t="shared" si="102"/>
        <v>-8964.56</v>
      </c>
      <c r="M121" s="2"/>
      <c r="N121" s="19">
        <f t="shared" si="103"/>
        <v>-1</v>
      </c>
      <c r="O121" s="11"/>
      <c r="P121" s="2">
        <f>--227416.06</f>
        <v>227416.06</v>
      </c>
      <c r="Q121" s="2"/>
      <c r="R121" s="19">
        <f t="shared" si="104"/>
        <v>6.4834391785993109E-2</v>
      </c>
      <c r="S121" s="2"/>
      <c r="T121" s="2">
        <f>--226895.56</f>
        <v>226895.56</v>
      </c>
      <c r="U121" s="2"/>
      <c r="V121" s="19">
        <f t="shared" si="105"/>
        <v>6.1529045576692448E-2</v>
      </c>
      <c r="W121" s="2"/>
      <c r="X121" s="2">
        <f t="shared" si="106"/>
        <v>520.5</v>
      </c>
      <c r="Y121" s="2"/>
      <c r="Z121" s="19">
        <f t="shared" si="107"/>
        <v>2.2940069871794761E-3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8" t="s">
        <v>3</v>
      </c>
      <c r="C123" s="28"/>
      <c r="D123" s="21">
        <f>+D29-D31+D118</f>
        <v>-189307.87000000005</v>
      </c>
      <c r="E123" s="14"/>
      <c r="F123" s="22">
        <f>IF(D$12=0,0,D123/D$12)</f>
        <v>-0.46140194406173951</v>
      </c>
      <c r="G123" s="14"/>
      <c r="H123" s="21">
        <f>+H29-H31+H118</f>
        <v>-147513.0500000001</v>
      </c>
      <c r="I123" s="14"/>
      <c r="J123" s="22">
        <f>IF(H$12=0,0,H123/H$12)</f>
        <v>-0.35593330800438416</v>
      </c>
      <c r="K123" s="16"/>
      <c r="L123" s="21">
        <f>+D123-H123</f>
        <v>-41794.819999999949</v>
      </c>
      <c r="M123" s="16"/>
      <c r="N123" s="22">
        <f>IF(H123=0,0,L123/H123)</f>
        <v>0.28332964439417341</v>
      </c>
      <c r="O123" s="29"/>
      <c r="P123" s="21">
        <f>+P29-P31+P118</f>
        <v>-463679.3200000017</v>
      </c>
      <c r="Q123" s="14"/>
      <c r="R123" s="22">
        <f>IF(P$12=0,0,P123/P$12)</f>
        <v>-0.13219104532873791</v>
      </c>
      <c r="S123" s="14"/>
      <c r="T123" s="21">
        <f>+T29-T31+T118</f>
        <v>-70532.200000000652</v>
      </c>
      <c r="U123" s="14"/>
      <c r="V123" s="22">
        <f>IF(T$12=0,0,T123/T$12)</f>
        <v>-1.9126768934678261E-2</v>
      </c>
      <c r="W123" s="16"/>
      <c r="X123" s="21">
        <f>+P123-T123</f>
        <v>-393147.12000000104</v>
      </c>
      <c r="Y123" s="16"/>
      <c r="Z123" s="22">
        <f>IF(T123=0,0,X123/T123)</f>
        <v>5.5740090341715902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1"/>
      <c r="B125" s="10" t="s">
        <v>13</v>
      </c>
      <c r="C125" s="10"/>
      <c r="D125" s="4">
        <v>31259.329999999998</v>
      </c>
      <c r="E125" s="4"/>
      <c r="F125" s="12">
        <f>IF(D$12=0,0,D125/D$12)</f>
        <v>7.6188674206029844E-2</v>
      </c>
      <c r="G125" s="4"/>
      <c r="H125" s="4">
        <v>21991.46</v>
      </c>
      <c r="I125" s="4"/>
      <c r="J125" s="12">
        <f>IF(H$12=0,0,H125/H$12)</f>
        <v>5.3063055137468097E-2</v>
      </c>
      <c r="K125" s="4"/>
      <c r="L125" s="4">
        <f>+D125-H125</f>
        <v>9267.869999999999</v>
      </c>
      <c r="M125" s="4"/>
      <c r="N125" s="12">
        <f>IF(H125=0,0,L125/H125)</f>
        <v>0.42143040980453317</v>
      </c>
      <c r="O125" s="10"/>
      <c r="P125" s="4">
        <v>365797.74</v>
      </c>
      <c r="Q125" s="4"/>
      <c r="R125" s="12">
        <f>IF(P$12=0,0,P125/P$12)</f>
        <v>0.10428583623157854</v>
      </c>
      <c r="S125" s="4"/>
      <c r="T125" s="4">
        <v>375216.82</v>
      </c>
      <c r="U125" s="4"/>
      <c r="V125" s="12">
        <f>IF(T$12=0,0,T125/T$12)</f>
        <v>0.10175048299279901</v>
      </c>
      <c r="W125" s="4"/>
      <c r="X125" s="4">
        <f>+P125-T125</f>
        <v>-9419.0800000000163</v>
      </c>
      <c r="Y125" s="4"/>
      <c r="Z125" s="12">
        <f>IF(T125=0,0,X125/T125)</f>
        <v>-2.5103032428023926E-2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4</v>
      </c>
      <c r="C127" s="28"/>
      <c r="D127" s="34">
        <f>+D123-D125</f>
        <v>-220567.20000000004</v>
      </c>
      <c r="E127" s="14"/>
      <c r="F127" s="31">
        <f>IF(D$12=0,0,D127/D$12)</f>
        <v>-0.53759061826776933</v>
      </c>
      <c r="G127" s="14"/>
      <c r="H127" s="34">
        <f>+H123-H125</f>
        <v>-169504.5100000001</v>
      </c>
      <c r="I127" s="14"/>
      <c r="J127" s="31">
        <f>IF(H$12=0,0,H127/H$12)</f>
        <v>-0.40899636314185228</v>
      </c>
      <c r="K127" s="16"/>
      <c r="L127" s="34">
        <f>D127-H127</f>
        <v>-51062.689999999944</v>
      </c>
      <c r="M127" s="16"/>
      <c r="N127" s="31">
        <f>IF(H127=0,0,L127/H127)</f>
        <v>0.3012467927844511</v>
      </c>
      <c r="O127" s="29"/>
      <c r="P127" s="34">
        <f>+P123-P125</f>
        <v>-829477.06000000169</v>
      </c>
      <c r="Q127" s="14"/>
      <c r="R127" s="31">
        <f>IF(P$12=0,0,P127/P$12)</f>
        <v>-0.23647688156031643</v>
      </c>
      <c r="S127" s="14"/>
      <c r="T127" s="34">
        <f>+T123-T125</f>
        <v>-445749.02000000066</v>
      </c>
      <c r="U127" s="14"/>
      <c r="V127" s="31">
        <f>IF(T$12=0,0,T127/T$12)</f>
        <v>-0.12087725192747727</v>
      </c>
      <c r="W127" s="16"/>
      <c r="X127" s="34">
        <f>P127-T127</f>
        <v>-383728.04000000103</v>
      </c>
      <c r="Y127" s="16"/>
      <c r="Z127" s="31">
        <f>IF(T127=0,0,X127/T127)</f>
        <v>0.86086120839929259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5</v>
      </c>
      <c r="C130" s="28"/>
      <c r="D130" s="30">
        <f>SUM(D127:D129)</f>
        <v>-220567.20000000004</v>
      </c>
      <c r="E130" s="14"/>
      <c r="F130" s="33">
        <f>IF(D$12=0,0,D130/D$12)</f>
        <v>-0.53759061826776933</v>
      </c>
      <c r="G130" s="14"/>
      <c r="H130" s="30">
        <f>SUM(H127:H129)</f>
        <v>-169504.5100000001</v>
      </c>
      <c r="I130" s="14"/>
      <c r="J130" s="33">
        <f>IF(H$12=0,0,H130/H$12)</f>
        <v>-0.40899636314185228</v>
      </c>
      <c r="K130" s="16"/>
      <c r="L130" s="30">
        <f>+D130-H130</f>
        <v>-51062.689999999944</v>
      </c>
      <c r="M130" s="16"/>
      <c r="N130" s="33">
        <f>IF(H130=0,0,L130/H130)</f>
        <v>0.3012467927844511</v>
      </c>
      <c r="O130" s="29"/>
      <c r="P130" s="30">
        <f>SUM(P127:P129)</f>
        <v>-829477.06000000169</v>
      </c>
      <c r="Q130" s="14"/>
      <c r="R130" s="33">
        <f>IF(P$12=0,0,P130/P$12)</f>
        <v>-0.23647688156031643</v>
      </c>
      <c r="S130" s="14"/>
      <c r="T130" s="30">
        <f>SUM(T127:T129)</f>
        <v>-445749.02000000066</v>
      </c>
      <c r="U130" s="14"/>
      <c r="V130" s="33">
        <f>IF(T$12=0,0,T130/T$12)</f>
        <v>-0.12087725192747727</v>
      </c>
      <c r="W130" s="16"/>
      <c r="X130" s="30">
        <f>+P130-T130</f>
        <v>-383728.04000000103</v>
      </c>
      <c r="Y130" s="16"/>
      <c r="Z130" s="33">
        <f>IF(T130=0,0,X130/T130)</f>
        <v>0.86086120839929259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1">
        <v>43879.55347677083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5" t="s">
        <v>313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8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","405", " - ", "Library Starbucks")</f>
        <v>Department 405 - Library Starbucks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50349.219999999994</v>
      </c>
      <c r="E12" s="4"/>
      <c r="F12" s="12"/>
      <c r="G12" s="4"/>
      <c r="H12" s="4">
        <f>SUM(OSRRefH13x_0)</f>
        <v>51527.270000000004</v>
      </c>
      <c r="I12" s="4"/>
      <c r="J12" s="12"/>
      <c r="K12" s="4"/>
      <c r="L12" s="4">
        <f t="shared" ref="L12:L14" si="0">+D12-H12</f>
        <v>-1178.0500000000102</v>
      </c>
      <c r="M12" s="4"/>
      <c r="N12" s="12">
        <f t="shared" ref="N12:N14" si="1">IF(H12=0,0,L12/H12)</f>
        <v>-2.2862651174805303E-2</v>
      </c>
      <c r="O12" s="10"/>
      <c r="P12" s="4">
        <f>SUM(OSRRefP13x_0)</f>
        <v>556783.11</v>
      </c>
      <c r="Q12" s="4"/>
      <c r="R12" s="12"/>
      <c r="S12" s="4"/>
      <c r="T12" s="4">
        <f>SUM(OSRRefT13x_0)</f>
        <v>526063.35999999999</v>
      </c>
      <c r="U12" s="4"/>
      <c r="V12" s="12"/>
      <c r="W12" s="4"/>
      <c r="X12" s="4">
        <f t="shared" ref="X12:X14" si="2">+P12-T12</f>
        <v>30719.75</v>
      </c>
      <c r="Y12" s="4"/>
      <c r="Z12" s="12">
        <f t="shared" ref="Z12:Z14" si="3">IF(T12=0,0,X12/T12)</f>
        <v>5.8395532431682752E-2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--10414.63</f>
        <v>10414.629999999999</v>
      </c>
      <c r="E13" s="2"/>
      <c r="F13" s="19"/>
      <c r="G13" s="2"/>
      <c r="H13" s="2">
        <f>--9667.04</f>
        <v>9667.0400000000009</v>
      </c>
      <c r="I13" s="2"/>
      <c r="J13" s="19"/>
      <c r="K13" s="2"/>
      <c r="L13" s="2">
        <f t="shared" si="0"/>
        <v>747.58999999999833</v>
      </c>
      <c r="M13" s="2"/>
      <c r="N13" s="19">
        <f t="shared" si="1"/>
        <v>7.7333909862791331E-2</v>
      </c>
      <c r="O13" s="11"/>
      <c r="P13" s="2">
        <f>--120766.35</f>
        <v>120766.35</v>
      </c>
      <c r="Q13" s="2"/>
      <c r="R13" s="19"/>
      <c r="S13" s="2"/>
      <c r="T13" s="2">
        <f>--103743.67</f>
        <v>103743.67</v>
      </c>
      <c r="U13" s="2"/>
      <c r="V13" s="19"/>
      <c r="W13" s="2"/>
      <c r="X13" s="2">
        <f t="shared" si="2"/>
        <v>17022.680000000008</v>
      </c>
      <c r="Y13" s="2"/>
      <c r="Z13" s="19">
        <f t="shared" si="3"/>
        <v>0.16408403519944886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--39934.59</f>
        <v>39934.589999999997</v>
      </c>
      <c r="E14" s="2"/>
      <c r="F14" s="19"/>
      <c r="G14" s="2"/>
      <c r="H14" s="2">
        <f>--41860.23</f>
        <v>41860.230000000003</v>
      </c>
      <c r="I14" s="2"/>
      <c r="J14" s="19"/>
      <c r="K14" s="2"/>
      <c r="L14" s="2">
        <f t="shared" si="0"/>
        <v>-1925.6400000000067</v>
      </c>
      <c r="M14" s="2"/>
      <c r="N14" s="19">
        <f t="shared" si="1"/>
        <v>-4.6001658375981365E-2</v>
      </c>
      <c r="O14" s="11"/>
      <c r="P14" s="2">
        <f>--436016.76</f>
        <v>436016.76</v>
      </c>
      <c r="Q14" s="2"/>
      <c r="R14" s="19"/>
      <c r="S14" s="2"/>
      <c r="T14" s="2">
        <f>--422319.69</f>
        <v>422319.69</v>
      </c>
      <c r="U14" s="2"/>
      <c r="V14" s="19"/>
      <c r="W14" s="2"/>
      <c r="X14" s="2">
        <f t="shared" si="2"/>
        <v>13697.070000000007</v>
      </c>
      <c r="Y14" s="2"/>
      <c r="Z14" s="19">
        <f t="shared" si="3"/>
        <v>3.2432941973413572E-2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26579.14</v>
      </c>
      <c r="E16" s="4"/>
      <c r="F16" s="12">
        <f t="shared" ref="F16:F18" si="4">IF(D$12=0,0,D16/D$12)</f>
        <v>0.52789576482018996</v>
      </c>
      <c r="G16" s="4"/>
      <c r="H16" s="4">
        <f>SUM(OSRRefH16x_0)</f>
        <v>18938.28</v>
      </c>
      <c r="I16" s="4"/>
      <c r="J16" s="12">
        <f t="shared" ref="J16:J18" si="5">IF(H$12=0,0,H16/H$12)</f>
        <v>0.3675389749932414</v>
      </c>
      <c r="K16" s="4"/>
      <c r="L16" s="4">
        <f t="shared" ref="L16:L18" si="6">+D16-H16</f>
        <v>7640.8600000000006</v>
      </c>
      <c r="M16" s="4"/>
      <c r="N16" s="12">
        <f t="shared" ref="N16:N18" si="7">IF(H16=0,0,L16/H16)</f>
        <v>0.40346113797029093</v>
      </c>
      <c r="O16" s="10"/>
      <c r="P16" s="4">
        <f>SUM(OSRRefP16x_0)</f>
        <v>220718.19</v>
      </c>
      <c r="Q16" s="4"/>
      <c r="R16" s="12">
        <f t="shared" ref="R16:R18" si="8">IF(P$12=0,0,P16/P$12)</f>
        <v>0.39641682018694857</v>
      </c>
      <c r="S16" s="4"/>
      <c r="T16" s="4">
        <f>SUM(OSRRefT16x_0)</f>
        <v>172017</v>
      </c>
      <c r="U16" s="4"/>
      <c r="V16" s="12">
        <f t="shared" ref="V16:V18" si="9">IF(T$12=0,0,T16/T$12)</f>
        <v>0.32698912921819911</v>
      </c>
      <c r="W16" s="4"/>
      <c r="X16" s="4">
        <f t="shared" ref="X16:X18" si="10">+P16-T16</f>
        <v>48701.19</v>
      </c>
      <c r="Y16" s="4"/>
      <c r="Z16" s="12">
        <f t="shared" ref="Z16:Z18" si="11">IF(T16=0,0,X16/T16)</f>
        <v>0.28311847084881148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18827.14</v>
      </c>
      <c r="E17" s="2"/>
      <c r="F17" s="19">
        <f t="shared" si="4"/>
        <v>0.3739311155167846</v>
      </c>
      <c r="G17" s="2"/>
      <c r="H17" s="2">
        <v>18650.28</v>
      </c>
      <c r="I17" s="2"/>
      <c r="J17" s="19">
        <f t="shared" si="5"/>
        <v>0.3619497015851994</v>
      </c>
      <c r="K17" s="2"/>
      <c r="L17" s="2">
        <f t="shared" si="6"/>
        <v>176.86000000000058</v>
      </c>
      <c r="M17" s="2"/>
      <c r="N17" s="19">
        <f t="shared" si="7"/>
        <v>9.4829675479403304E-3</v>
      </c>
      <c r="O17" s="11"/>
      <c r="P17" s="2">
        <v>221568.19</v>
      </c>
      <c r="Q17" s="2"/>
      <c r="R17" s="19">
        <f t="shared" si="8"/>
        <v>0.39794344695549405</v>
      </c>
      <c r="S17" s="2"/>
      <c r="T17" s="2">
        <v>201121</v>
      </c>
      <c r="U17" s="2"/>
      <c r="V17" s="19">
        <f t="shared" si="9"/>
        <v>0.38231326355821477</v>
      </c>
      <c r="W17" s="2"/>
      <c r="X17" s="2">
        <f t="shared" si="10"/>
        <v>20447.190000000002</v>
      </c>
      <c r="Y17" s="2"/>
      <c r="Z17" s="19">
        <f t="shared" si="11"/>
        <v>0.10166611144534883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7752</v>
      </c>
      <c r="E18" s="2"/>
      <c r="F18" s="19">
        <f t="shared" si="4"/>
        <v>0.15396464930340531</v>
      </c>
      <c r="G18" s="2"/>
      <c r="H18" s="2">
        <v>288</v>
      </c>
      <c r="I18" s="2"/>
      <c r="J18" s="19">
        <f t="shared" si="5"/>
        <v>5.5892734080419939E-3</v>
      </c>
      <c r="K18" s="2"/>
      <c r="L18" s="2">
        <f t="shared" si="6"/>
        <v>7464</v>
      </c>
      <c r="M18" s="2"/>
      <c r="N18" s="19">
        <f t="shared" si="7"/>
        <v>25.916666666666668</v>
      </c>
      <c r="O18" s="11"/>
      <c r="P18" s="2">
        <v>-850</v>
      </c>
      <c r="Q18" s="2"/>
      <c r="R18" s="19">
        <f t="shared" si="8"/>
        <v>-1.5266267685454754E-3</v>
      </c>
      <c r="S18" s="2"/>
      <c r="T18" s="2">
        <v>-29104</v>
      </c>
      <c r="U18" s="2"/>
      <c r="V18" s="19">
        <f t="shared" si="9"/>
        <v>-5.5324134340015624E-2</v>
      </c>
      <c r="W18" s="2"/>
      <c r="X18" s="2">
        <f t="shared" si="10"/>
        <v>28254</v>
      </c>
      <c r="Y18" s="2"/>
      <c r="Z18" s="19">
        <f t="shared" si="11"/>
        <v>-0.97079439252336452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23770.079999999994</v>
      </c>
      <c r="E20" s="14"/>
      <c r="F20" s="22">
        <f>IF(D$12=0,0,D20/D$12)</f>
        <v>0.47210423517981009</v>
      </c>
      <c r="G20" s="14"/>
      <c r="H20" s="21">
        <f>H12-H16</f>
        <v>32588.990000000005</v>
      </c>
      <c r="I20" s="14"/>
      <c r="J20" s="22">
        <f>IF(H$12=0,0,H20/H$12)</f>
        <v>0.6324610250067586</v>
      </c>
      <c r="K20" s="16"/>
      <c r="L20" s="21">
        <f>+D20-H20</f>
        <v>-8818.9100000000108</v>
      </c>
      <c r="M20" s="16"/>
      <c r="N20" s="22">
        <f>IF(H20=0,0,L20/H20)</f>
        <v>-0.27061010482374598</v>
      </c>
      <c r="O20" s="29"/>
      <c r="P20" s="21">
        <f>P12-P16</f>
        <v>336064.92</v>
      </c>
      <c r="Q20" s="14"/>
      <c r="R20" s="22">
        <f>IF(P$12=0,0,P20/P$12)</f>
        <v>0.60358317981305143</v>
      </c>
      <c r="S20" s="14"/>
      <c r="T20" s="21">
        <f>T12-T16</f>
        <v>354046.36</v>
      </c>
      <c r="U20" s="14"/>
      <c r="V20" s="22">
        <f>IF(T$12=0,0,T20/T$12)</f>
        <v>0.67301087078180089</v>
      </c>
      <c r="W20" s="16"/>
      <c r="X20" s="21">
        <f>+P20-T20</f>
        <v>-17981.440000000002</v>
      </c>
      <c r="Y20" s="16"/>
      <c r="Z20" s="22">
        <f>IF(T20=0,0,X20/T20)</f>
        <v>-5.0788376979783105E-2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50792.89999999998</v>
      </c>
      <c r="E22" s="20"/>
      <c r="F22" s="32">
        <f t="shared" ref="F22:F31" si="12">IF(D$12=0,0,D22/D$12)</f>
        <v>1.0088120530963536</v>
      </c>
      <c r="G22" s="20"/>
      <c r="H22" s="20">
        <f>SUM(OSRRefH22x_0)</f>
        <v>43865.05000000001</v>
      </c>
      <c r="I22" s="20"/>
      <c r="J22" s="32">
        <f t="shared" ref="J22:J31" si="13">IF(H$12=0,0,H22/H$12)</f>
        <v>0.85129776912302957</v>
      </c>
      <c r="K22" s="4"/>
      <c r="L22" s="20">
        <f t="shared" ref="L22:L31" si="14">+D22-H22</f>
        <v>6927.8499999999694</v>
      </c>
      <c r="M22" s="4"/>
      <c r="N22" s="32">
        <f t="shared" ref="N22:N31" si="15">IF(H22=0,0,L22/H22)</f>
        <v>0.15793553181861111</v>
      </c>
      <c r="O22" s="10"/>
      <c r="P22" s="20">
        <f>SUM(OSRRefP22x_0)</f>
        <v>389078.85999999993</v>
      </c>
      <c r="Q22" s="20"/>
      <c r="R22" s="32">
        <f t="shared" ref="R22:R31" si="16">IF(P$12=0,0,P22/P$12)</f>
        <v>0.69879788558959688</v>
      </c>
      <c r="S22" s="20"/>
      <c r="T22" s="20">
        <f>SUM(OSRRefT22x_0)</f>
        <v>323270.07000000012</v>
      </c>
      <c r="U22" s="20"/>
      <c r="V22" s="32">
        <f t="shared" ref="V22:V31" si="17">IF(T$12=0,0,T22/T$12)</f>
        <v>0.61450786080216679</v>
      </c>
      <c r="W22" s="4"/>
      <c r="X22" s="20">
        <f t="shared" ref="X22:X31" si="18">+P22-T22</f>
        <v>65808.789999999804</v>
      </c>
      <c r="Y22" s="4"/>
      <c r="Z22" s="32">
        <f t="shared" ref="Z22:Z31" si="19">IF(T22=0,0,X22/T22)</f>
        <v>0.20357217109520773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4873.3600000000006</v>
      </c>
      <c r="E23" s="1"/>
      <c r="F23" s="5">
        <f t="shared" si="12"/>
        <v>9.6791171740098478E-2</v>
      </c>
      <c r="G23" s="1"/>
      <c r="H23" s="1">
        <f>SUM(OSRRefH22_0x_0)</f>
        <v>4958.33</v>
      </c>
      <c r="I23" s="1"/>
      <c r="J23" s="5">
        <f t="shared" si="13"/>
        <v>9.622729867116965E-2</v>
      </c>
      <c r="K23" s="1"/>
      <c r="L23" s="1">
        <f t="shared" si="14"/>
        <v>-84.969999999999345</v>
      </c>
      <c r="M23" s="1"/>
      <c r="N23" s="5">
        <f t="shared" si="15"/>
        <v>-1.7136818243239024E-2</v>
      </c>
      <c r="O23" s="13"/>
      <c r="P23" s="1">
        <f>SUM(OSRRefP22_0x_0)</f>
        <v>36267.720000000008</v>
      </c>
      <c r="Q23" s="1"/>
      <c r="R23" s="5">
        <f t="shared" si="16"/>
        <v>6.5137967277778971E-2</v>
      </c>
      <c r="S23" s="1"/>
      <c r="T23" s="1">
        <f>SUM(OSRRefT22_0x_0)</f>
        <v>24446.460000000003</v>
      </c>
      <c r="U23" s="1"/>
      <c r="V23" s="5">
        <f t="shared" si="17"/>
        <v>4.6470562025076226E-2</v>
      </c>
      <c r="W23" s="1"/>
      <c r="X23" s="1">
        <f t="shared" si="18"/>
        <v>11821.260000000006</v>
      </c>
      <c r="Y23" s="1"/>
      <c r="Z23" s="5">
        <f t="shared" si="19"/>
        <v>0.48355712851676702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893.79</v>
      </c>
      <c r="E24" s="2"/>
      <c r="F24" s="7">
        <f t="shared" si="12"/>
        <v>1.7751814228701063E-2</v>
      </c>
      <c r="G24" s="2"/>
      <c r="H24" s="6">
        <v>687.7</v>
      </c>
      <c r="I24" s="2"/>
      <c r="J24" s="7">
        <f t="shared" si="13"/>
        <v>1.3346330981633608E-2</v>
      </c>
      <c r="K24" s="2"/>
      <c r="L24" s="6">
        <f t="shared" si="14"/>
        <v>206.08999999999992</v>
      </c>
      <c r="M24" s="2"/>
      <c r="N24" s="7">
        <f t="shared" si="15"/>
        <v>0.29968009306383586</v>
      </c>
      <c r="O24" s="11"/>
      <c r="P24" s="6">
        <v>7331.41</v>
      </c>
      <c r="Q24" s="2"/>
      <c r="R24" s="7">
        <f t="shared" si="16"/>
        <v>1.3167443243743511E-2</v>
      </c>
      <c r="S24" s="2"/>
      <c r="T24" s="6">
        <v>5156.53</v>
      </c>
      <c r="U24" s="2"/>
      <c r="V24" s="7">
        <f t="shared" si="17"/>
        <v>9.8021082479494478E-3</v>
      </c>
      <c r="W24" s="2"/>
      <c r="X24" s="6">
        <f t="shared" si="18"/>
        <v>2174.88</v>
      </c>
      <c r="Y24" s="2"/>
      <c r="Z24" s="7">
        <f t="shared" si="19"/>
        <v>0.42177200559290845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755.2</v>
      </c>
      <c r="E25" s="2"/>
      <c r="F25" s="7">
        <f t="shared" si="12"/>
        <v>1.4999239312942687E-2</v>
      </c>
      <c r="G25" s="2"/>
      <c r="H25" s="6">
        <v>439.42</v>
      </c>
      <c r="I25" s="2"/>
      <c r="J25" s="7">
        <f t="shared" si="13"/>
        <v>8.5279115311174061E-3</v>
      </c>
      <c r="K25" s="2"/>
      <c r="L25" s="6">
        <f t="shared" si="14"/>
        <v>315.78000000000003</v>
      </c>
      <c r="M25" s="2"/>
      <c r="N25" s="7">
        <f t="shared" si="15"/>
        <v>0.71862910199808838</v>
      </c>
      <c r="O25" s="11"/>
      <c r="P25" s="6">
        <v>5823.09</v>
      </c>
      <c r="Q25" s="2"/>
      <c r="R25" s="7">
        <f t="shared" si="16"/>
        <v>1.0458453023117027E-2</v>
      </c>
      <c r="S25" s="2"/>
      <c r="T25" s="6">
        <v>5882.78</v>
      </c>
      <c r="U25" s="2"/>
      <c r="V25" s="7">
        <f t="shared" si="17"/>
        <v>1.1182645375644486E-2</v>
      </c>
      <c r="W25" s="2"/>
      <c r="X25" s="6">
        <f t="shared" si="18"/>
        <v>-59.6899999999996</v>
      </c>
      <c r="Y25" s="2"/>
      <c r="Z25" s="7">
        <f t="shared" si="19"/>
        <v>-1.0146563359500033E-2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1079.06</v>
      </c>
      <c r="E26" s="2"/>
      <c r="F26" s="7">
        <f t="shared" si="12"/>
        <v>2.1431513735466014E-2</v>
      </c>
      <c r="G26" s="2"/>
      <c r="H26" s="6">
        <v>1369.46</v>
      </c>
      <c r="I26" s="2"/>
      <c r="J26" s="7">
        <f t="shared" si="13"/>
        <v>2.657738319922635E-2</v>
      </c>
      <c r="K26" s="2"/>
      <c r="L26" s="6">
        <f t="shared" si="14"/>
        <v>-290.40000000000009</v>
      </c>
      <c r="M26" s="2"/>
      <c r="N26" s="7">
        <f t="shared" si="15"/>
        <v>-0.21205438640047908</v>
      </c>
      <c r="O26" s="11"/>
      <c r="P26" s="6">
        <v>9336.44</v>
      </c>
      <c r="Q26" s="2"/>
      <c r="R26" s="7">
        <f t="shared" si="16"/>
        <v>1.67685402669632E-2</v>
      </c>
      <c r="S26" s="2"/>
      <c r="T26" s="6">
        <v>7468.99</v>
      </c>
      <c r="U26" s="2"/>
      <c r="V26" s="7">
        <f t="shared" si="17"/>
        <v>1.4197890535467059E-2</v>
      </c>
      <c r="W26" s="2"/>
      <c r="X26" s="6">
        <f t="shared" si="18"/>
        <v>1867.4500000000007</v>
      </c>
      <c r="Y26" s="2"/>
      <c r="Z26" s="7">
        <f t="shared" si="19"/>
        <v>0.25002711209949413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50.61</v>
      </c>
      <c r="E27" s="2"/>
      <c r="F27" s="7">
        <f t="shared" si="12"/>
        <v>1.0051794248252506E-3</v>
      </c>
      <c r="G27" s="2"/>
      <c r="H27" s="6">
        <v>32.64</v>
      </c>
      <c r="I27" s="2"/>
      <c r="J27" s="7">
        <f t="shared" si="13"/>
        <v>6.3345098624475928E-4</v>
      </c>
      <c r="K27" s="2"/>
      <c r="L27" s="6">
        <f t="shared" si="14"/>
        <v>17.97</v>
      </c>
      <c r="M27" s="2"/>
      <c r="N27" s="7">
        <f t="shared" si="15"/>
        <v>0.55055147058823528</v>
      </c>
      <c r="O27" s="11"/>
      <c r="P27" s="6">
        <v>494.33</v>
      </c>
      <c r="Q27" s="2"/>
      <c r="R27" s="7">
        <f t="shared" si="16"/>
        <v>8.8783224764127637E-4</v>
      </c>
      <c r="S27" s="2"/>
      <c r="T27" s="6">
        <v>437</v>
      </c>
      <c r="U27" s="2"/>
      <c r="V27" s="7">
        <f t="shared" si="17"/>
        <v>8.3069841625160897E-4</v>
      </c>
      <c r="W27" s="2"/>
      <c r="X27" s="6">
        <f t="shared" si="18"/>
        <v>57.329999999999984</v>
      </c>
      <c r="Y27" s="2"/>
      <c r="Z27" s="7">
        <f t="shared" si="19"/>
        <v>0.13118993135011439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810.41</v>
      </c>
      <c r="E28" s="2"/>
      <c r="F28" s="7">
        <f t="shared" si="12"/>
        <v>1.6095780629769438E-2</v>
      </c>
      <c r="G28" s="2"/>
      <c r="H28" s="6">
        <v>915.7</v>
      </c>
      <c r="I28" s="2"/>
      <c r="J28" s="7">
        <f t="shared" si="13"/>
        <v>1.7771172429666852E-2</v>
      </c>
      <c r="K28" s="2"/>
      <c r="L28" s="6">
        <f t="shared" si="14"/>
        <v>-105.29000000000008</v>
      </c>
      <c r="M28" s="2"/>
      <c r="N28" s="7">
        <f t="shared" si="15"/>
        <v>-0.11498307305886216</v>
      </c>
      <c r="O28" s="11"/>
      <c r="P28" s="6">
        <v>4990.43</v>
      </c>
      <c r="Q28" s="2"/>
      <c r="R28" s="7">
        <f t="shared" si="16"/>
        <v>8.9629694406498789E-3</v>
      </c>
      <c r="S28" s="2"/>
      <c r="T28" s="6">
        <v>4260.67</v>
      </c>
      <c r="U28" s="2"/>
      <c r="V28" s="7">
        <f t="shared" si="17"/>
        <v>8.0991574855165741E-3</v>
      </c>
      <c r="W28" s="2"/>
      <c r="X28" s="6">
        <f t="shared" si="18"/>
        <v>729.76000000000022</v>
      </c>
      <c r="Y28" s="2"/>
      <c r="Z28" s="7">
        <f t="shared" si="19"/>
        <v>0.17127822619447181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378.58</v>
      </c>
      <c r="E29" s="2"/>
      <c r="F29" s="7">
        <f t="shared" si="12"/>
        <v>7.5190837117238363E-3</v>
      </c>
      <c r="G29" s="2"/>
      <c r="H29" s="6">
        <v>492.43</v>
      </c>
      <c r="I29" s="2"/>
      <c r="J29" s="7">
        <f t="shared" si="13"/>
        <v>9.556687167785136E-3</v>
      </c>
      <c r="K29" s="2"/>
      <c r="L29" s="6">
        <f t="shared" si="14"/>
        <v>-113.85000000000002</v>
      </c>
      <c r="M29" s="2"/>
      <c r="N29" s="7">
        <f t="shared" si="15"/>
        <v>-0.23120037365716958</v>
      </c>
      <c r="O29" s="11"/>
      <c r="P29" s="6">
        <v>2874.58</v>
      </c>
      <c r="Q29" s="2"/>
      <c r="R29" s="7">
        <f t="shared" si="16"/>
        <v>5.1628362074417093E-3</v>
      </c>
      <c r="S29" s="2"/>
      <c r="T29" s="6">
        <v>2711.25</v>
      </c>
      <c r="U29" s="2"/>
      <c r="V29" s="7">
        <f t="shared" si="17"/>
        <v>5.1538468674191644E-3</v>
      </c>
      <c r="W29" s="2"/>
      <c r="X29" s="6">
        <f t="shared" si="18"/>
        <v>163.32999999999993</v>
      </c>
      <c r="Y29" s="2"/>
      <c r="Z29" s="7">
        <f t="shared" si="19"/>
        <v>6.0241585984324546E-2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453.54</v>
      </c>
      <c r="E30" s="2"/>
      <c r="F30" s="7">
        <f t="shared" si="12"/>
        <v>9.0078853257309667E-3</v>
      </c>
      <c r="G30" s="2"/>
      <c r="H30" s="6">
        <v>721.81</v>
      </c>
      <c r="I30" s="2"/>
      <c r="J30" s="7">
        <f t="shared" si="13"/>
        <v>1.400831055089858E-2</v>
      </c>
      <c r="K30" s="2"/>
      <c r="L30" s="6">
        <f t="shared" si="14"/>
        <v>-268.26999999999992</v>
      </c>
      <c r="M30" s="2"/>
      <c r="N30" s="7">
        <f t="shared" si="15"/>
        <v>-0.37166290298000854</v>
      </c>
      <c r="O30" s="11"/>
      <c r="P30" s="6">
        <v>3443.8</v>
      </c>
      <c r="Q30" s="2"/>
      <c r="R30" s="7">
        <f t="shared" si="16"/>
        <v>6.1851732535493044E-3</v>
      </c>
      <c r="S30" s="2"/>
      <c r="T30" s="6">
        <v>-3512.82</v>
      </c>
      <c r="U30" s="2"/>
      <c r="V30" s="7">
        <f t="shared" si="17"/>
        <v>-6.6775606649358745E-3</v>
      </c>
      <c r="W30" s="2"/>
      <c r="X30" s="6">
        <f t="shared" si="18"/>
        <v>6956.6200000000008</v>
      </c>
      <c r="Y30" s="2"/>
      <c r="Z30" s="7">
        <f t="shared" si="19"/>
        <v>-1.980351967934594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452.17</v>
      </c>
      <c r="E31" s="2"/>
      <c r="F31" s="7">
        <f t="shared" si="12"/>
        <v>8.9806753709392138E-3</v>
      </c>
      <c r="G31" s="2"/>
      <c r="H31" s="6">
        <v>299.17</v>
      </c>
      <c r="I31" s="2"/>
      <c r="J31" s="7">
        <f t="shared" si="13"/>
        <v>5.8060518245969563E-3</v>
      </c>
      <c r="K31" s="2"/>
      <c r="L31" s="6">
        <f t="shared" si="14"/>
        <v>153</v>
      </c>
      <c r="M31" s="2"/>
      <c r="N31" s="7">
        <f t="shared" si="15"/>
        <v>0.5114149145970518</v>
      </c>
      <c r="O31" s="11"/>
      <c r="P31" s="6">
        <v>1973.64</v>
      </c>
      <c r="Q31" s="2"/>
      <c r="R31" s="7">
        <f t="shared" si="16"/>
        <v>3.5447195946730499E-3</v>
      </c>
      <c r="S31" s="2"/>
      <c r="T31" s="6">
        <v>2042.06</v>
      </c>
      <c r="U31" s="2"/>
      <c r="V31" s="7">
        <f t="shared" si="17"/>
        <v>3.8817757617637541E-3</v>
      </c>
      <c r="W31" s="2"/>
      <c r="X31" s="6">
        <f t="shared" si="18"/>
        <v>-68.419999999999845</v>
      </c>
      <c r="Y31" s="2"/>
      <c r="Z31" s="7">
        <f t="shared" si="19"/>
        <v>-3.3505381820318626E-2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25913.440000000002</v>
      </c>
      <c r="E32" s="1"/>
      <c r="F32" s="5">
        <f t="shared" ref="F32:F36" si="20">IF(D$12=0,0,D32/D$12)</f>
        <v>0.51467411014510267</v>
      </c>
      <c r="G32" s="1"/>
      <c r="H32" s="1">
        <f>SUM(OSRRefH22_1x_0)</f>
        <v>21642.78</v>
      </c>
      <c r="I32" s="1"/>
      <c r="J32" s="5">
        <f t="shared" ref="J32:J36" si="21">IF(H$12=0,0,H32/H$12)</f>
        <v>0.42002574559063571</v>
      </c>
      <c r="K32" s="1"/>
      <c r="L32" s="1">
        <f t="shared" ref="L32:L36" si="22">+D32-H32</f>
        <v>4270.6600000000035</v>
      </c>
      <c r="M32" s="1"/>
      <c r="N32" s="5">
        <f t="shared" ref="N32:N36" si="23">IF(H32=0,0,L32/H32)</f>
        <v>0.19732492775881857</v>
      </c>
      <c r="O32" s="13"/>
      <c r="P32" s="1">
        <f>SUM(OSRRefP22_1x_0)</f>
        <v>183294.31</v>
      </c>
      <c r="Q32" s="1"/>
      <c r="R32" s="5">
        <f t="shared" ref="R32:R36" si="24">IF(P$12=0,0,P32/P$12)</f>
        <v>0.329202353138909</v>
      </c>
      <c r="S32" s="1"/>
      <c r="T32" s="1">
        <f>SUM(OSRRefT22_1x_0)</f>
        <v>167449.63999999998</v>
      </c>
      <c r="U32" s="1"/>
      <c r="V32" s="5">
        <f t="shared" ref="V32:V36" si="25">IF(T$12=0,0,T32/T$12)</f>
        <v>0.31830698112105732</v>
      </c>
      <c r="W32" s="1"/>
      <c r="X32" s="1">
        <f t="shared" ref="X32:X36" si="26">+P32-T32</f>
        <v>15844.670000000013</v>
      </c>
      <c r="Y32" s="1"/>
      <c r="Z32" s="5">
        <f t="shared" ref="Z32:Z36" si="27">IF(T32=0,0,X32/T32)</f>
        <v>9.4623493965111022E-2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13641.28</v>
      </c>
      <c r="E33" s="2"/>
      <c r="F33" s="7">
        <f t="shared" si="20"/>
        <v>0.2709332935048448</v>
      </c>
      <c r="G33" s="2"/>
      <c r="H33" s="6">
        <v>10743.52</v>
      </c>
      <c r="I33" s="2"/>
      <c r="J33" s="7">
        <f t="shared" si="21"/>
        <v>0.20850163418321987</v>
      </c>
      <c r="K33" s="2"/>
      <c r="L33" s="6">
        <f t="shared" si="22"/>
        <v>2897.76</v>
      </c>
      <c r="M33" s="2"/>
      <c r="N33" s="7">
        <f t="shared" si="23"/>
        <v>0.26972165547232191</v>
      </c>
      <c r="O33" s="11"/>
      <c r="P33" s="6">
        <v>76392.78</v>
      </c>
      <c r="Q33" s="2"/>
      <c r="R33" s="7">
        <f t="shared" si="24"/>
        <v>0.13720383867247699</v>
      </c>
      <c r="S33" s="2"/>
      <c r="T33" s="6">
        <v>57405.57</v>
      </c>
      <c r="U33" s="2"/>
      <c r="V33" s="7">
        <f t="shared" si="25"/>
        <v>0.10912292009844594</v>
      </c>
      <c r="W33" s="2"/>
      <c r="X33" s="6">
        <f t="shared" si="26"/>
        <v>18987.21</v>
      </c>
      <c r="Y33" s="2"/>
      <c r="Z33" s="7">
        <f t="shared" si="27"/>
        <v>0.33075553469811375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45.5</v>
      </c>
      <c r="Q34" s="2"/>
      <c r="R34" s="7">
        <f t="shared" si="24"/>
        <v>8.1719432904493104E-5</v>
      </c>
      <c r="S34" s="2"/>
      <c r="T34" s="6"/>
      <c r="U34" s="2"/>
      <c r="V34" s="7">
        <f t="shared" si="25"/>
        <v>0</v>
      </c>
      <c r="W34" s="2"/>
      <c r="X34" s="6">
        <f t="shared" si="26"/>
        <v>45.5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11901.66</v>
      </c>
      <c r="E35" s="2"/>
      <c r="F35" s="7">
        <f t="shared" si="20"/>
        <v>0.2363822120779627</v>
      </c>
      <c r="G35" s="2"/>
      <c r="H35" s="6">
        <v>10818.26</v>
      </c>
      <c r="I35" s="2"/>
      <c r="J35" s="7">
        <f t="shared" si="21"/>
        <v>0.20995212826140411</v>
      </c>
      <c r="K35" s="2"/>
      <c r="L35" s="6">
        <f t="shared" si="22"/>
        <v>1083.3999999999996</v>
      </c>
      <c r="M35" s="2"/>
      <c r="N35" s="7">
        <f t="shared" si="23"/>
        <v>0.10014549474684466</v>
      </c>
      <c r="O35" s="11"/>
      <c r="P35" s="6">
        <v>102021.53</v>
      </c>
      <c r="Q35" s="2"/>
      <c r="R35" s="7">
        <f t="shared" si="24"/>
        <v>0.18323388078348857</v>
      </c>
      <c r="S35" s="2"/>
      <c r="T35" s="6">
        <v>104396.01</v>
      </c>
      <c r="U35" s="2"/>
      <c r="V35" s="7">
        <f t="shared" si="25"/>
        <v>0.19844759764299114</v>
      </c>
      <c r="W35" s="2"/>
      <c r="X35" s="6">
        <f t="shared" si="26"/>
        <v>-2374.4799999999959</v>
      </c>
      <c r="Y35" s="2"/>
      <c r="Z35" s="7">
        <f t="shared" si="27"/>
        <v>-2.2744930577327582E-2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>
        <v>370.5</v>
      </c>
      <c r="E36" s="2"/>
      <c r="F36" s="7">
        <f t="shared" si="20"/>
        <v>7.3586045622951067E-3</v>
      </c>
      <c r="G36" s="2"/>
      <c r="H36" s="6">
        <v>81</v>
      </c>
      <c r="I36" s="2"/>
      <c r="J36" s="7">
        <f t="shared" si="21"/>
        <v>1.5719831460118106E-3</v>
      </c>
      <c r="K36" s="2"/>
      <c r="L36" s="6">
        <f t="shared" si="22"/>
        <v>289.5</v>
      </c>
      <c r="M36" s="2"/>
      <c r="N36" s="7">
        <f t="shared" si="23"/>
        <v>3.574074074074074</v>
      </c>
      <c r="O36" s="11"/>
      <c r="P36" s="6">
        <v>4834.5</v>
      </c>
      <c r="Q36" s="2"/>
      <c r="R36" s="7">
        <f t="shared" si="24"/>
        <v>8.6829142500389426E-3</v>
      </c>
      <c r="S36" s="2"/>
      <c r="T36" s="6">
        <v>5648.06</v>
      </c>
      <c r="U36" s="2"/>
      <c r="V36" s="7">
        <f t="shared" si="25"/>
        <v>1.0736463379620281E-2</v>
      </c>
      <c r="W36" s="2"/>
      <c r="X36" s="6">
        <f t="shared" si="26"/>
        <v>-813.5600000000004</v>
      </c>
      <c r="Y36" s="2"/>
      <c r="Z36" s="7">
        <f t="shared" si="27"/>
        <v>-0.14404237915319604</v>
      </c>
    </row>
    <row r="37" spans="1:26" s="26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61.55</v>
      </c>
      <c r="E37" s="1"/>
      <c r="F37" s="5">
        <f t="shared" ref="F37:F45" si="28">IF(D$12=0,0,D37/D$12)</f>
        <v>1.2224618375418727E-3</v>
      </c>
      <c r="G37" s="1"/>
      <c r="H37" s="1">
        <f>SUM(OSRRefH22_2x_0)</f>
        <v>1144.72</v>
      </c>
      <c r="I37" s="1"/>
      <c r="J37" s="5">
        <f t="shared" ref="J37:J45" si="29">IF(H$12=0,0,H37/H$12)</f>
        <v>2.2215809221020247E-2</v>
      </c>
      <c r="K37" s="1"/>
      <c r="L37" s="1">
        <f t="shared" ref="L37:L45" si="30">+D37-H37</f>
        <v>-1083.17</v>
      </c>
      <c r="M37" s="1"/>
      <c r="N37" s="5">
        <f t="shared" ref="N37:N45" si="31">IF(H37=0,0,L37/H37)</f>
        <v>-0.9462313928296876</v>
      </c>
      <c r="O37" s="13"/>
      <c r="P37" s="1">
        <f>SUM(OSRRefP22_2x_0)</f>
        <v>1183.29</v>
      </c>
      <c r="Q37" s="1"/>
      <c r="R37" s="5">
        <f t="shared" ref="R37:R45" si="32">IF(P$12=0,0,P37/P$12)</f>
        <v>2.1252261046496184E-3</v>
      </c>
      <c r="S37" s="1"/>
      <c r="T37" s="1">
        <f>SUM(OSRRefT22_2x_0)</f>
        <v>1941.82</v>
      </c>
      <c r="U37" s="1"/>
      <c r="V37" s="5">
        <f t="shared" ref="V37:V45" si="33">IF(T$12=0,0,T37/T$12)</f>
        <v>3.6912283721869548E-3</v>
      </c>
      <c r="W37" s="1"/>
      <c r="X37" s="1">
        <f t="shared" ref="X37:X45" si="34">+P37-T37</f>
        <v>-758.53</v>
      </c>
      <c r="Y37" s="1"/>
      <c r="Z37" s="5">
        <f t="shared" ref="Z37:Z45" si="35">IF(T37=0,0,X37/T37)</f>
        <v>-0.39062837956144236</v>
      </c>
    </row>
    <row r="38" spans="1:26" s="24" customFormat="1" hidden="1" outlineLevel="2" x14ac:dyDescent="0.25">
      <c r="A38" s="25"/>
      <c r="B38" s="11" t="str">
        <f>CONCATENATE("          ", "6362", " - ", "ADVERTISING EXPENSE")</f>
        <v xml:space="preserve">          6362 - ADVERTISING EXPENSE</v>
      </c>
      <c r="C38" s="11"/>
      <c r="D38" s="6">
        <v>61.55</v>
      </c>
      <c r="E38" s="2"/>
      <c r="F38" s="7">
        <f t="shared" si="28"/>
        <v>1.2224618375418727E-3</v>
      </c>
      <c r="G38" s="2"/>
      <c r="H38" s="6">
        <v>1144.72</v>
      </c>
      <c r="I38" s="2"/>
      <c r="J38" s="7">
        <f t="shared" si="29"/>
        <v>2.2215809221020247E-2</v>
      </c>
      <c r="K38" s="2"/>
      <c r="L38" s="6">
        <f t="shared" si="30"/>
        <v>-1083.17</v>
      </c>
      <c r="M38" s="2"/>
      <c r="N38" s="7">
        <f t="shared" si="31"/>
        <v>-0.9462313928296876</v>
      </c>
      <c r="O38" s="11"/>
      <c r="P38" s="6">
        <v>1183.29</v>
      </c>
      <c r="Q38" s="2"/>
      <c r="R38" s="7">
        <f t="shared" si="32"/>
        <v>2.1252261046496184E-3</v>
      </c>
      <c r="S38" s="2"/>
      <c r="T38" s="6">
        <v>1941.82</v>
      </c>
      <c r="U38" s="2"/>
      <c r="V38" s="7">
        <f t="shared" si="33"/>
        <v>3.6912283721869548E-3</v>
      </c>
      <c r="W38" s="2"/>
      <c r="X38" s="6">
        <f t="shared" si="34"/>
        <v>-758.53</v>
      </c>
      <c r="Y38" s="2"/>
      <c r="Z38" s="7">
        <f t="shared" si="35"/>
        <v>-0.39062837956144236</v>
      </c>
    </row>
    <row r="39" spans="1:26" s="26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52.98</v>
      </c>
      <c r="E39" s="1"/>
      <c r="F39" s="5">
        <f t="shared" si="28"/>
        <v>1.0522506604868954E-3</v>
      </c>
      <c r="G39" s="1"/>
      <c r="H39" s="1">
        <f>SUM(OSRRefH22_3x_0)</f>
        <v>-8.76</v>
      </c>
      <c r="I39" s="1"/>
      <c r="J39" s="5">
        <f t="shared" si="29"/>
        <v>-1.7000706616127729E-4</v>
      </c>
      <c r="K39" s="1"/>
      <c r="L39" s="1">
        <f t="shared" si="30"/>
        <v>61.739999999999995</v>
      </c>
      <c r="M39" s="1"/>
      <c r="N39" s="5">
        <f t="shared" si="31"/>
        <v>-7.0479452054794516</v>
      </c>
      <c r="O39" s="13"/>
      <c r="P39" s="1">
        <f>SUM(OSRRefP22_3x_0)</f>
        <v>49.97</v>
      </c>
      <c r="Q39" s="1"/>
      <c r="R39" s="5">
        <f t="shared" si="32"/>
        <v>8.9747693675549896E-5</v>
      </c>
      <c r="S39" s="1"/>
      <c r="T39" s="1">
        <f>SUM(OSRRefT22_3x_0)</f>
        <v>58.09</v>
      </c>
      <c r="U39" s="1"/>
      <c r="V39" s="5">
        <f t="shared" si="33"/>
        <v>1.1042396109852624E-4</v>
      </c>
      <c r="W39" s="1"/>
      <c r="X39" s="1">
        <f t="shared" si="34"/>
        <v>-8.1200000000000045</v>
      </c>
      <c r="Y39" s="1"/>
      <c r="Z39" s="5">
        <f t="shared" si="35"/>
        <v>-0.13978309519710799</v>
      </c>
    </row>
    <row r="40" spans="1:26" s="24" customFormat="1" hidden="1" outlineLevel="2" x14ac:dyDescent="0.25">
      <c r="A40" s="25"/>
      <c r="B40" s="11" t="str">
        <f>CONCATENATE("          ", "6272", " - ", "CASH (OVER/SHORT)")</f>
        <v xml:space="preserve">          6272 - CASH (OVER/SHORT)</v>
      </c>
      <c r="C40" s="11"/>
      <c r="D40" s="6">
        <v>52.98</v>
      </c>
      <c r="E40" s="2"/>
      <c r="F40" s="7">
        <f t="shared" si="28"/>
        <v>1.0522506604868954E-3</v>
      </c>
      <c r="G40" s="2"/>
      <c r="H40" s="6">
        <v>-8.76</v>
      </c>
      <c r="I40" s="2"/>
      <c r="J40" s="7">
        <f t="shared" si="29"/>
        <v>-1.7000706616127729E-4</v>
      </c>
      <c r="K40" s="2"/>
      <c r="L40" s="6">
        <f t="shared" si="30"/>
        <v>61.739999999999995</v>
      </c>
      <c r="M40" s="2"/>
      <c r="N40" s="7">
        <f t="shared" si="31"/>
        <v>-7.0479452054794516</v>
      </c>
      <c r="O40" s="11"/>
      <c r="P40" s="6">
        <v>49.97</v>
      </c>
      <c r="Q40" s="2"/>
      <c r="R40" s="7">
        <f t="shared" si="32"/>
        <v>8.9747693675549896E-5</v>
      </c>
      <c r="S40" s="2"/>
      <c r="T40" s="6">
        <v>58.09</v>
      </c>
      <c r="U40" s="2"/>
      <c r="V40" s="7">
        <f t="shared" si="33"/>
        <v>1.1042396109852624E-4</v>
      </c>
      <c r="W40" s="2"/>
      <c r="X40" s="6">
        <f t="shared" si="34"/>
        <v>-8.1200000000000045</v>
      </c>
      <c r="Y40" s="2"/>
      <c r="Z40" s="7">
        <f t="shared" si="35"/>
        <v>-0.13978309519710799</v>
      </c>
    </row>
    <row r="41" spans="1:26" s="26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1857.65</v>
      </c>
      <c r="E41" s="1"/>
      <c r="F41" s="5">
        <f t="shared" si="28"/>
        <v>3.6895308407955484E-2</v>
      </c>
      <c r="G41" s="1"/>
      <c r="H41" s="1">
        <f>SUM(OSRRefH22_4x_0)</f>
        <v>2325.14</v>
      </c>
      <c r="I41" s="1"/>
      <c r="J41" s="5">
        <f t="shared" si="29"/>
        <v>4.5124455458245699E-2</v>
      </c>
      <c r="K41" s="1"/>
      <c r="L41" s="1">
        <f t="shared" si="30"/>
        <v>-467.48999999999978</v>
      </c>
      <c r="M41" s="1"/>
      <c r="N41" s="5">
        <f t="shared" si="31"/>
        <v>-0.20105886097181236</v>
      </c>
      <c r="O41" s="13"/>
      <c r="P41" s="1">
        <f>SUM(OSRRefP22_4x_0)</f>
        <v>19536.929999999997</v>
      </c>
      <c r="Q41" s="1"/>
      <c r="R41" s="5">
        <f t="shared" si="32"/>
        <v>3.5088941544940175E-2</v>
      </c>
      <c r="S41" s="1"/>
      <c r="T41" s="1">
        <f>SUM(OSRRefT22_4x_0)</f>
        <v>18189.41</v>
      </c>
      <c r="U41" s="1"/>
      <c r="V41" s="5">
        <f t="shared" si="33"/>
        <v>3.4576462424602238E-2</v>
      </c>
      <c r="W41" s="1"/>
      <c r="X41" s="1">
        <f t="shared" si="34"/>
        <v>1347.5199999999968</v>
      </c>
      <c r="Y41" s="1"/>
      <c r="Z41" s="5">
        <f t="shared" si="35"/>
        <v>7.4082666782484805E-2</v>
      </c>
    </row>
    <row r="42" spans="1:26" s="24" customFormat="1" hidden="1" outlineLevel="2" x14ac:dyDescent="0.25">
      <c r="A42" s="25"/>
      <c r="B42" s="11" t="str">
        <f>CONCATENATE("          ", "6381", " - ", "BANK/CREDIT CARD FEES")</f>
        <v xml:space="preserve">          6381 - BANK/CREDIT CARD FEES</v>
      </c>
      <c r="C42" s="11"/>
      <c r="D42" s="6">
        <v>1857.65</v>
      </c>
      <c r="E42" s="2"/>
      <c r="F42" s="7">
        <f t="shared" si="28"/>
        <v>3.6895308407955484E-2</v>
      </c>
      <c r="G42" s="2"/>
      <c r="H42" s="6">
        <v>2325.14</v>
      </c>
      <c r="I42" s="2"/>
      <c r="J42" s="7">
        <f t="shared" si="29"/>
        <v>4.5124455458245699E-2</v>
      </c>
      <c r="K42" s="2"/>
      <c r="L42" s="6">
        <f t="shared" si="30"/>
        <v>-467.48999999999978</v>
      </c>
      <c r="M42" s="2"/>
      <c r="N42" s="7">
        <f t="shared" si="31"/>
        <v>-0.20105886097181236</v>
      </c>
      <c r="O42" s="11"/>
      <c r="P42" s="6">
        <v>19536.929999999997</v>
      </c>
      <c r="Q42" s="2"/>
      <c r="R42" s="7">
        <f t="shared" si="32"/>
        <v>3.5088941544940175E-2</v>
      </c>
      <c r="S42" s="2"/>
      <c r="T42" s="6">
        <v>18189.41</v>
      </c>
      <c r="U42" s="2"/>
      <c r="V42" s="7">
        <f t="shared" si="33"/>
        <v>3.4576462424602238E-2</v>
      </c>
      <c r="W42" s="2"/>
      <c r="X42" s="6">
        <f t="shared" si="34"/>
        <v>1347.5199999999968</v>
      </c>
      <c r="Y42" s="2"/>
      <c r="Z42" s="7">
        <f t="shared" si="35"/>
        <v>7.4082666782484805E-2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5612.57</v>
      </c>
      <c r="E43" s="1"/>
      <c r="F43" s="5">
        <f t="shared" si="28"/>
        <v>0.11147282917193158</v>
      </c>
      <c r="G43" s="1"/>
      <c r="H43" s="1">
        <f>SUM(OSRRefH22_5x_0)</f>
        <v>1313</v>
      </c>
      <c r="I43" s="1"/>
      <c r="J43" s="5">
        <f t="shared" si="29"/>
        <v>2.5481652724858118E-2</v>
      </c>
      <c r="K43" s="1"/>
      <c r="L43" s="1">
        <f t="shared" si="30"/>
        <v>4299.57</v>
      </c>
      <c r="M43" s="1"/>
      <c r="N43" s="5">
        <f t="shared" si="31"/>
        <v>3.2746153846153843</v>
      </c>
      <c r="O43" s="13"/>
      <c r="P43" s="1">
        <f>SUM(OSRRefP22_5x_0)</f>
        <v>39287.990000000005</v>
      </c>
      <c r="Q43" s="1"/>
      <c r="R43" s="5">
        <f t="shared" si="32"/>
        <v>7.0562467313349364E-2</v>
      </c>
      <c r="S43" s="1"/>
      <c r="T43" s="1">
        <f>SUM(OSRRefT22_5x_0)</f>
        <v>9191</v>
      </c>
      <c r="U43" s="1"/>
      <c r="V43" s="5">
        <f t="shared" si="33"/>
        <v>1.7471279505191162E-2</v>
      </c>
      <c r="W43" s="1"/>
      <c r="X43" s="1">
        <f t="shared" si="34"/>
        <v>30096.990000000005</v>
      </c>
      <c r="Y43" s="1"/>
      <c r="Z43" s="5">
        <f t="shared" si="35"/>
        <v>3.2746153846153851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28"/>
        <v>9.1888215944556845E-2</v>
      </c>
      <c r="G44" s="2"/>
      <c r="H44" s="6">
        <v>326.93</v>
      </c>
      <c r="I44" s="2"/>
      <c r="J44" s="7">
        <f t="shared" si="29"/>
        <v>6.3447956780943371E-3</v>
      </c>
      <c r="K44" s="2"/>
      <c r="L44" s="6">
        <f t="shared" si="30"/>
        <v>4299.57</v>
      </c>
      <c r="M44" s="2"/>
      <c r="N44" s="7">
        <f t="shared" si="31"/>
        <v>13.151347383231883</v>
      </c>
      <c r="O44" s="11"/>
      <c r="P44" s="6">
        <v>32385.500000000004</v>
      </c>
      <c r="Q44" s="2"/>
      <c r="R44" s="7">
        <f t="shared" si="32"/>
        <v>5.8165377897328827E-2</v>
      </c>
      <c r="S44" s="2"/>
      <c r="T44" s="6">
        <v>2288.5100000000002</v>
      </c>
      <c r="U44" s="2"/>
      <c r="V44" s="7">
        <f t="shared" si="33"/>
        <v>4.3502554521189238E-3</v>
      </c>
      <c r="W44" s="2"/>
      <c r="X44" s="6">
        <f t="shared" si="34"/>
        <v>30096.990000000005</v>
      </c>
      <c r="Y44" s="2"/>
      <c r="Z44" s="7">
        <f t="shared" si="35"/>
        <v>13.151347383231885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986.07</v>
      </c>
      <c r="E45" s="2"/>
      <c r="F45" s="7">
        <f t="shared" si="28"/>
        <v>1.9584613227374727E-2</v>
      </c>
      <c r="G45" s="2"/>
      <c r="H45" s="6">
        <v>986.07</v>
      </c>
      <c r="I45" s="2"/>
      <c r="J45" s="7">
        <f t="shared" si="29"/>
        <v>1.9136857046763781E-2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6902.49</v>
      </c>
      <c r="Q45" s="2"/>
      <c r="R45" s="7">
        <f t="shared" si="32"/>
        <v>1.2397089416020539E-2</v>
      </c>
      <c r="S45" s="2"/>
      <c r="T45" s="6">
        <v>6902.49</v>
      </c>
      <c r="U45" s="2"/>
      <c r="V45" s="7">
        <f t="shared" si="33"/>
        <v>1.3121024053072238E-2</v>
      </c>
      <c r="W45" s="2"/>
      <c r="X45" s="6">
        <f t="shared" si="34"/>
        <v>0</v>
      </c>
      <c r="Y45" s="2"/>
      <c r="Z45" s="7">
        <f t="shared" si="35"/>
        <v>0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39.25</v>
      </c>
      <c r="I46" s="1"/>
      <c r="J46" s="5">
        <f t="shared" ref="J46:J56" si="37">IF(H$12=0,0,H46/H$12)</f>
        <v>7.6173257383905645E-4</v>
      </c>
      <c r="K46" s="1"/>
      <c r="L46" s="1">
        <f t="shared" ref="L46:L56" si="38">+D46-H46</f>
        <v>-39.25</v>
      </c>
      <c r="M46" s="1"/>
      <c r="N46" s="5">
        <f t="shared" ref="N46:N56" si="39">IF(H46=0,0,L46/H46)</f>
        <v>-1</v>
      </c>
      <c r="O46" s="13"/>
      <c r="P46" s="1">
        <f>SUM(OSRRefP22_6x_0)</f>
        <v>186.48</v>
      </c>
      <c r="Q46" s="1"/>
      <c r="R46" s="5">
        <f t="shared" ref="R46:R56" si="40">IF(P$12=0,0,P46/P$12)</f>
        <v>3.3492395270395326E-4</v>
      </c>
      <c r="S46" s="1"/>
      <c r="T46" s="1">
        <f>SUM(OSRRefT22_6x_0)</f>
        <v>131.77000000000001</v>
      </c>
      <c r="U46" s="1"/>
      <c r="V46" s="5">
        <f t="shared" ref="V46:V56" si="41">IF(T$12=0,0,T46/T$12)</f>
        <v>2.5048313571962133E-4</v>
      </c>
      <c r="W46" s="1"/>
      <c r="X46" s="1">
        <f t="shared" ref="X46:X56" si="42">+P46-T46</f>
        <v>54.70999999999998</v>
      </c>
      <c r="Y46" s="1"/>
      <c r="Z46" s="5">
        <f t="shared" ref="Z46:Z56" si="43">IF(T46=0,0,X46/T46)</f>
        <v>0.41519313956135673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6"/>
        <v>0</v>
      </c>
      <c r="G47" s="2"/>
      <c r="H47" s="6">
        <v>39.25</v>
      </c>
      <c r="I47" s="2"/>
      <c r="J47" s="7">
        <f t="shared" si="37"/>
        <v>7.6173257383905645E-4</v>
      </c>
      <c r="K47" s="2"/>
      <c r="L47" s="6">
        <f t="shared" si="38"/>
        <v>-39.25</v>
      </c>
      <c r="M47" s="2"/>
      <c r="N47" s="7">
        <f t="shared" si="39"/>
        <v>-1</v>
      </c>
      <c r="O47" s="11"/>
      <c r="P47" s="6">
        <v>186.48</v>
      </c>
      <c r="Q47" s="2"/>
      <c r="R47" s="7">
        <f t="shared" si="40"/>
        <v>3.3492395270395326E-4</v>
      </c>
      <c r="S47" s="2"/>
      <c r="T47" s="6">
        <v>131.77000000000001</v>
      </c>
      <c r="U47" s="2"/>
      <c r="V47" s="7">
        <f t="shared" si="41"/>
        <v>2.5048313571962133E-4</v>
      </c>
      <c r="W47" s="2"/>
      <c r="X47" s="6">
        <f t="shared" si="42"/>
        <v>54.70999999999998</v>
      </c>
      <c r="Y47" s="2"/>
      <c r="Z47" s="7">
        <f t="shared" si="43"/>
        <v>0.41519313956135673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455.06</v>
      </c>
      <c r="E48" s="1"/>
      <c r="F48" s="5">
        <f t="shared" si="36"/>
        <v>9.0380744726532014E-3</v>
      </c>
      <c r="G48" s="1"/>
      <c r="H48" s="1">
        <f>SUM(OSRRefH22_7x_0)</f>
        <v>245.39</v>
      </c>
      <c r="I48" s="1"/>
      <c r="J48" s="5">
        <f t="shared" si="37"/>
        <v>4.7623326444424467E-3</v>
      </c>
      <c r="K48" s="1"/>
      <c r="L48" s="1">
        <f t="shared" si="38"/>
        <v>209.67000000000002</v>
      </c>
      <c r="M48" s="1"/>
      <c r="N48" s="5">
        <f t="shared" si="39"/>
        <v>0.85443579607970999</v>
      </c>
      <c r="O48" s="13"/>
      <c r="P48" s="1">
        <f>SUM(OSRRefP22_7x_0)</f>
        <v>2711.08</v>
      </c>
      <c r="Q48" s="1"/>
      <c r="R48" s="5">
        <f t="shared" si="40"/>
        <v>4.8691850584332563E-3</v>
      </c>
      <c r="S48" s="1"/>
      <c r="T48" s="1">
        <f>SUM(OSRRefT22_7x_0)</f>
        <v>1444.17</v>
      </c>
      <c r="U48" s="1"/>
      <c r="V48" s="5">
        <f t="shared" si="41"/>
        <v>2.7452396608651859E-3</v>
      </c>
      <c r="W48" s="1"/>
      <c r="X48" s="1">
        <f t="shared" si="42"/>
        <v>1266.9099999999999</v>
      </c>
      <c r="Y48" s="1"/>
      <c r="Z48" s="5">
        <f t="shared" si="43"/>
        <v>0.8772582175228677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>
        <v>455.06</v>
      </c>
      <c r="E49" s="2"/>
      <c r="F49" s="7">
        <f t="shared" si="36"/>
        <v>9.0380744726532014E-3</v>
      </c>
      <c r="G49" s="2"/>
      <c r="H49" s="6">
        <v>245.39</v>
      </c>
      <c r="I49" s="2"/>
      <c r="J49" s="7">
        <f t="shared" si="37"/>
        <v>4.7623326444424467E-3</v>
      </c>
      <c r="K49" s="2"/>
      <c r="L49" s="6">
        <f t="shared" si="38"/>
        <v>209.67000000000002</v>
      </c>
      <c r="M49" s="2"/>
      <c r="N49" s="7">
        <f t="shared" si="39"/>
        <v>0.85443579607970999</v>
      </c>
      <c r="O49" s="11"/>
      <c r="P49" s="6">
        <v>2711.08</v>
      </c>
      <c r="Q49" s="2"/>
      <c r="R49" s="7">
        <f t="shared" si="40"/>
        <v>4.8691850584332563E-3</v>
      </c>
      <c r="S49" s="2"/>
      <c r="T49" s="6">
        <v>1444.17</v>
      </c>
      <c r="U49" s="2"/>
      <c r="V49" s="7">
        <f t="shared" si="41"/>
        <v>2.7452396608651859E-3</v>
      </c>
      <c r="W49" s="2"/>
      <c r="X49" s="6">
        <f t="shared" si="42"/>
        <v>1266.9099999999999</v>
      </c>
      <c r="Y49" s="2"/>
      <c r="Z49" s="7">
        <f t="shared" si="43"/>
        <v>0.8772582175228677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1021.89</v>
      </c>
      <c r="E50" s="1"/>
      <c r="F50" s="5">
        <f t="shared" si="36"/>
        <v>2.0296044308134271E-2</v>
      </c>
      <c r="G50" s="1"/>
      <c r="H50" s="1">
        <f>SUM(OSRRefH22_8x_0)</f>
        <v>790.87</v>
      </c>
      <c r="I50" s="1"/>
      <c r="J50" s="5">
        <f t="shared" si="37"/>
        <v>1.5348571736868651E-2</v>
      </c>
      <c r="K50" s="1"/>
      <c r="L50" s="1">
        <f t="shared" si="38"/>
        <v>231.01999999999998</v>
      </c>
      <c r="M50" s="1"/>
      <c r="N50" s="5">
        <f t="shared" si="39"/>
        <v>0.29210869042952697</v>
      </c>
      <c r="O50" s="13"/>
      <c r="P50" s="1">
        <f>SUM(OSRRefP22_8x_0)</f>
        <v>7461.89</v>
      </c>
      <c r="Q50" s="1"/>
      <c r="R50" s="5">
        <f t="shared" si="40"/>
        <v>1.3401789432872704E-2</v>
      </c>
      <c r="S50" s="1"/>
      <c r="T50" s="1">
        <f>SUM(OSRRefT22_8x_0)</f>
        <v>5566.06</v>
      </c>
      <c r="U50" s="1"/>
      <c r="V50" s="5">
        <f t="shared" si="41"/>
        <v>1.0580588619591375E-2</v>
      </c>
      <c r="W50" s="1"/>
      <c r="X50" s="1">
        <f t="shared" si="42"/>
        <v>1895.83</v>
      </c>
      <c r="Y50" s="1"/>
      <c r="Z50" s="5">
        <f t="shared" si="43"/>
        <v>0.34060538334117846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1021.89</v>
      </c>
      <c r="E51" s="2"/>
      <c r="F51" s="7">
        <f t="shared" si="36"/>
        <v>2.0296044308134271E-2</v>
      </c>
      <c r="G51" s="2"/>
      <c r="H51" s="6">
        <v>790.87</v>
      </c>
      <c r="I51" s="2"/>
      <c r="J51" s="7">
        <f t="shared" si="37"/>
        <v>1.5348571736868651E-2</v>
      </c>
      <c r="K51" s="2"/>
      <c r="L51" s="6">
        <f t="shared" si="38"/>
        <v>231.01999999999998</v>
      </c>
      <c r="M51" s="2"/>
      <c r="N51" s="7">
        <f t="shared" si="39"/>
        <v>0.29210869042952697</v>
      </c>
      <c r="O51" s="11"/>
      <c r="P51" s="6">
        <v>7461.89</v>
      </c>
      <c r="Q51" s="2"/>
      <c r="R51" s="7">
        <f t="shared" si="40"/>
        <v>1.3401789432872704E-2</v>
      </c>
      <c r="S51" s="2"/>
      <c r="T51" s="6">
        <v>5566.06</v>
      </c>
      <c r="U51" s="2"/>
      <c r="V51" s="7">
        <f t="shared" si="41"/>
        <v>1.0580588619591375E-2</v>
      </c>
      <c r="W51" s="2"/>
      <c r="X51" s="6">
        <f t="shared" si="42"/>
        <v>1895.83</v>
      </c>
      <c r="Y51" s="2"/>
      <c r="Z51" s="7">
        <f t="shared" si="43"/>
        <v>0.34060538334117846</v>
      </c>
    </row>
    <row r="52" spans="1:26" s="26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1850</v>
      </c>
      <c r="E52" s="1"/>
      <c r="F52" s="5">
        <f t="shared" si="36"/>
        <v>3.6743369609300802E-2</v>
      </c>
      <c r="G52" s="1"/>
      <c r="H52" s="1">
        <f>SUM(OSRRefH22_9x_0)</f>
        <v>1850</v>
      </c>
      <c r="I52" s="1"/>
      <c r="J52" s="5">
        <f t="shared" si="37"/>
        <v>3.5903318766936421E-2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SUM(OSRRefP22_9x_0)</f>
        <v>12950</v>
      </c>
      <c r="Q52" s="1"/>
      <c r="R52" s="5">
        <f t="shared" si="40"/>
        <v>2.3258607826663422E-2</v>
      </c>
      <c r="S52" s="1"/>
      <c r="T52" s="1">
        <f>SUM(OSRRefT22_9x_0)</f>
        <v>12950</v>
      </c>
      <c r="U52" s="1"/>
      <c r="V52" s="5">
        <f t="shared" si="41"/>
        <v>2.4616806614321134E-2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5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6"/>
        <v>3.6743369609300802E-2</v>
      </c>
      <c r="G53" s="2"/>
      <c r="H53" s="6">
        <v>1850</v>
      </c>
      <c r="I53" s="2"/>
      <c r="J53" s="7">
        <f t="shared" si="37"/>
        <v>3.5903318766936421E-2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12950</v>
      </c>
      <c r="Q53" s="2"/>
      <c r="R53" s="7">
        <f t="shared" si="40"/>
        <v>2.3258607826663422E-2</v>
      </c>
      <c r="S53" s="2"/>
      <c r="T53" s="6">
        <v>12950</v>
      </c>
      <c r="U53" s="2"/>
      <c r="V53" s="7">
        <f t="shared" si="41"/>
        <v>2.4616806614321134E-2</v>
      </c>
      <c r="W53" s="2"/>
      <c r="X53" s="6">
        <f t="shared" si="42"/>
        <v>0</v>
      </c>
      <c r="Y53" s="2"/>
      <c r="Z53" s="7">
        <f t="shared" si="43"/>
        <v>0</v>
      </c>
    </row>
    <row r="54" spans="1:26" s="26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2699.1</v>
      </c>
      <c r="E54" s="1"/>
      <c r="F54" s="5">
        <f t="shared" si="36"/>
        <v>5.360758319592638E-2</v>
      </c>
      <c r="G54" s="1"/>
      <c r="H54" s="1">
        <f>SUM(OSRRefH22_10x_0)</f>
        <v>3447.75</v>
      </c>
      <c r="I54" s="1"/>
      <c r="J54" s="5">
        <f t="shared" si="37"/>
        <v>6.6911171502002723E-2</v>
      </c>
      <c r="K54" s="1"/>
      <c r="L54" s="1">
        <f t="shared" si="38"/>
        <v>-748.65000000000009</v>
      </c>
      <c r="M54" s="1"/>
      <c r="N54" s="5">
        <f t="shared" si="39"/>
        <v>-0.21714161409614968</v>
      </c>
      <c r="O54" s="13"/>
      <c r="P54" s="1">
        <f>SUM(OSRRefP22_10x_0)</f>
        <v>20355.95</v>
      </c>
      <c r="Q54" s="1"/>
      <c r="R54" s="5">
        <f t="shared" si="40"/>
        <v>3.6559927257850906E-2</v>
      </c>
      <c r="S54" s="1"/>
      <c r="T54" s="1">
        <f>SUM(OSRRefT22_10x_0)</f>
        <v>26970.09</v>
      </c>
      <c r="U54" s="1"/>
      <c r="V54" s="5">
        <f t="shared" si="41"/>
        <v>5.1267759837902417E-2</v>
      </c>
      <c r="W54" s="1"/>
      <c r="X54" s="1">
        <f t="shared" si="42"/>
        <v>-6614.1399999999994</v>
      </c>
      <c r="Y54" s="1"/>
      <c r="Z54" s="5">
        <f t="shared" si="43"/>
        <v>-0.24523981937027275</v>
      </c>
    </row>
    <row r="55" spans="1:26" s="24" customFormat="1" hidden="1" outlineLevel="2" x14ac:dyDescent="0.25">
      <c r="A55" s="25"/>
      <c r="B55" s="11" t="str">
        <f>CONCATENATE("          ", "6373", " - ", "MAINTENANCE CONTRACTS")</f>
        <v xml:space="preserve">          6373 - MAINTENANCE CONTRACTS</v>
      </c>
      <c r="C55" s="11"/>
      <c r="D55" s="6">
        <v>1799</v>
      </c>
      <c r="E55" s="2"/>
      <c r="F55" s="7">
        <f t="shared" si="36"/>
        <v>3.5730444284936297E-2</v>
      </c>
      <c r="G55" s="2"/>
      <c r="H55" s="6">
        <v>1799</v>
      </c>
      <c r="I55" s="2"/>
      <c r="J55" s="7">
        <f t="shared" si="37"/>
        <v>3.4913551600928981E-2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>
        <v>12719.41</v>
      </c>
      <c r="Q55" s="2"/>
      <c r="R55" s="7">
        <f t="shared" si="40"/>
        <v>2.2844460924829418E-2</v>
      </c>
      <c r="S55" s="2"/>
      <c r="T55" s="6">
        <v>12705.44</v>
      </c>
      <c r="U55" s="2"/>
      <c r="V55" s="7">
        <f t="shared" si="41"/>
        <v>2.4151919647093463E-2</v>
      </c>
      <c r="W55" s="2"/>
      <c r="X55" s="6">
        <f t="shared" si="42"/>
        <v>13.969999999999345</v>
      </c>
      <c r="Y55" s="2"/>
      <c r="Z55" s="7">
        <f t="shared" si="43"/>
        <v>1.0995290206399263E-3</v>
      </c>
    </row>
    <row r="56" spans="1:26" s="24" customFormat="1" hidden="1" outlineLevel="2" x14ac:dyDescent="0.25">
      <c r="A56" s="25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900.1</v>
      </c>
      <c r="E56" s="2"/>
      <c r="F56" s="7">
        <f t="shared" si="36"/>
        <v>1.7877138910990083E-2</v>
      </c>
      <c r="G56" s="2"/>
      <c r="H56" s="6">
        <v>1648.75</v>
      </c>
      <c r="I56" s="2"/>
      <c r="J56" s="7">
        <f t="shared" si="37"/>
        <v>3.1997619901073741E-2</v>
      </c>
      <c r="K56" s="2"/>
      <c r="L56" s="6">
        <f t="shared" si="38"/>
        <v>-748.65</v>
      </c>
      <c r="M56" s="2"/>
      <c r="N56" s="7">
        <f t="shared" si="39"/>
        <v>-0.45407126611068988</v>
      </c>
      <c r="O56" s="11"/>
      <c r="P56" s="6">
        <v>7636.54</v>
      </c>
      <c r="Q56" s="2"/>
      <c r="R56" s="7">
        <f t="shared" si="40"/>
        <v>1.3715466333021488E-2</v>
      </c>
      <c r="S56" s="2"/>
      <c r="T56" s="6">
        <v>14264.65</v>
      </c>
      <c r="U56" s="2"/>
      <c r="V56" s="7">
        <f t="shared" si="41"/>
        <v>2.7115840190808954E-2</v>
      </c>
      <c r="W56" s="2"/>
      <c r="X56" s="6">
        <f t="shared" si="42"/>
        <v>-6628.11</v>
      </c>
      <c r="Y56" s="2"/>
      <c r="Z56" s="7">
        <f t="shared" si="43"/>
        <v>-0.46465283059871781</v>
      </c>
    </row>
    <row r="57" spans="1:26" s="26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4027.92</v>
      </c>
      <c r="E57" s="1"/>
      <c r="F57" s="5">
        <f t="shared" ref="F57:F62" si="44">IF(D$12=0,0,D57/D$12)</f>
        <v>7.9999650441456696E-2</v>
      </c>
      <c r="G57" s="1"/>
      <c r="H57" s="1">
        <f>SUM(OSRRefH22_11x_0)</f>
        <v>4239.2</v>
      </c>
      <c r="I57" s="1"/>
      <c r="J57" s="5">
        <f t="shared" ref="J57:J62" si="45">IF(H$12=0,0,H57/H$12)</f>
        <v>8.2270999414484791E-2</v>
      </c>
      <c r="K57" s="1"/>
      <c r="L57" s="1">
        <f t="shared" ref="L57:L62" si="46">+D57-H57</f>
        <v>-211.27999999999975</v>
      </c>
      <c r="M57" s="1"/>
      <c r="N57" s="5">
        <f t="shared" ref="N57:N62" si="47">IF(H57=0,0,L57/H57)</f>
        <v>-4.9839592375919929E-2</v>
      </c>
      <c r="O57" s="13"/>
      <c r="P57" s="1">
        <f>SUM(OSRRefP22_11x_0)</f>
        <v>47371.68</v>
      </c>
      <c r="Q57" s="1"/>
      <c r="R57" s="5">
        <f t="shared" ref="R57:R62" si="48">IF(P$12=0,0,P57/P$12)</f>
        <v>8.5081029128200383E-2</v>
      </c>
      <c r="S57" s="1"/>
      <c r="T57" s="1">
        <f>SUM(OSRRefT22_11x_0)</f>
        <v>42202.080000000002</v>
      </c>
      <c r="U57" s="1"/>
      <c r="V57" s="5">
        <f t="shared" ref="V57:V62" si="49">IF(T$12=0,0,T57/T$12)</f>
        <v>8.0222427960008474E-2</v>
      </c>
      <c r="W57" s="1"/>
      <c r="X57" s="1">
        <f t="shared" ref="X57:X62" si="50">+P57-T57</f>
        <v>5169.5999999999985</v>
      </c>
      <c r="Y57" s="1"/>
      <c r="Z57" s="5">
        <f t="shared" ref="Z57:Z62" si="51">IF(T57=0,0,X57/T57)</f>
        <v>0.12249633193435011</v>
      </c>
    </row>
    <row r="58" spans="1:26" s="24" customFormat="1" hidden="1" outlineLevel="2" x14ac:dyDescent="0.25">
      <c r="A58" s="25"/>
      <c r="B58" s="11" t="str">
        <f>CONCATENATE("          ", "6259", " - ", "ROYALTY &amp; COMMISSIONS")</f>
        <v xml:space="preserve">          6259 - ROYALTY &amp; COMMISSIONS</v>
      </c>
      <c r="C58" s="11"/>
      <c r="D58" s="6">
        <v>4027.92</v>
      </c>
      <c r="E58" s="2"/>
      <c r="F58" s="7">
        <f t="shared" si="44"/>
        <v>7.9999650441456696E-2</v>
      </c>
      <c r="G58" s="2"/>
      <c r="H58" s="6">
        <v>4239.2</v>
      </c>
      <c r="I58" s="2"/>
      <c r="J58" s="7">
        <f t="shared" si="45"/>
        <v>8.2270999414484791E-2</v>
      </c>
      <c r="K58" s="2"/>
      <c r="L58" s="6">
        <f t="shared" si="46"/>
        <v>-211.27999999999975</v>
      </c>
      <c r="M58" s="2"/>
      <c r="N58" s="7">
        <f t="shared" si="47"/>
        <v>-4.9839592375919929E-2</v>
      </c>
      <c r="O58" s="11"/>
      <c r="P58" s="6">
        <v>47371.68</v>
      </c>
      <c r="Q58" s="2"/>
      <c r="R58" s="7">
        <f t="shared" si="48"/>
        <v>8.5081029128200383E-2</v>
      </c>
      <c r="S58" s="2"/>
      <c r="T58" s="6">
        <v>42202.080000000002</v>
      </c>
      <c r="U58" s="2"/>
      <c r="V58" s="7">
        <f t="shared" si="49"/>
        <v>8.0222427960008474E-2</v>
      </c>
      <c r="W58" s="2"/>
      <c r="X58" s="6">
        <f t="shared" si="50"/>
        <v>5169.5999999999985</v>
      </c>
      <c r="Y58" s="2"/>
      <c r="Z58" s="7">
        <f t="shared" si="51"/>
        <v>0.12249633193435011</v>
      </c>
    </row>
    <row r="59" spans="1:26" s="26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453.96999999999997</v>
      </c>
      <c r="E59" s="1"/>
      <c r="F59" s="5">
        <f t="shared" si="44"/>
        <v>9.0164256765050185E-3</v>
      </c>
      <c r="G59" s="1"/>
      <c r="H59" s="1">
        <f>SUM(OSRRefH22_12x_0)</f>
        <v>261.64999999999998</v>
      </c>
      <c r="I59" s="1"/>
      <c r="J59" s="5">
        <f t="shared" si="45"/>
        <v>5.0778937056048176E-3</v>
      </c>
      <c r="K59" s="1"/>
      <c r="L59" s="1">
        <f t="shared" si="46"/>
        <v>192.32</v>
      </c>
      <c r="M59" s="1"/>
      <c r="N59" s="5">
        <f t="shared" si="47"/>
        <v>0.73502770877125934</v>
      </c>
      <c r="O59" s="13"/>
      <c r="P59" s="1">
        <f>SUM(OSRRefP22_12x_0)</f>
        <v>3190.09</v>
      </c>
      <c r="Q59" s="1"/>
      <c r="R59" s="5">
        <f t="shared" si="48"/>
        <v>5.7295021036108664E-3</v>
      </c>
      <c r="S59" s="1"/>
      <c r="T59" s="1">
        <f>SUM(OSRRefT22_12x_0)</f>
        <v>2094.23</v>
      </c>
      <c r="U59" s="1"/>
      <c r="V59" s="5">
        <f t="shared" si="49"/>
        <v>3.9809463255528763E-3</v>
      </c>
      <c r="W59" s="1"/>
      <c r="X59" s="1">
        <f t="shared" si="50"/>
        <v>1095.8600000000001</v>
      </c>
      <c r="Y59" s="1"/>
      <c r="Z59" s="5">
        <f t="shared" si="51"/>
        <v>0.52327585795256493</v>
      </c>
    </row>
    <row r="60" spans="1:26" s="24" customFormat="1" hidden="1" outlineLevel="2" x14ac:dyDescent="0.25">
      <c r="A60" s="25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96.96</v>
      </c>
      <c r="E60" s="2"/>
      <c r="F60" s="7">
        <f t="shared" si="44"/>
        <v>1.9257497931447598E-3</v>
      </c>
      <c r="G60" s="2"/>
      <c r="H60" s="6">
        <v>96.96</v>
      </c>
      <c r="I60" s="2"/>
      <c r="J60" s="7">
        <f t="shared" si="45"/>
        <v>1.8817220473741378E-3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775.68</v>
      </c>
      <c r="Q60" s="2"/>
      <c r="R60" s="7">
        <f t="shared" si="48"/>
        <v>1.3931457080298287E-3</v>
      </c>
      <c r="S60" s="2"/>
      <c r="T60" s="6">
        <v>387.84</v>
      </c>
      <c r="U60" s="2"/>
      <c r="V60" s="7">
        <f t="shared" si="49"/>
        <v>7.3724959670257205E-4</v>
      </c>
      <c r="W60" s="2"/>
      <c r="X60" s="6">
        <f t="shared" si="50"/>
        <v>387.84</v>
      </c>
      <c r="Y60" s="2"/>
      <c r="Z60" s="7">
        <f t="shared" si="51"/>
        <v>1</v>
      </c>
    </row>
    <row r="61" spans="1:26" s="24" customFormat="1" hidden="1" outlineLevel="2" x14ac:dyDescent="0.25">
      <c r="A61" s="25"/>
      <c r="B61" s="11" t="str">
        <f>CONCATENATE("          ", "6284", " - ", "TRASH REMOVAL EXPENSE")</f>
        <v xml:space="preserve">          6284 - TRASH REMOVAL EXPENSE</v>
      </c>
      <c r="C61" s="11"/>
      <c r="D61" s="6">
        <v>115</v>
      </c>
      <c r="E61" s="2"/>
      <c r="F61" s="7">
        <f t="shared" si="44"/>
        <v>2.2840473000376176E-3</v>
      </c>
      <c r="G61" s="2"/>
      <c r="H61" s="6">
        <v>94</v>
      </c>
      <c r="I61" s="2"/>
      <c r="J61" s="7">
        <f t="shared" si="45"/>
        <v>1.8242767373470397E-3</v>
      </c>
      <c r="K61" s="2"/>
      <c r="L61" s="6">
        <f t="shared" si="46"/>
        <v>21</v>
      </c>
      <c r="M61" s="2"/>
      <c r="N61" s="7">
        <f t="shared" si="47"/>
        <v>0.22340425531914893</v>
      </c>
      <c r="O61" s="11"/>
      <c r="P61" s="6">
        <v>709</v>
      </c>
      <c r="Q61" s="2"/>
      <c r="R61" s="7">
        <f t="shared" si="48"/>
        <v>1.2733863281161671E-3</v>
      </c>
      <c r="S61" s="2"/>
      <c r="T61" s="6">
        <v>884.46</v>
      </c>
      <c r="U61" s="2"/>
      <c r="V61" s="7">
        <f t="shared" si="49"/>
        <v>1.6812803689654418E-3</v>
      </c>
      <c r="W61" s="2"/>
      <c r="X61" s="6">
        <f t="shared" si="50"/>
        <v>-175.46000000000004</v>
      </c>
      <c r="Y61" s="2"/>
      <c r="Z61" s="7">
        <f t="shared" si="51"/>
        <v>-0.19838093299866588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>
        <v>242.01</v>
      </c>
      <c r="E62" s="2"/>
      <c r="F62" s="7">
        <f t="shared" si="44"/>
        <v>4.8066285833226413E-3</v>
      </c>
      <c r="G62" s="2"/>
      <c r="H62" s="6">
        <v>70.69</v>
      </c>
      <c r="I62" s="2"/>
      <c r="J62" s="7">
        <f t="shared" si="45"/>
        <v>1.3718949208836406E-3</v>
      </c>
      <c r="K62" s="2"/>
      <c r="L62" s="6">
        <f t="shared" si="46"/>
        <v>171.32</v>
      </c>
      <c r="M62" s="2"/>
      <c r="N62" s="7">
        <f t="shared" si="47"/>
        <v>2.4235393973687933</v>
      </c>
      <c r="O62" s="11"/>
      <c r="P62" s="6">
        <v>1705.41</v>
      </c>
      <c r="Q62" s="2"/>
      <c r="R62" s="7">
        <f t="shared" si="48"/>
        <v>3.06297006746487E-3</v>
      </c>
      <c r="S62" s="2"/>
      <c r="T62" s="6">
        <v>821.93</v>
      </c>
      <c r="U62" s="2"/>
      <c r="V62" s="7">
        <f t="shared" si="49"/>
        <v>1.5624163598848624E-3</v>
      </c>
      <c r="W62" s="2"/>
      <c r="X62" s="6">
        <f t="shared" si="50"/>
        <v>883.48000000000013</v>
      </c>
      <c r="Y62" s="2"/>
      <c r="Z62" s="7">
        <f t="shared" si="51"/>
        <v>1.0748847225432825</v>
      </c>
    </row>
    <row r="63" spans="1:26" s="26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30.68</v>
      </c>
      <c r="E63" s="1"/>
      <c r="F63" s="5">
        <f t="shared" ref="F63:F65" si="52">IF(D$12=0,0,D63/D$12)</f>
        <v>6.0934409708829655E-4</v>
      </c>
      <c r="G63" s="1"/>
      <c r="H63" s="1">
        <f>SUM(OSRRefH22_13x_0)</f>
        <v>0</v>
      </c>
      <c r="I63" s="1"/>
      <c r="J63" s="5">
        <f t="shared" ref="J63:J65" si="53">IF(H$12=0,0,H63/H$12)</f>
        <v>0</v>
      </c>
      <c r="K63" s="1"/>
      <c r="L63" s="1">
        <f t="shared" ref="L63:L65" si="54">+D63-H63</f>
        <v>30.68</v>
      </c>
      <c r="M63" s="1"/>
      <c r="N63" s="5">
        <f t="shared" ref="N63:N65" si="55">IF(H63=0,0,L63/H63)</f>
        <v>0</v>
      </c>
      <c r="O63" s="13"/>
      <c r="P63" s="1">
        <f>SUM(OSRRefP22_13x_0)</f>
        <v>1101.72</v>
      </c>
      <c r="Q63" s="1"/>
      <c r="R63" s="5">
        <f t="shared" ref="R63:R65" si="56">IF(P$12=0,0,P63/P$12)</f>
        <v>1.9787238158140252E-3</v>
      </c>
      <c r="S63" s="1"/>
      <c r="T63" s="1">
        <f>SUM(OSRRefT22_13x_0)</f>
        <v>122.72</v>
      </c>
      <c r="U63" s="1"/>
      <c r="V63" s="5">
        <f t="shared" ref="V63:V65" si="57">IF(T$12=0,0,T63/T$12)</f>
        <v>2.3327988476521156E-4</v>
      </c>
      <c r="W63" s="1"/>
      <c r="X63" s="1">
        <f t="shared" ref="X63:X65" si="58">+P63-T63</f>
        <v>979</v>
      </c>
      <c r="Y63" s="1"/>
      <c r="Z63" s="5">
        <f t="shared" ref="Z63:Z65" si="59">IF(T63=0,0,X63/T63)</f>
        <v>7.977509778357236</v>
      </c>
    </row>
    <row r="64" spans="1:26" s="24" customFormat="1" hidden="1" outlineLevel="2" x14ac:dyDescent="0.25">
      <c r="A64" s="25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979</v>
      </c>
      <c r="Q64" s="2"/>
      <c r="R64" s="7">
        <f t="shared" si="56"/>
        <v>1.7583148310659064E-3</v>
      </c>
      <c r="S64" s="2"/>
      <c r="T64" s="6"/>
      <c r="U64" s="2"/>
      <c r="V64" s="7">
        <f t="shared" si="57"/>
        <v>0</v>
      </c>
      <c r="W64" s="2"/>
      <c r="X64" s="6">
        <f t="shared" si="58"/>
        <v>979</v>
      </c>
      <c r="Y64" s="2"/>
      <c r="Z64" s="7">
        <f t="shared" si="59"/>
        <v>0</v>
      </c>
    </row>
    <row r="65" spans="1:26" s="24" customFormat="1" hidden="1" outlineLevel="2" x14ac:dyDescent="0.25">
      <c r="A65" s="25"/>
      <c r="B65" s="11" t="str">
        <f>CONCATENATE("          ", "6275", " - ", "SUBSCRIPTIONS")</f>
        <v xml:space="preserve">          6275 - SUBSCRIPTIONS</v>
      </c>
      <c r="C65" s="11"/>
      <c r="D65" s="6">
        <v>30.68</v>
      </c>
      <c r="E65" s="2"/>
      <c r="F65" s="7">
        <f t="shared" si="52"/>
        <v>6.0934409708829655E-4</v>
      </c>
      <c r="G65" s="2"/>
      <c r="H65" s="6"/>
      <c r="I65" s="2"/>
      <c r="J65" s="7">
        <f t="shared" si="53"/>
        <v>0</v>
      </c>
      <c r="K65" s="2"/>
      <c r="L65" s="6">
        <f t="shared" si="54"/>
        <v>30.68</v>
      </c>
      <c r="M65" s="2"/>
      <c r="N65" s="7">
        <f t="shared" si="55"/>
        <v>0</v>
      </c>
      <c r="O65" s="11"/>
      <c r="P65" s="6">
        <v>122.72</v>
      </c>
      <c r="Q65" s="2"/>
      <c r="R65" s="7">
        <f t="shared" si="56"/>
        <v>2.2040898474811853E-4</v>
      </c>
      <c r="S65" s="2"/>
      <c r="T65" s="6">
        <v>122.72</v>
      </c>
      <c r="U65" s="2"/>
      <c r="V65" s="7">
        <f t="shared" si="57"/>
        <v>2.3327988476521156E-4</v>
      </c>
      <c r="W65" s="2"/>
      <c r="X65" s="6">
        <f t="shared" si="58"/>
        <v>0</v>
      </c>
      <c r="Y65" s="2"/>
      <c r="Z65" s="7">
        <f t="shared" si="59"/>
        <v>0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711.5300000000002</v>
      </c>
      <c r="E66" s="1"/>
      <c r="F66" s="5">
        <f t="shared" ref="F66:F73" si="60">IF(D$12=0,0,D66/D$12)</f>
        <v>1.4131897177354491E-2</v>
      </c>
      <c r="G66" s="1"/>
      <c r="H66" s="1">
        <f>SUM(OSRRefH22_14x_0)</f>
        <v>1221.2</v>
      </c>
      <c r="I66" s="1"/>
      <c r="J66" s="5">
        <f t="shared" ref="J66:J73" si="61">IF(H$12=0,0,H66/H$12)</f>
        <v>2.3700071826044732E-2</v>
      </c>
      <c r="K66" s="1"/>
      <c r="L66" s="1">
        <f t="shared" ref="L66:L73" si="62">+D66-H66</f>
        <v>-509.66999999999985</v>
      </c>
      <c r="M66" s="1"/>
      <c r="N66" s="5">
        <f t="shared" ref="N66:N73" si="63">IF(H66=0,0,L66/H66)</f>
        <v>-0.41735178512938081</v>
      </c>
      <c r="O66" s="13"/>
      <c r="P66" s="1">
        <f>SUM(OSRRefP22_14x_0)</f>
        <v>9916.61</v>
      </c>
      <c r="Q66" s="1"/>
      <c r="R66" s="5">
        <f t="shared" ref="R66:R73" si="64">IF(P$12=0,0,P66/P$12)</f>
        <v>1.7810543857912645E-2</v>
      </c>
      <c r="S66" s="1"/>
      <c r="T66" s="1">
        <f>SUM(OSRRefT22_14x_0)</f>
        <v>8107.14</v>
      </c>
      <c r="U66" s="1"/>
      <c r="V66" s="5">
        <f t="shared" ref="V66:V73" si="65">IF(T$12=0,0,T66/T$12)</f>
        <v>1.5410957341716406E-2</v>
      </c>
      <c r="W66" s="1"/>
      <c r="X66" s="1">
        <f t="shared" ref="X66:X73" si="66">+P66-T66</f>
        <v>1809.4700000000003</v>
      </c>
      <c r="Y66" s="1"/>
      <c r="Z66" s="5">
        <f t="shared" ref="Z66:Z73" si="67">IF(T66=0,0,X66/T66)</f>
        <v>0.22319461610382949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>
        <v>355.49</v>
      </c>
      <c r="E67" s="2"/>
      <c r="F67" s="7">
        <f t="shared" si="60"/>
        <v>7.0604867364380229E-3</v>
      </c>
      <c r="G67" s="2"/>
      <c r="H67" s="6">
        <v>191.57</v>
      </c>
      <c r="I67" s="2"/>
      <c r="J67" s="7">
        <f t="shared" si="61"/>
        <v>3.7178371763145995E-3</v>
      </c>
      <c r="K67" s="2"/>
      <c r="L67" s="6">
        <f t="shared" si="62"/>
        <v>163.92000000000002</v>
      </c>
      <c r="M67" s="2"/>
      <c r="N67" s="7">
        <f t="shared" si="63"/>
        <v>0.85566633606514597</v>
      </c>
      <c r="O67" s="11"/>
      <c r="P67" s="6">
        <v>1428.63</v>
      </c>
      <c r="Q67" s="2"/>
      <c r="R67" s="7">
        <f t="shared" si="64"/>
        <v>2.5658644709966151E-3</v>
      </c>
      <c r="S67" s="2"/>
      <c r="T67" s="6">
        <v>624.65</v>
      </c>
      <c r="U67" s="2"/>
      <c r="V67" s="7">
        <f t="shared" si="65"/>
        <v>1.1874044981958066E-3</v>
      </c>
      <c r="W67" s="2"/>
      <c r="X67" s="6">
        <f t="shared" si="66"/>
        <v>803.98000000000013</v>
      </c>
      <c r="Y67" s="2"/>
      <c r="Z67" s="7">
        <f t="shared" si="67"/>
        <v>1.2870887697110385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6">
        <v>528.49</v>
      </c>
      <c r="E68" s="2"/>
      <c r="F68" s="7">
        <f t="shared" si="60"/>
        <v>1.0496488326929395E-2</v>
      </c>
      <c r="G68" s="2"/>
      <c r="H68" s="6">
        <v>312.8</v>
      </c>
      <c r="I68" s="2"/>
      <c r="J68" s="7">
        <f t="shared" si="61"/>
        <v>6.0705719515122764E-3</v>
      </c>
      <c r="K68" s="2"/>
      <c r="L68" s="6">
        <f t="shared" si="62"/>
        <v>215.69</v>
      </c>
      <c r="M68" s="2"/>
      <c r="N68" s="7">
        <f t="shared" si="63"/>
        <v>0.68954603580562657</v>
      </c>
      <c r="O68" s="11"/>
      <c r="P68" s="6">
        <v>4001.24</v>
      </c>
      <c r="Q68" s="2"/>
      <c r="R68" s="7">
        <f t="shared" si="64"/>
        <v>7.1863530486763506E-3</v>
      </c>
      <c r="S68" s="2"/>
      <c r="T68" s="6">
        <v>1861.23</v>
      </c>
      <c r="U68" s="2"/>
      <c r="V68" s="7">
        <f t="shared" si="65"/>
        <v>3.538033897665863E-3</v>
      </c>
      <c r="W68" s="2"/>
      <c r="X68" s="6">
        <f t="shared" si="66"/>
        <v>2140.0099999999998</v>
      </c>
      <c r="Y68" s="2"/>
      <c r="Z68" s="7">
        <f t="shared" si="67"/>
        <v>1.1497826705995495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236.42</v>
      </c>
      <c r="E69" s="2"/>
      <c r="F69" s="7">
        <f t="shared" si="60"/>
        <v>4.6956040232599434E-3</v>
      </c>
      <c r="G69" s="2"/>
      <c r="H69" s="6">
        <v>217.39</v>
      </c>
      <c r="I69" s="2"/>
      <c r="J69" s="7">
        <f t="shared" si="61"/>
        <v>4.2189310631050312E-3</v>
      </c>
      <c r="K69" s="2"/>
      <c r="L69" s="6">
        <f t="shared" si="62"/>
        <v>19.03</v>
      </c>
      <c r="M69" s="2"/>
      <c r="N69" s="7">
        <f t="shared" si="63"/>
        <v>8.7538525231151396E-2</v>
      </c>
      <c r="O69" s="11"/>
      <c r="P69" s="6">
        <v>1405.42</v>
      </c>
      <c r="Q69" s="2"/>
      <c r="R69" s="7">
        <f t="shared" si="64"/>
        <v>2.5241785800578613E-3</v>
      </c>
      <c r="S69" s="2"/>
      <c r="T69" s="6">
        <v>772.83</v>
      </c>
      <c r="U69" s="2"/>
      <c r="V69" s="7">
        <f t="shared" si="65"/>
        <v>1.4690815950382859E-3</v>
      </c>
      <c r="W69" s="2"/>
      <c r="X69" s="6">
        <f t="shared" si="66"/>
        <v>632.59</v>
      </c>
      <c r="Y69" s="2"/>
      <c r="Z69" s="7">
        <f t="shared" si="67"/>
        <v>0.81853706507252566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678.11</v>
      </c>
      <c r="E70" s="2"/>
      <c r="F70" s="7">
        <f t="shared" si="60"/>
        <v>1.3468133170682685E-2</v>
      </c>
      <c r="G70" s="2"/>
      <c r="H70" s="6">
        <v>433.16</v>
      </c>
      <c r="I70" s="2"/>
      <c r="J70" s="7">
        <f t="shared" si="61"/>
        <v>8.4064224632898268E-3</v>
      </c>
      <c r="K70" s="2"/>
      <c r="L70" s="6">
        <f t="shared" si="62"/>
        <v>244.95</v>
      </c>
      <c r="M70" s="2"/>
      <c r="N70" s="7">
        <f t="shared" si="63"/>
        <v>0.56549542894080707</v>
      </c>
      <c r="O70" s="11"/>
      <c r="P70" s="6">
        <v>4346.87</v>
      </c>
      <c r="Q70" s="2"/>
      <c r="R70" s="7">
        <f t="shared" si="64"/>
        <v>7.8071154133967889E-3</v>
      </c>
      <c r="S70" s="2"/>
      <c r="T70" s="6">
        <v>4310.1400000000003</v>
      </c>
      <c r="U70" s="2"/>
      <c r="V70" s="7">
        <f t="shared" si="65"/>
        <v>8.1931955876949885E-3</v>
      </c>
      <c r="W70" s="2"/>
      <c r="X70" s="6">
        <f t="shared" si="66"/>
        <v>36.729999999999563</v>
      </c>
      <c r="Y70" s="2"/>
      <c r="Z70" s="7">
        <f t="shared" si="67"/>
        <v>8.5217649542705248E-3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60"/>
        <v>0</v>
      </c>
      <c r="G71" s="2"/>
      <c r="H71" s="6">
        <v>66.28</v>
      </c>
      <c r="I71" s="2"/>
      <c r="J71" s="7">
        <f t="shared" si="61"/>
        <v>1.2863091718229977E-3</v>
      </c>
      <c r="K71" s="2"/>
      <c r="L71" s="6">
        <f t="shared" si="62"/>
        <v>-66.28</v>
      </c>
      <c r="M71" s="2"/>
      <c r="N71" s="7">
        <f t="shared" si="63"/>
        <v>-1</v>
      </c>
      <c r="O71" s="11"/>
      <c r="P71" s="6">
        <v>66.930000000000007</v>
      </c>
      <c r="Q71" s="2"/>
      <c r="R71" s="7">
        <f t="shared" si="64"/>
        <v>1.2020838778676316E-4</v>
      </c>
      <c r="S71" s="2"/>
      <c r="T71" s="6">
        <v>66.28</v>
      </c>
      <c r="U71" s="2"/>
      <c r="V71" s="7">
        <f t="shared" si="65"/>
        <v>1.2599242798434014E-4</v>
      </c>
      <c r="W71" s="2"/>
      <c r="X71" s="6">
        <f t="shared" si="66"/>
        <v>0.65000000000000568</v>
      </c>
      <c r="Y71" s="2"/>
      <c r="Z71" s="7">
        <f t="shared" si="67"/>
        <v>9.8068799034400373E-3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>
        <v>-1086.98</v>
      </c>
      <c r="E72" s="2"/>
      <c r="F72" s="7">
        <f t="shared" si="60"/>
        <v>-2.158881507995556E-2</v>
      </c>
      <c r="G72" s="2"/>
      <c r="H72" s="6"/>
      <c r="I72" s="2"/>
      <c r="J72" s="7">
        <f t="shared" si="61"/>
        <v>0</v>
      </c>
      <c r="K72" s="2"/>
      <c r="L72" s="6">
        <f t="shared" si="62"/>
        <v>-1086.98</v>
      </c>
      <c r="M72" s="2"/>
      <c r="N72" s="7">
        <f t="shared" si="63"/>
        <v>0</v>
      </c>
      <c r="O72" s="11"/>
      <c r="P72" s="6">
        <v>-1466.56</v>
      </c>
      <c r="Q72" s="2"/>
      <c r="R72" s="7">
        <f t="shared" si="64"/>
        <v>-2.6339879455035912E-3</v>
      </c>
      <c r="S72" s="2"/>
      <c r="T72" s="6">
        <v>108.18</v>
      </c>
      <c r="U72" s="2"/>
      <c r="V72" s="7">
        <f t="shared" si="65"/>
        <v>2.0564062853569578E-4</v>
      </c>
      <c r="W72" s="2"/>
      <c r="X72" s="6">
        <f t="shared" si="66"/>
        <v>-1574.74</v>
      </c>
      <c r="Y72" s="2"/>
      <c r="Z72" s="7">
        <f t="shared" si="67"/>
        <v>-14.556664817896099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>
        <v>134.08000000000001</v>
      </c>
      <c r="Q73" s="2"/>
      <c r="R73" s="7">
        <f t="shared" si="64"/>
        <v>2.4081190250185573E-4</v>
      </c>
      <c r="S73" s="2"/>
      <c r="T73" s="6">
        <v>363.83</v>
      </c>
      <c r="U73" s="2"/>
      <c r="V73" s="7">
        <f t="shared" si="65"/>
        <v>6.9160870660142529E-4</v>
      </c>
      <c r="W73" s="2"/>
      <c r="X73" s="6">
        <f t="shared" si="66"/>
        <v>-229.74999999999997</v>
      </c>
      <c r="Y73" s="2"/>
      <c r="Z73" s="7">
        <f t="shared" si="67"/>
        <v>-0.63147623890278426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823.2</v>
      </c>
      <c r="E74" s="1"/>
      <c r="F74" s="5">
        <f t="shared" ref="F74:F79" si="68">IF(D$12=0,0,D74/D$12)</f>
        <v>1.6349806412095363E-2</v>
      </c>
      <c r="G74" s="1"/>
      <c r="H74" s="1">
        <f>SUM(OSRRefH22_15x_0)</f>
        <v>42.55</v>
      </c>
      <c r="I74" s="1"/>
      <c r="J74" s="5">
        <f t="shared" ref="J74:J79" si="69">IF(H$12=0,0,H74/H$12)</f>
        <v>8.2577633163953752E-4</v>
      </c>
      <c r="K74" s="1"/>
      <c r="L74" s="1">
        <f t="shared" ref="L74:L79" si="70">+D74-H74</f>
        <v>780.65000000000009</v>
      </c>
      <c r="M74" s="1"/>
      <c r="N74" s="5">
        <f t="shared" ref="N74:N79" si="71">IF(H74=0,0,L74/H74)</f>
        <v>18.346650998824916</v>
      </c>
      <c r="O74" s="13"/>
      <c r="P74" s="1">
        <f>SUM(OSRRefP22_15x_0)</f>
        <v>1315.5</v>
      </c>
      <c r="Q74" s="1"/>
      <c r="R74" s="5">
        <f t="shared" ref="R74:R79" si="72">IF(P$12=0,0,P74/P$12)</f>
        <v>2.3626794282606742E-3</v>
      </c>
      <c r="S74" s="1"/>
      <c r="T74" s="1">
        <f>SUM(OSRRefT22_15x_0)</f>
        <v>528.35</v>
      </c>
      <c r="U74" s="1"/>
      <c r="V74" s="5">
        <f t="shared" ref="V74:V79" si="73">IF(T$12=0,0,T74/T$12)</f>
        <v>1.0043467007472256E-3</v>
      </c>
      <c r="W74" s="1"/>
      <c r="X74" s="1">
        <f t="shared" ref="X74:X79" si="74">+P74-T74</f>
        <v>787.15</v>
      </c>
      <c r="Y74" s="1"/>
      <c r="Z74" s="5">
        <f t="shared" ref="Z74:Z79" si="75">IF(T74=0,0,X74/T74)</f>
        <v>1.4898268193432382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823.2</v>
      </c>
      <c r="E75" s="2"/>
      <c r="F75" s="7">
        <f t="shared" si="68"/>
        <v>1.6349806412095363E-2</v>
      </c>
      <c r="G75" s="2"/>
      <c r="H75" s="6">
        <v>42.55</v>
      </c>
      <c r="I75" s="2"/>
      <c r="J75" s="7">
        <f t="shared" si="69"/>
        <v>8.2577633163953752E-4</v>
      </c>
      <c r="K75" s="2"/>
      <c r="L75" s="6">
        <f t="shared" si="70"/>
        <v>780.65000000000009</v>
      </c>
      <c r="M75" s="2"/>
      <c r="N75" s="7">
        <f t="shared" si="71"/>
        <v>18.346650998824916</v>
      </c>
      <c r="O75" s="11"/>
      <c r="P75" s="6">
        <v>1315.5</v>
      </c>
      <c r="Q75" s="2"/>
      <c r="R75" s="7">
        <f t="shared" si="72"/>
        <v>2.3626794282606742E-3</v>
      </c>
      <c r="S75" s="2"/>
      <c r="T75" s="6">
        <v>528.35</v>
      </c>
      <c r="U75" s="2"/>
      <c r="V75" s="7">
        <f t="shared" si="73"/>
        <v>1.0043467007472256E-3</v>
      </c>
      <c r="W75" s="2"/>
      <c r="X75" s="6">
        <f t="shared" si="74"/>
        <v>787.15</v>
      </c>
      <c r="Y75" s="2"/>
      <c r="Z75" s="7">
        <f t="shared" si="75"/>
        <v>1.4898268193432382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68"/>
        <v>0</v>
      </c>
      <c r="G76" s="1"/>
      <c r="H76" s="1">
        <f>SUM(OSRRefH22_16x_0)</f>
        <v>45.98</v>
      </c>
      <c r="I76" s="1"/>
      <c r="J76" s="5">
        <f t="shared" si="69"/>
        <v>8.9234302535337096E-4</v>
      </c>
      <c r="K76" s="1"/>
      <c r="L76" s="1">
        <f t="shared" si="70"/>
        <v>-45.98</v>
      </c>
      <c r="M76" s="1"/>
      <c r="N76" s="5">
        <f t="shared" si="71"/>
        <v>-1</v>
      </c>
      <c r="O76" s="13"/>
      <c r="P76" s="1">
        <f>SUM(OSRRefP22_16x_0)</f>
        <v>465.65</v>
      </c>
      <c r="Q76" s="1"/>
      <c r="R76" s="5">
        <f t="shared" si="72"/>
        <v>8.3632206443905958E-4</v>
      </c>
      <c r="S76" s="1"/>
      <c r="T76" s="1">
        <f>SUM(OSRRefT22_16x_0)</f>
        <v>281.14</v>
      </c>
      <c r="U76" s="1"/>
      <c r="V76" s="5">
        <f t="shared" si="73"/>
        <v>5.3442231749422731E-4</v>
      </c>
      <c r="W76" s="1"/>
      <c r="X76" s="1">
        <f t="shared" si="74"/>
        <v>184.51</v>
      </c>
      <c r="Y76" s="1"/>
      <c r="Z76" s="5">
        <f t="shared" si="75"/>
        <v>0.65629223874226361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68"/>
        <v>0</v>
      </c>
      <c r="G77" s="2"/>
      <c r="H77" s="6">
        <v>45.98</v>
      </c>
      <c r="I77" s="2"/>
      <c r="J77" s="7">
        <f t="shared" si="69"/>
        <v>8.9234302535337096E-4</v>
      </c>
      <c r="K77" s="2"/>
      <c r="L77" s="6">
        <f t="shared" si="70"/>
        <v>-45.98</v>
      </c>
      <c r="M77" s="2"/>
      <c r="N77" s="7">
        <f t="shared" si="71"/>
        <v>-1</v>
      </c>
      <c r="O77" s="11"/>
      <c r="P77" s="6">
        <v>465.65</v>
      </c>
      <c r="Q77" s="2"/>
      <c r="R77" s="7">
        <f t="shared" si="72"/>
        <v>8.3632206443905958E-4</v>
      </c>
      <c r="S77" s="2"/>
      <c r="T77" s="6">
        <v>281.14</v>
      </c>
      <c r="U77" s="2"/>
      <c r="V77" s="7">
        <f t="shared" si="73"/>
        <v>5.3442231749422731E-4</v>
      </c>
      <c r="W77" s="2"/>
      <c r="X77" s="6">
        <f t="shared" si="74"/>
        <v>184.51</v>
      </c>
      <c r="Y77" s="2"/>
      <c r="Z77" s="7">
        <f t="shared" si="75"/>
        <v>0.65629223874226361</v>
      </c>
    </row>
    <row r="78" spans="1:26" s="26" customFormat="1" outlineLevel="1" collapsed="1" x14ac:dyDescent="0.25">
      <c r="A78" s="27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SUM(OSRRefD22_17x_0)</f>
        <v>348</v>
      </c>
      <c r="E78" s="1"/>
      <c r="F78" s="5">
        <f t="shared" si="68"/>
        <v>6.9117257427225298E-3</v>
      </c>
      <c r="G78" s="1"/>
      <c r="H78" s="1">
        <f>SUM(OSRRefH22_17x_0)</f>
        <v>306</v>
      </c>
      <c r="I78" s="1"/>
      <c r="J78" s="5">
        <f t="shared" si="69"/>
        <v>5.9386029960446186E-3</v>
      </c>
      <c r="K78" s="1"/>
      <c r="L78" s="1">
        <f t="shared" si="70"/>
        <v>42</v>
      </c>
      <c r="M78" s="1"/>
      <c r="N78" s="5">
        <f t="shared" si="71"/>
        <v>0.13725490196078433</v>
      </c>
      <c r="O78" s="13"/>
      <c r="P78" s="1">
        <f>SUM(OSRRefP22_17x_0)</f>
        <v>2432</v>
      </c>
      <c r="Q78" s="1"/>
      <c r="R78" s="5">
        <f t="shared" si="72"/>
        <v>4.3679485895324662E-3</v>
      </c>
      <c r="S78" s="1"/>
      <c r="T78" s="1">
        <f>SUM(OSRRefT22_17x_0)</f>
        <v>1595.9</v>
      </c>
      <c r="U78" s="1"/>
      <c r="V78" s="5">
        <f t="shared" si="73"/>
        <v>3.0336649942698918E-3</v>
      </c>
      <c r="W78" s="1"/>
      <c r="X78" s="1">
        <f t="shared" si="74"/>
        <v>836.09999999999991</v>
      </c>
      <c r="Y78" s="1"/>
      <c r="Z78" s="5">
        <f t="shared" si="75"/>
        <v>0.52390500657935957</v>
      </c>
    </row>
    <row r="79" spans="1:26" s="24" customFormat="1" hidden="1" outlineLevel="2" x14ac:dyDescent="0.25">
      <c r="A79" s="25"/>
      <c r="B79" s="11" t="str">
        <f>CONCATENATE("          ", "6274", " - ", "UTILITIES")</f>
        <v xml:space="preserve">          6274 - UTILITIES</v>
      </c>
      <c r="C79" s="11"/>
      <c r="D79" s="6">
        <v>348</v>
      </c>
      <c r="E79" s="2"/>
      <c r="F79" s="7">
        <f t="shared" si="68"/>
        <v>6.9117257427225298E-3</v>
      </c>
      <c r="G79" s="2"/>
      <c r="H79" s="6">
        <v>306</v>
      </c>
      <c r="I79" s="2"/>
      <c r="J79" s="7">
        <f t="shared" si="69"/>
        <v>5.9386029960446186E-3</v>
      </c>
      <c r="K79" s="2"/>
      <c r="L79" s="6">
        <f t="shared" si="70"/>
        <v>42</v>
      </c>
      <c r="M79" s="2"/>
      <c r="N79" s="7">
        <f t="shared" si="71"/>
        <v>0.13725490196078433</v>
      </c>
      <c r="O79" s="11"/>
      <c r="P79" s="6">
        <v>2432</v>
      </c>
      <c r="Q79" s="2"/>
      <c r="R79" s="7">
        <f t="shared" si="72"/>
        <v>4.3679485895324662E-3</v>
      </c>
      <c r="S79" s="2"/>
      <c r="T79" s="6">
        <v>1595.9</v>
      </c>
      <c r="U79" s="2"/>
      <c r="V79" s="7">
        <f t="shared" si="73"/>
        <v>3.0336649942698918E-3</v>
      </c>
      <c r="W79" s="2"/>
      <c r="X79" s="6">
        <f t="shared" si="74"/>
        <v>836.09999999999991</v>
      </c>
      <c r="Y79" s="2"/>
      <c r="Z79" s="7">
        <f t="shared" si="75"/>
        <v>0.52390500657935957</v>
      </c>
    </row>
    <row r="80" spans="1:26" s="59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1">
        <f>+D20-D22+D81</f>
        <v>-27022.819999999985</v>
      </c>
      <c r="E83" s="14"/>
      <c r="F83" s="22">
        <f>IF(D$12=0,0,D83/D$12)</f>
        <v>-0.53670781791654343</v>
      </c>
      <c r="G83" s="14"/>
      <c r="H83" s="21">
        <f>+H20-H22+H81</f>
        <v>-11276.060000000005</v>
      </c>
      <c r="I83" s="14"/>
      <c r="J83" s="22">
        <f>IF(H$12=0,0,H83/H$12)</f>
        <v>-0.21883674411627094</v>
      </c>
      <c r="K83" s="16"/>
      <c r="L83" s="21">
        <f>+D83-H83</f>
        <v>-15746.75999999998</v>
      </c>
      <c r="M83" s="16"/>
      <c r="N83" s="22">
        <f>IF(H83=0,0,L83/H83)</f>
        <v>1.3964771382912093</v>
      </c>
      <c r="O83" s="29"/>
      <c r="P83" s="21">
        <f>+P20-P22+P81</f>
        <v>-53013.939999999944</v>
      </c>
      <c r="Q83" s="14"/>
      <c r="R83" s="22">
        <f>IF(P$12=0,0,P83/P$12)</f>
        <v>-9.5214705776545464E-2</v>
      </c>
      <c r="S83" s="14"/>
      <c r="T83" s="21">
        <f>+T20-T22+T81</f>
        <v>30776.289999999863</v>
      </c>
      <c r="U83" s="14"/>
      <c r="V83" s="22">
        <f>IF(T$12=0,0,T83/T$12)</f>
        <v>5.8503009979634132E-2</v>
      </c>
      <c r="W83" s="16"/>
      <c r="X83" s="21">
        <f>+P83-T83</f>
        <v>-83790.229999999807</v>
      </c>
      <c r="Y83" s="16"/>
      <c r="Z83" s="22">
        <f>IF(T83=0,0,X83/T83)</f>
        <v>-2.7225578521647731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3365.83</v>
      </c>
      <c r="E85" s="4"/>
      <c r="F85" s="12">
        <f>IF(D$12=0,0,D85/D$12)</f>
        <v>6.6849694990309683E-2</v>
      </c>
      <c r="G85" s="4"/>
      <c r="H85" s="4">
        <v>2317.5700000000002</v>
      </c>
      <c r="I85" s="4"/>
      <c r="J85" s="12">
        <f>IF(H$12=0,0,H85/H$12)</f>
        <v>4.4977542959291267E-2</v>
      </c>
      <c r="K85" s="4"/>
      <c r="L85" s="4">
        <f>+D85-H85</f>
        <v>1048.2599999999998</v>
      </c>
      <c r="M85" s="4"/>
      <c r="N85" s="12">
        <f>IF(H85=0,0,L85/H85)</f>
        <v>0.45230996259012657</v>
      </c>
      <c r="O85" s="10"/>
      <c r="P85" s="4">
        <v>58064.590000000004</v>
      </c>
      <c r="Q85" s="4"/>
      <c r="R85" s="12">
        <f>IF(P$12=0,0,P85/P$12)</f>
        <v>0.10428583223366816</v>
      </c>
      <c r="S85" s="4"/>
      <c r="T85" s="4">
        <v>53527.199999999997</v>
      </c>
      <c r="U85" s="4"/>
      <c r="V85" s="12">
        <f>IF(T$12=0,0,T85/T$12)</f>
        <v>0.10175048115877144</v>
      </c>
      <c r="W85" s="4"/>
      <c r="X85" s="4">
        <f>+P85-T85</f>
        <v>4537.3900000000067</v>
      </c>
      <c r="Y85" s="4"/>
      <c r="Z85" s="12">
        <f>IF(T85=0,0,X85/T85)</f>
        <v>8.4767931070558647E-2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4">
        <f>+D83-D85</f>
        <v>-30388.649999999987</v>
      </c>
      <c r="E87" s="14"/>
      <c r="F87" s="31">
        <f>IF(D$12=0,0,D87/D$12)</f>
        <v>-0.60355751290685322</v>
      </c>
      <c r="G87" s="14"/>
      <c r="H87" s="34">
        <f>+H83-H85</f>
        <v>-13593.630000000005</v>
      </c>
      <c r="I87" s="14"/>
      <c r="J87" s="31">
        <f>IF(H$12=0,0,H87/H$12)</f>
        <v>-0.2638142870755622</v>
      </c>
      <c r="K87" s="16"/>
      <c r="L87" s="34">
        <f>D87-H87</f>
        <v>-16795.019999999982</v>
      </c>
      <c r="M87" s="16"/>
      <c r="N87" s="31">
        <f>IF(H87=0,0,L87/H87)</f>
        <v>1.2355066306792208</v>
      </c>
      <c r="O87" s="29"/>
      <c r="P87" s="34">
        <f>+P83-P85</f>
        <v>-111078.52999999994</v>
      </c>
      <c r="Q87" s="14"/>
      <c r="R87" s="31">
        <f>IF(P$12=0,0,P87/P$12)</f>
        <v>-0.19950053801021361</v>
      </c>
      <c r="S87" s="14"/>
      <c r="T87" s="34">
        <f>+T83-T85</f>
        <v>-22750.910000000134</v>
      </c>
      <c r="U87" s="14"/>
      <c r="V87" s="31">
        <f>IF(T$12=0,0,T87/T$12)</f>
        <v>-4.3247471179137312E-2</v>
      </c>
      <c r="W87" s="16"/>
      <c r="X87" s="34">
        <f>P87-T87</f>
        <v>-88327.619999999806</v>
      </c>
      <c r="Y87" s="16"/>
      <c r="Z87" s="31">
        <f>IF(T87=0,0,X87/T87)</f>
        <v>3.8823774521546297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0">
        <f>SUM(D87:D89)</f>
        <v>-30388.649999999987</v>
      </c>
      <c r="E90" s="14"/>
      <c r="F90" s="33">
        <f>IF(D$12=0,0,D90/D$12)</f>
        <v>-0.60355751290685322</v>
      </c>
      <c r="G90" s="14"/>
      <c r="H90" s="30">
        <f>SUM(H87:H89)</f>
        <v>-13593.630000000005</v>
      </c>
      <c r="I90" s="14"/>
      <c r="J90" s="33">
        <f>IF(H$12=0,0,H90/H$12)</f>
        <v>-0.2638142870755622</v>
      </c>
      <c r="K90" s="16"/>
      <c r="L90" s="30">
        <f>+D90-H90</f>
        <v>-16795.019999999982</v>
      </c>
      <c r="M90" s="16"/>
      <c r="N90" s="33">
        <f>IF(H90=0,0,L90/H90)</f>
        <v>1.2355066306792208</v>
      </c>
      <c r="O90" s="29"/>
      <c r="P90" s="30">
        <f>SUM(P87:P89)</f>
        <v>-111078.52999999994</v>
      </c>
      <c r="Q90" s="14"/>
      <c r="R90" s="33">
        <f>IF(P$12=0,0,P90/P$12)</f>
        <v>-0.19950053801021361</v>
      </c>
      <c r="S90" s="14"/>
      <c r="T90" s="30">
        <f>SUM(T87:T89)</f>
        <v>-22750.910000000134</v>
      </c>
      <c r="U90" s="14"/>
      <c r="V90" s="33">
        <f>IF(T$12=0,0,T90/T$12)</f>
        <v>-4.3247471179137312E-2</v>
      </c>
      <c r="W90" s="16"/>
      <c r="X90" s="30">
        <f>+P90-T90</f>
        <v>-88327.619999999806</v>
      </c>
      <c r="Y90" s="16"/>
      <c r="Z90" s="33">
        <f>IF(T90=0,0,X90/T90)</f>
        <v>3.8823774521546297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1">
        <v>43879.554100266207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5" t="s">
        <v>313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8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","406", " - ", "OPA! Greek")</f>
        <v>Department 406 - OPA! Greek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13667.810000000001</v>
      </c>
      <c r="E12" s="4"/>
      <c r="F12" s="12"/>
      <c r="G12" s="4"/>
      <c r="H12" s="4">
        <f>SUM(OSRRefH13x_0)</f>
        <v>14408.93</v>
      </c>
      <c r="I12" s="4"/>
      <c r="J12" s="12"/>
      <c r="K12" s="4"/>
      <c r="L12" s="4">
        <f t="shared" ref="L12:L14" si="0">+D12-H12</f>
        <v>-741.11999999999898</v>
      </c>
      <c r="M12" s="4"/>
      <c r="N12" s="12">
        <f t="shared" ref="N12:N14" si="1">IF(H12=0,0,L12/H12)</f>
        <v>-5.1434769965569893E-2</v>
      </c>
      <c r="O12" s="10"/>
      <c r="P12" s="4">
        <f>SUM(OSRRefP13x_0)</f>
        <v>151545.38999999998</v>
      </c>
      <c r="Q12" s="4"/>
      <c r="R12" s="12"/>
      <c r="S12" s="4"/>
      <c r="T12" s="4">
        <f>SUM(OSRRefT13x_0)</f>
        <v>140465.99</v>
      </c>
      <c r="U12" s="4"/>
      <c r="V12" s="12"/>
      <c r="W12" s="4"/>
      <c r="X12" s="4">
        <f t="shared" ref="X12:X14" si="2">+P12-T12</f>
        <v>11079.399999999994</v>
      </c>
      <c r="Y12" s="4"/>
      <c r="Z12" s="12">
        <f t="shared" ref="Z12:Z14" si="3">IF(T12=0,0,X12/T12)</f>
        <v>7.8876032554214687E-2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--2379.2</f>
        <v>2379.1999999999998</v>
      </c>
      <c r="E13" s="2"/>
      <c r="F13" s="19"/>
      <c r="G13" s="2"/>
      <c r="H13" s="2">
        <f>--3039.62</f>
        <v>3039.62</v>
      </c>
      <c r="I13" s="2"/>
      <c r="J13" s="19"/>
      <c r="K13" s="2"/>
      <c r="L13" s="2">
        <f t="shared" si="0"/>
        <v>-660.42000000000007</v>
      </c>
      <c r="M13" s="2"/>
      <c r="N13" s="19">
        <f t="shared" si="1"/>
        <v>-0.217270579875116</v>
      </c>
      <c r="O13" s="11"/>
      <c r="P13" s="2">
        <f>--36450.63</f>
        <v>36450.629999999997</v>
      </c>
      <c r="Q13" s="2"/>
      <c r="R13" s="19"/>
      <c r="S13" s="2"/>
      <c r="T13" s="2">
        <f>--37684.14</f>
        <v>37684.14</v>
      </c>
      <c r="U13" s="2"/>
      <c r="V13" s="19"/>
      <c r="W13" s="2"/>
      <c r="X13" s="2">
        <f t="shared" si="2"/>
        <v>-1233.510000000002</v>
      </c>
      <c r="Y13" s="2"/>
      <c r="Z13" s="19">
        <f t="shared" si="3"/>
        <v>-3.2732868522407622E-2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--11288.61</f>
        <v>11288.61</v>
      </c>
      <c r="E14" s="2"/>
      <c r="F14" s="19"/>
      <c r="G14" s="2"/>
      <c r="H14" s="2">
        <f>--11369.31</f>
        <v>11369.31</v>
      </c>
      <c r="I14" s="2"/>
      <c r="J14" s="19"/>
      <c r="K14" s="2"/>
      <c r="L14" s="2">
        <f t="shared" si="0"/>
        <v>-80.699999999998909</v>
      </c>
      <c r="M14" s="2"/>
      <c r="N14" s="19">
        <f t="shared" si="1"/>
        <v>-7.0980560825590041E-3</v>
      </c>
      <c r="O14" s="11"/>
      <c r="P14" s="2">
        <f>--115094.76</f>
        <v>115094.76</v>
      </c>
      <c r="Q14" s="2"/>
      <c r="R14" s="19"/>
      <c r="S14" s="2"/>
      <c r="T14" s="2">
        <f>--102781.85</f>
        <v>102781.85</v>
      </c>
      <c r="U14" s="2"/>
      <c r="V14" s="19"/>
      <c r="W14" s="2"/>
      <c r="X14" s="2">
        <f t="shared" si="2"/>
        <v>12312.909999999989</v>
      </c>
      <c r="Y14" s="2"/>
      <c r="Z14" s="19">
        <f t="shared" si="3"/>
        <v>0.11979653995330876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4278.0200000000004</v>
      </c>
      <c r="E16" s="4"/>
      <c r="F16" s="12">
        <f t="shared" ref="F16:F18" si="4">IF(D$12=0,0,D16/D$12)</f>
        <v>0.31299966856431277</v>
      </c>
      <c r="G16" s="4"/>
      <c r="H16" s="4">
        <f>SUM(OSRRefH16x_0)</f>
        <v>5093.08</v>
      </c>
      <c r="I16" s="4"/>
      <c r="J16" s="12">
        <f t="shared" ref="J16:J18" si="5">IF(H$12=0,0,H16/H$12)</f>
        <v>0.35346691253271406</v>
      </c>
      <c r="K16" s="4"/>
      <c r="L16" s="4">
        <f t="shared" ref="L16:L18" si="6">+D16-H16</f>
        <v>-815.05999999999949</v>
      </c>
      <c r="M16" s="4"/>
      <c r="N16" s="12">
        <f t="shared" ref="N16:N18" si="7">IF(H16=0,0,L16/H16)</f>
        <v>-0.16003282885797976</v>
      </c>
      <c r="O16" s="10"/>
      <c r="P16" s="4">
        <f>SUM(OSRRefP16x_0)</f>
        <v>52698.559999999998</v>
      </c>
      <c r="Q16" s="4"/>
      <c r="R16" s="12">
        <f t="shared" ref="R16:R18" si="8">IF(P$12=0,0,P16/P$12)</f>
        <v>0.3477410959185232</v>
      </c>
      <c r="S16" s="4"/>
      <c r="T16" s="4">
        <f>SUM(OSRRefT16x_0)</f>
        <v>45431.97</v>
      </c>
      <c r="U16" s="4"/>
      <c r="V16" s="12">
        <f t="shared" ref="V16:V18" si="9">IF(T$12=0,0,T16/T$12)</f>
        <v>0.32343750967760954</v>
      </c>
      <c r="W16" s="4"/>
      <c r="X16" s="4">
        <f t="shared" ref="X16:X18" si="10">+P16-T16</f>
        <v>7266.5899999999965</v>
      </c>
      <c r="Y16" s="4"/>
      <c r="Z16" s="12">
        <f t="shared" ref="Z16:Z18" si="11">IF(T16=0,0,X16/T16)</f>
        <v>0.15994441799464112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6808.02</v>
      </c>
      <c r="E17" s="2"/>
      <c r="F17" s="19">
        <f t="shared" si="4"/>
        <v>0.49810613404781012</v>
      </c>
      <c r="G17" s="2"/>
      <c r="H17" s="2">
        <v>6547.08</v>
      </c>
      <c r="I17" s="2"/>
      <c r="J17" s="19">
        <f t="shared" si="5"/>
        <v>0.45437655676028682</v>
      </c>
      <c r="K17" s="2"/>
      <c r="L17" s="2">
        <f t="shared" si="6"/>
        <v>260.94000000000051</v>
      </c>
      <c r="M17" s="2"/>
      <c r="N17" s="19">
        <f t="shared" si="7"/>
        <v>3.985593577594905E-2</v>
      </c>
      <c r="O17" s="11"/>
      <c r="P17" s="2">
        <v>56061.18</v>
      </c>
      <c r="Q17" s="2"/>
      <c r="R17" s="19">
        <f t="shared" si="8"/>
        <v>0.36992995959824315</v>
      </c>
      <c r="S17" s="2"/>
      <c r="T17" s="2">
        <v>50562.97</v>
      </c>
      <c r="U17" s="2"/>
      <c r="V17" s="19">
        <f t="shared" si="9"/>
        <v>0.35996592484771583</v>
      </c>
      <c r="W17" s="2"/>
      <c r="X17" s="2">
        <f t="shared" si="10"/>
        <v>5498.2099999999991</v>
      </c>
      <c r="Y17" s="2"/>
      <c r="Z17" s="19">
        <f t="shared" si="11"/>
        <v>0.10873985448244039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-2530</v>
      </c>
      <c r="E18" s="2"/>
      <c r="F18" s="19">
        <f t="shared" si="4"/>
        <v>-0.18510646548349735</v>
      </c>
      <c r="G18" s="2"/>
      <c r="H18" s="2">
        <v>-1454</v>
      </c>
      <c r="I18" s="2"/>
      <c r="J18" s="19">
        <f t="shared" si="5"/>
        <v>-0.10090964422757276</v>
      </c>
      <c r="K18" s="2"/>
      <c r="L18" s="2">
        <f t="shared" si="6"/>
        <v>-1076</v>
      </c>
      <c r="M18" s="2"/>
      <c r="N18" s="19">
        <f t="shared" si="7"/>
        <v>0.7400275103163686</v>
      </c>
      <c r="O18" s="11"/>
      <c r="P18" s="2">
        <v>-3362.62</v>
      </c>
      <c r="Q18" s="2"/>
      <c r="R18" s="19">
        <f t="shared" si="8"/>
        <v>-2.2188863679719985E-2</v>
      </c>
      <c r="S18" s="2"/>
      <c r="T18" s="2">
        <v>-5131</v>
      </c>
      <c r="U18" s="2"/>
      <c r="V18" s="19">
        <f t="shared" si="9"/>
        <v>-3.6528415170106306E-2</v>
      </c>
      <c r="W18" s="2"/>
      <c r="X18" s="2">
        <f t="shared" si="10"/>
        <v>1768.38</v>
      </c>
      <c r="Y18" s="2"/>
      <c r="Z18" s="19">
        <f t="shared" si="11"/>
        <v>-0.34464626778405771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9389.7900000000009</v>
      </c>
      <c r="E20" s="14"/>
      <c r="F20" s="22">
        <f>IF(D$12=0,0,D20/D$12)</f>
        <v>0.68700033143568717</v>
      </c>
      <c r="G20" s="14"/>
      <c r="H20" s="21">
        <f>H12-H16</f>
        <v>9315.85</v>
      </c>
      <c r="I20" s="14"/>
      <c r="J20" s="22">
        <f>IF(H$12=0,0,H20/H$12)</f>
        <v>0.64653308746728588</v>
      </c>
      <c r="K20" s="16"/>
      <c r="L20" s="21">
        <f>+D20-H20</f>
        <v>73.940000000000509</v>
      </c>
      <c r="M20" s="16"/>
      <c r="N20" s="22">
        <f>IF(H20=0,0,L20/H20)</f>
        <v>7.9370105787448814E-3</v>
      </c>
      <c r="O20" s="29"/>
      <c r="P20" s="21">
        <f>P12-P16</f>
        <v>98846.829999999987</v>
      </c>
      <c r="Q20" s="14"/>
      <c r="R20" s="22">
        <f>IF(P$12=0,0,P20/P$12)</f>
        <v>0.6522589040814768</v>
      </c>
      <c r="S20" s="14"/>
      <c r="T20" s="21">
        <f>T12-T16</f>
        <v>95034.01999999999</v>
      </c>
      <c r="U20" s="14"/>
      <c r="V20" s="22">
        <f>IF(T$12=0,0,T20/T$12)</f>
        <v>0.67656249032239046</v>
      </c>
      <c r="W20" s="16"/>
      <c r="X20" s="21">
        <f>+P20-T20</f>
        <v>3812.8099999999977</v>
      </c>
      <c r="Y20" s="16"/>
      <c r="Z20" s="22">
        <f>IF(T20=0,0,X20/T20)</f>
        <v>4.0120474752094022E-2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17521.63</v>
      </c>
      <c r="E22" s="20"/>
      <c r="F22" s="32">
        <f t="shared" ref="F22:F31" si="12">IF(D$12=0,0,D22/D$12)</f>
        <v>1.28196324063621</v>
      </c>
      <c r="G22" s="20"/>
      <c r="H22" s="20">
        <f>SUM(OSRRefH22x_0)</f>
        <v>16481.02</v>
      </c>
      <c r="I22" s="20"/>
      <c r="J22" s="32">
        <f t="shared" ref="J22:J31" si="13">IF(H$12=0,0,H22/H$12)</f>
        <v>1.1438059592211218</v>
      </c>
      <c r="K22" s="4"/>
      <c r="L22" s="20">
        <f t="shared" ref="L22:L31" si="14">+D22-H22</f>
        <v>1040.6100000000006</v>
      </c>
      <c r="M22" s="4"/>
      <c r="N22" s="32">
        <f t="shared" ref="N22:N31" si="15">IF(H22=0,0,L22/H22)</f>
        <v>6.3139902748737667E-2</v>
      </c>
      <c r="O22" s="10"/>
      <c r="P22" s="20">
        <f>SUM(OSRRefP22x_0)</f>
        <v>144750.01000000004</v>
      </c>
      <c r="Q22" s="20"/>
      <c r="R22" s="32">
        <f t="shared" ref="R22:R31" si="16">IF(P$12=0,0,P22/P$12)</f>
        <v>0.95515944100972028</v>
      </c>
      <c r="S22" s="20"/>
      <c r="T22" s="20">
        <f>SUM(OSRRefT22x_0)</f>
        <v>120190.99000000002</v>
      </c>
      <c r="U22" s="20"/>
      <c r="V22" s="32">
        <f t="shared" ref="V22:V31" si="17">IF(T$12=0,0,T22/T$12)</f>
        <v>0.85565901041241388</v>
      </c>
      <c r="W22" s="4"/>
      <c r="X22" s="20">
        <f t="shared" ref="X22:X31" si="18">+P22-T22</f>
        <v>24559.020000000019</v>
      </c>
      <c r="Y22" s="4"/>
      <c r="Z22" s="32">
        <f t="shared" ref="Z22:Z31" si="19">IF(T22=0,0,X22/T22)</f>
        <v>0.2043332865466872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1983.5</v>
      </c>
      <c r="E23" s="1"/>
      <c r="F23" s="5">
        <f t="shared" si="12"/>
        <v>0.14512200564684466</v>
      </c>
      <c r="G23" s="1"/>
      <c r="H23" s="1">
        <f>SUM(OSRRefH22_0x_0)</f>
        <v>1830.9899999999998</v>
      </c>
      <c r="I23" s="1"/>
      <c r="J23" s="5">
        <f t="shared" si="13"/>
        <v>0.12707328025051129</v>
      </c>
      <c r="K23" s="1"/>
      <c r="L23" s="1">
        <f t="shared" si="14"/>
        <v>152.51000000000022</v>
      </c>
      <c r="M23" s="1"/>
      <c r="N23" s="5">
        <f t="shared" si="15"/>
        <v>8.3293737267816997E-2</v>
      </c>
      <c r="O23" s="13"/>
      <c r="P23" s="1">
        <f>SUM(OSRRefP22_0x_0)</f>
        <v>15150.93</v>
      </c>
      <c r="Q23" s="1"/>
      <c r="R23" s="5">
        <f t="shared" si="16"/>
        <v>9.9976185352784422E-2</v>
      </c>
      <c r="S23" s="1"/>
      <c r="T23" s="1">
        <f>SUM(OSRRefT22_0x_0)</f>
        <v>13713.31</v>
      </c>
      <c r="U23" s="1"/>
      <c r="V23" s="5">
        <f t="shared" si="17"/>
        <v>9.7627261944332577E-2</v>
      </c>
      <c r="W23" s="1"/>
      <c r="X23" s="1">
        <f t="shared" si="18"/>
        <v>1437.6200000000008</v>
      </c>
      <c r="Y23" s="1"/>
      <c r="Z23" s="5">
        <f t="shared" si="19"/>
        <v>0.10483391682970784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512.78</v>
      </c>
      <c r="E24" s="2"/>
      <c r="F24" s="7">
        <f t="shared" si="12"/>
        <v>3.7517349158350893E-2</v>
      </c>
      <c r="G24" s="2"/>
      <c r="H24" s="6">
        <v>442.04</v>
      </c>
      <c r="I24" s="2"/>
      <c r="J24" s="7">
        <f t="shared" si="13"/>
        <v>3.0678197478924529E-2</v>
      </c>
      <c r="K24" s="2"/>
      <c r="L24" s="6">
        <f t="shared" si="14"/>
        <v>70.739999999999952</v>
      </c>
      <c r="M24" s="2"/>
      <c r="N24" s="7">
        <f t="shared" si="15"/>
        <v>0.16003076644647532</v>
      </c>
      <c r="O24" s="11"/>
      <c r="P24" s="6">
        <v>5057.6499999999996</v>
      </c>
      <c r="Q24" s="2"/>
      <c r="R24" s="7">
        <f t="shared" si="16"/>
        <v>3.3373829451361074E-2</v>
      </c>
      <c r="S24" s="2"/>
      <c r="T24" s="6">
        <v>3842.16</v>
      </c>
      <c r="U24" s="2"/>
      <c r="V24" s="7">
        <f t="shared" si="17"/>
        <v>2.7352955686995833E-2</v>
      </c>
      <c r="W24" s="2"/>
      <c r="X24" s="6">
        <f t="shared" si="18"/>
        <v>1215.4899999999998</v>
      </c>
      <c r="Y24" s="2"/>
      <c r="Z24" s="7">
        <f t="shared" si="19"/>
        <v>0.31635590397068314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379.71</v>
      </c>
      <c r="E25" s="2"/>
      <c r="F25" s="7">
        <f t="shared" si="12"/>
        <v>2.7781334390805837E-2</v>
      </c>
      <c r="G25" s="2"/>
      <c r="H25" s="6">
        <v>369.16</v>
      </c>
      <c r="I25" s="2"/>
      <c r="J25" s="7">
        <f t="shared" si="13"/>
        <v>2.562022301447783E-2</v>
      </c>
      <c r="K25" s="2"/>
      <c r="L25" s="6">
        <f t="shared" si="14"/>
        <v>10.549999999999955</v>
      </c>
      <c r="M25" s="2"/>
      <c r="N25" s="7">
        <f t="shared" si="15"/>
        <v>2.8578394192220049E-2</v>
      </c>
      <c r="O25" s="11"/>
      <c r="P25" s="6">
        <v>2919.31</v>
      </c>
      <c r="Q25" s="2"/>
      <c r="R25" s="7">
        <f t="shared" si="16"/>
        <v>1.9263601485997036E-2</v>
      </c>
      <c r="S25" s="2"/>
      <c r="T25" s="6">
        <v>2869.52</v>
      </c>
      <c r="U25" s="2"/>
      <c r="V25" s="7">
        <f t="shared" si="17"/>
        <v>2.0428574916960329E-2</v>
      </c>
      <c r="W25" s="2"/>
      <c r="X25" s="6">
        <f t="shared" si="18"/>
        <v>49.789999999999964</v>
      </c>
      <c r="Y25" s="2"/>
      <c r="Z25" s="7">
        <f t="shared" si="19"/>
        <v>1.7351334021020924E-2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36.049999999999997</v>
      </c>
      <c r="E26" s="2"/>
      <c r="F26" s="7">
        <f t="shared" si="12"/>
        <v>2.6375842216126793E-3</v>
      </c>
      <c r="G26" s="2"/>
      <c r="H26" s="6">
        <v>34.97</v>
      </c>
      <c r="I26" s="2"/>
      <c r="J26" s="7">
        <f t="shared" si="13"/>
        <v>2.4269671655008387E-3</v>
      </c>
      <c r="K26" s="2"/>
      <c r="L26" s="6">
        <f t="shared" si="14"/>
        <v>1.0799999999999983</v>
      </c>
      <c r="M26" s="2"/>
      <c r="N26" s="7">
        <f t="shared" si="15"/>
        <v>3.0883614526737154E-2</v>
      </c>
      <c r="O26" s="11"/>
      <c r="P26" s="6">
        <v>245.87</v>
      </c>
      <c r="Q26" s="2"/>
      <c r="R26" s="7">
        <f t="shared" si="16"/>
        <v>1.6224182075086548E-3</v>
      </c>
      <c r="S26" s="2"/>
      <c r="T26" s="6">
        <v>224.39</v>
      </c>
      <c r="U26" s="2"/>
      <c r="V26" s="7">
        <f t="shared" si="17"/>
        <v>1.5974685402494939E-3</v>
      </c>
      <c r="W26" s="2"/>
      <c r="X26" s="6">
        <f t="shared" si="18"/>
        <v>21.480000000000018</v>
      </c>
      <c r="Y26" s="2"/>
      <c r="Z26" s="7">
        <f t="shared" si="19"/>
        <v>9.5726191006729439E-2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25.44</v>
      </c>
      <c r="E27" s="2"/>
      <c r="F27" s="7">
        <f t="shared" si="12"/>
        <v>1.8613077003557994E-3</v>
      </c>
      <c r="G27" s="2"/>
      <c r="H27" s="6">
        <v>27.42</v>
      </c>
      <c r="I27" s="2"/>
      <c r="J27" s="7">
        <f t="shared" si="13"/>
        <v>1.9029865507015442E-3</v>
      </c>
      <c r="K27" s="2"/>
      <c r="L27" s="6">
        <f t="shared" si="14"/>
        <v>-1.9800000000000004</v>
      </c>
      <c r="M27" s="2"/>
      <c r="N27" s="7">
        <f t="shared" si="15"/>
        <v>-7.2210065645514229E-2</v>
      </c>
      <c r="O27" s="11"/>
      <c r="P27" s="6">
        <v>246.12</v>
      </c>
      <c r="Q27" s="2"/>
      <c r="R27" s="7">
        <f t="shared" si="16"/>
        <v>1.6240678782772609E-3</v>
      </c>
      <c r="S27" s="2"/>
      <c r="T27" s="6">
        <v>213.15</v>
      </c>
      <c r="U27" s="2"/>
      <c r="V27" s="7">
        <f t="shared" si="17"/>
        <v>1.5174491704362033E-3</v>
      </c>
      <c r="W27" s="2"/>
      <c r="X27" s="6">
        <f t="shared" si="18"/>
        <v>32.97</v>
      </c>
      <c r="Y27" s="2"/>
      <c r="Z27" s="7">
        <f t="shared" si="19"/>
        <v>0.15467980295566502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473.18</v>
      </c>
      <c r="E28" s="2"/>
      <c r="F28" s="7">
        <f t="shared" si="12"/>
        <v>3.4620030568174413E-2</v>
      </c>
      <c r="G28" s="2"/>
      <c r="H28" s="6">
        <v>449.99</v>
      </c>
      <c r="I28" s="2"/>
      <c r="J28" s="7">
        <f t="shared" si="13"/>
        <v>3.1229938656097297E-2</v>
      </c>
      <c r="K28" s="2"/>
      <c r="L28" s="6">
        <f t="shared" si="14"/>
        <v>23.189999999999998</v>
      </c>
      <c r="M28" s="2"/>
      <c r="N28" s="7">
        <f t="shared" si="15"/>
        <v>5.1534478543967636E-2</v>
      </c>
      <c r="O28" s="11"/>
      <c r="P28" s="6">
        <v>2365.88</v>
      </c>
      <c r="Q28" s="2"/>
      <c r="R28" s="7">
        <f t="shared" si="16"/>
        <v>1.5611692312118503E-2</v>
      </c>
      <c r="S28" s="2"/>
      <c r="T28" s="6">
        <v>2280.2399999999998</v>
      </c>
      <c r="U28" s="2"/>
      <c r="V28" s="7">
        <f t="shared" si="17"/>
        <v>1.6233395713795205E-2</v>
      </c>
      <c r="W28" s="2"/>
      <c r="X28" s="6">
        <f t="shared" si="18"/>
        <v>85.640000000000327</v>
      </c>
      <c r="Y28" s="2"/>
      <c r="Z28" s="7">
        <f t="shared" si="19"/>
        <v>3.7557450092972816E-2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173.88</v>
      </c>
      <c r="E29" s="2"/>
      <c r="F29" s="7">
        <f t="shared" si="12"/>
        <v>1.2721862536865816E-2</v>
      </c>
      <c r="G29" s="2"/>
      <c r="H29" s="6">
        <v>168.8</v>
      </c>
      <c r="I29" s="2"/>
      <c r="J29" s="7">
        <f t="shared" si="13"/>
        <v>1.1714957321605421E-2</v>
      </c>
      <c r="K29" s="2"/>
      <c r="L29" s="6">
        <f t="shared" si="14"/>
        <v>5.0799999999999841</v>
      </c>
      <c r="M29" s="2"/>
      <c r="N29" s="7">
        <f t="shared" si="15"/>
        <v>3.0094786729857725E-2</v>
      </c>
      <c r="O29" s="11"/>
      <c r="P29" s="6">
        <v>1374.05</v>
      </c>
      <c r="Q29" s="2"/>
      <c r="R29" s="7">
        <f t="shared" si="16"/>
        <v>9.0669204784124425E-3</v>
      </c>
      <c r="S29" s="2"/>
      <c r="T29" s="6">
        <v>1317.47</v>
      </c>
      <c r="U29" s="2"/>
      <c r="V29" s="7">
        <f t="shared" si="17"/>
        <v>9.379281062981866E-3</v>
      </c>
      <c r="W29" s="2"/>
      <c r="X29" s="6">
        <f t="shared" si="18"/>
        <v>56.579999999999927</v>
      </c>
      <c r="Y29" s="2"/>
      <c r="Z29" s="7">
        <f t="shared" si="19"/>
        <v>4.2945949433383625E-2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208.3</v>
      </c>
      <c r="E30" s="2"/>
      <c r="F30" s="7">
        <f t="shared" si="12"/>
        <v>1.5240188442771738E-2</v>
      </c>
      <c r="G30" s="2"/>
      <c r="H30" s="6">
        <v>202.24</v>
      </c>
      <c r="I30" s="2"/>
      <c r="J30" s="7">
        <f t="shared" si="13"/>
        <v>1.4035740336027728E-2</v>
      </c>
      <c r="K30" s="2"/>
      <c r="L30" s="6">
        <f t="shared" si="14"/>
        <v>6.0600000000000023</v>
      </c>
      <c r="M30" s="2"/>
      <c r="N30" s="7">
        <f t="shared" si="15"/>
        <v>2.9964398734177226E-2</v>
      </c>
      <c r="O30" s="11"/>
      <c r="P30" s="6">
        <v>1684.08</v>
      </c>
      <c r="Q30" s="2"/>
      <c r="R30" s="7">
        <f t="shared" si="16"/>
        <v>1.1112710191976146E-2</v>
      </c>
      <c r="S30" s="2"/>
      <c r="T30" s="6">
        <v>1934.93</v>
      </c>
      <c r="U30" s="2"/>
      <c r="V30" s="7">
        <f t="shared" si="17"/>
        <v>1.3775078223561448E-2</v>
      </c>
      <c r="W30" s="2"/>
      <c r="X30" s="6">
        <f t="shared" si="18"/>
        <v>-250.85000000000014</v>
      </c>
      <c r="Y30" s="2"/>
      <c r="Z30" s="7">
        <f t="shared" si="19"/>
        <v>-0.12964293281927519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174.16</v>
      </c>
      <c r="E31" s="2"/>
      <c r="F31" s="7">
        <f t="shared" si="12"/>
        <v>1.2742348627907468E-2</v>
      </c>
      <c r="G31" s="2"/>
      <c r="H31" s="6">
        <v>136.37</v>
      </c>
      <c r="I31" s="2"/>
      <c r="J31" s="7">
        <f t="shared" si="13"/>
        <v>9.4642697271761327E-3</v>
      </c>
      <c r="K31" s="2"/>
      <c r="L31" s="6">
        <f t="shared" si="14"/>
        <v>37.789999999999992</v>
      </c>
      <c r="M31" s="2"/>
      <c r="N31" s="7">
        <f t="shared" si="15"/>
        <v>0.27711373469238093</v>
      </c>
      <c r="O31" s="11"/>
      <c r="P31" s="6">
        <v>1257.97</v>
      </c>
      <c r="Q31" s="2"/>
      <c r="R31" s="7">
        <f t="shared" si="16"/>
        <v>8.3009453471332914E-3</v>
      </c>
      <c r="S31" s="2"/>
      <c r="T31" s="6">
        <v>1031.45</v>
      </c>
      <c r="U31" s="2"/>
      <c r="V31" s="7">
        <f t="shared" si="17"/>
        <v>7.3430586293522018E-3</v>
      </c>
      <c r="W31" s="2"/>
      <c r="X31" s="6">
        <f t="shared" si="18"/>
        <v>226.51999999999998</v>
      </c>
      <c r="Y31" s="2"/>
      <c r="Z31" s="7">
        <f t="shared" si="19"/>
        <v>0.21961316593145569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9911.6</v>
      </c>
      <c r="E32" s="1"/>
      <c r="F32" s="5">
        <f t="shared" ref="F32:F37" si="20">IF(D$12=0,0,D32/D$12)</f>
        <v>0.72517835703013134</v>
      </c>
      <c r="G32" s="1"/>
      <c r="H32" s="1">
        <f>SUM(OSRRefH22_1x_0)</f>
        <v>10840.59</v>
      </c>
      <c r="I32" s="1"/>
      <c r="J32" s="5">
        <f t="shared" ref="J32:J37" si="21">IF(H$12=0,0,H32/H$12)</f>
        <v>0.75235218715060725</v>
      </c>
      <c r="K32" s="1"/>
      <c r="L32" s="1">
        <f t="shared" ref="L32:L37" si="22">+D32-H32</f>
        <v>-928.98999999999978</v>
      </c>
      <c r="M32" s="1"/>
      <c r="N32" s="5">
        <f t="shared" ref="N32:N37" si="23">IF(H32=0,0,L32/H32)</f>
        <v>-8.5695520262273533E-2</v>
      </c>
      <c r="O32" s="13"/>
      <c r="P32" s="1">
        <f>SUM(OSRRefP22_1x_0)</f>
        <v>86164.36</v>
      </c>
      <c r="Q32" s="1"/>
      <c r="R32" s="5">
        <f t="shared" ref="R32:R37" si="24">IF(P$12=0,0,P32/P$12)</f>
        <v>0.56857130395058542</v>
      </c>
      <c r="S32" s="1"/>
      <c r="T32" s="1">
        <f>SUM(OSRRefT22_1x_0)</f>
        <v>73163.430000000008</v>
      </c>
      <c r="U32" s="1"/>
      <c r="V32" s="5">
        <f t="shared" ref="V32:V37" si="25">IF(T$12=0,0,T32/T$12)</f>
        <v>0.52086223861021452</v>
      </c>
      <c r="W32" s="1"/>
      <c r="X32" s="1">
        <f t="shared" ref="X32:X37" si="26">+P32-T32</f>
        <v>13000.929999999993</v>
      </c>
      <c r="Y32" s="1"/>
      <c r="Z32" s="5">
        <f t="shared" ref="Z32:Z37" si="27">IF(T32=0,0,X32/T32)</f>
        <v>0.17769710906117978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5096.97</v>
      </c>
      <c r="E33" s="2"/>
      <c r="F33" s="7">
        <f t="shared" si="20"/>
        <v>0.37291782663060136</v>
      </c>
      <c r="G33" s="2"/>
      <c r="H33" s="6">
        <v>5390.63</v>
      </c>
      <c r="I33" s="2"/>
      <c r="J33" s="7">
        <f t="shared" si="21"/>
        <v>0.37411730086828099</v>
      </c>
      <c r="K33" s="2"/>
      <c r="L33" s="6">
        <f t="shared" si="22"/>
        <v>-293.65999999999985</v>
      </c>
      <c r="M33" s="2"/>
      <c r="N33" s="7">
        <f t="shared" si="23"/>
        <v>-5.4476007442543793E-2</v>
      </c>
      <c r="O33" s="11"/>
      <c r="P33" s="6">
        <v>32074.28</v>
      </c>
      <c r="Q33" s="2"/>
      <c r="R33" s="7">
        <f t="shared" si="24"/>
        <v>0.21164800856033958</v>
      </c>
      <c r="S33" s="2"/>
      <c r="T33" s="6">
        <v>32061.47</v>
      </c>
      <c r="U33" s="2"/>
      <c r="V33" s="7">
        <f t="shared" si="25"/>
        <v>0.22825076732097216</v>
      </c>
      <c r="W33" s="2"/>
      <c r="X33" s="6">
        <f t="shared" si="26"/>
        <v>12.809999999997672</v>
      </c>
      <c r="Y33" s="2"/>
      <c r="Z33" s="7">
        <f t="shared" si="27"/>
        <v>3.9954499902835618E-4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1989.13</v>
      </c>
      <c r="E34" s="2"/>
      <c r="F34" s="7">
        <f t="shared" si="20"/>
        <v>0.1455339224060036</v>
      </c>
      <c r="G34" s="2"/>
      <c r="H34" s="6">
        <v>1264.25</v>
      </c>
      <c r="I34" s="2"/>
      <c r="J34" s="7">
        <f t="shared" si="21"/>
        <v>8.7740727451656716E-2</v>
      </c>
      <c r="K34" s="2"/>
      <c r="L34" s="6">
        <f t="shared" si="22"/>
        <v>724.88000000000011</v>
      </c>
      <c r="M34" s="2"/>
      <c r="N34" s="7">
        <f t="shared" si="23"/>
        <v>0.57336760925449881</v>
      </c>
      <c r="O34" s="11"/>
      <c r="P34" s="6">
        <v>27499.08</v>
      </c>
      <c r="Q34" s="2"/>
      <c r="R34" s="7">
        <f t="shared" si="24"/>
        <v>0.18145771375823444</v>
      </c>
      <c r="S34" s="2"/>
      <c r="T34" s="6">
        <v>13132.25</v>
      </c>
      <c r="U34" s="2"/>
      <c r="V34" s="7">
        <f t="shared" si="25"/>
        <v>9.3490602244714185E-2</v>
      </c>
      <c r="W34" s="2"/>
      <c r="X34" s="6">
        <f t="shared" si="26"/>
        <v>14366.830000000002</v>
      </c>
      <c r="Y34" s="2"/>
      <c r="Z34" s="7">
        <f t="shared" si="27"/>
        <v>1.094011308039369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68.25</v>
      </c>
      <c r="E35" s="2"/>
      <c r="F35" s="7">
        <f t="shared" si="20"/>
        <v>4.9934846914026455E-3</v>
      </c>
      <c r="G35" s="2"/>
      <c r="H35" s="6"/>
      <c r="I35" s="2"/>
      <c r="J35" s="7">
        <f t="shared" si="21"/>
        <v>0</v>
      </c>
      <c r="K35" s="2"/>
      <c r="L35" s="6">
        <f t="shared" si="22"/>
        <v>68.25</v>
      </c>
      <c r="M35" s="2"/>
      <c r="N35" s="7">
        <f t="shared" si="23"/>
        <v>0</v>
      </c>
      <c r="O35" s="11"/>
      <c r="P35" s="6">
        <v>178.75</v>
      </c>
      <c r="Q35" s="2"/>
      <c r="R35" s="7">
        <f t="shared" si="24"/>
        <v>1.1795145995533089E-3</v>
      </c>
      <c r="S35" s="2"/>
      <c r="T35" s="6"/>
      <c r="U35" s="2"/>
      <c r="V35" s="7">
        <f t="shared" si="25"/>
        <v>0</v>
      </c>
      <c r="W35" s="2"/>
      <c r="X35" s="6">
        <f t="shared" si="26"/>
        <v>178.75</v>
      </c>
      <c r="Y35" s="2"/>
      <c r="Z35" s="7">
        <f t="shared" si="27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2692.25</v>
      </c>
      <c r="E36" s="2"/>
      <c r="F36" s="7">
        <f t="shared" si="20"/>
        <v>0.19697742359602596</v>
      </c>
      <c r="G36" s="2"/>
      <c r="H36" s="6">
        <v>3749.02</v>
      </c>
      <c r="I36" s="2"/>
      <c r="J36" s="7">
        <f t="shared" si="21"/>
        <v>0.26018725887349026</v>
      </c>
      <c r="K36" s="2"/>
      <c r="L36" s="6">
        <f t="shared" si="22"/>
        <v>-1056.77</v>
      </c>
      <c r="M36" s="2"/>
      <c r="N36" s="7">
        <f t="shared" si="23"/>
        <v>-0.2818789977114019</v>
      </c>
      <c r="O36" s="11"/>
      <c r="P36" s="6">
        <v>24715.25</v>
      </c>
      <c r="Q36" s="2"/>
      <c r="R36" s="7">
        <f t="shared" si="24"/>
        <v>0.16308810185516037</v>
      </c>
      <c r="S36" s="2"/>
      <c r="T36" s="6">
        <v>22313.27</v>
      </c>
      <c r="U36" s="2"/>
      <c r="V36" s="7">
        <f t="shared" si="25"/>
        <v>0.15885176191048098</v>
      </c>
      <c r="W36" s="2"/>
      <c r="X36" s="6">
        <f t="shared" si="26"/>
        <v>2401.9799999999996</v>
      </c>
      <c r="Y36" s="2"/>
      <c r="Z36" s="7">
        <f t="shared" si="27"/>
        <v>0.10764804979279144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65</v>
      </c>
      <c r="E37" s="2"/>
      <c r="F37" s="7">
        <f t="shared" si="20"/>
        <v>4.7556997060977579E-3</v>
      </c>
      <c r="G37" s="2"/>
      <c r="H37" s="6">
        <v>436.69</v>
      </c>
      <c r="I37" s="2"/>
      <c r="J37" s="7">
        <f t="shared" si="21"/>
        <v>3.0306899957179331E-2</v>
      </c>
      <c r="K37" s="2"/>
      <c r="L37" s="6">
        <f t="shared" si="22"/>
        <v>-371.69</v>
      </c>
      <c r="M37" s="2"/>
      <c r="N37" s="7">
        <f t="shared" si="23"/>
        <v>-0.85115299182486437</v>
      </c>
      <c r="O37" s="11"/>
      <c r="P37" s="6">
        <v>1697</v>
      </c>
      <c r="Q37" s="2"/>
      <c r="R37" s="7">
        <f t="shared" si="24"/>
        <v>1.1197965177297707E-2</v>
      </c>
      <c r="S37" s="2"/>
      <c r="T37" s="6">
        <v>5656.44</v>
      </c>
      <c r="U37" s="2"/>
      <c r="V37" s="7">
        <f t="shared" si="25"/>
        <v>4.0269107134047182E-2</v>
      </c>
      <c r="W37" s="2"/>
      <c r="X37" s="6">
        <f t="shared" si="26"/>
        <v>-3959.4399999999996</v>
      </c>
      <c r="Y37" s="2"/>
      <c r="Z37" s="7">
        <f t="shared" si="27"/>
        <v>-0.6999879783043752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692</v>
      </c>
      <c r="E38" s="1"/>
      <c r="F38" s="5">
        <f t="shared" ref="F38:F55" si="28">IF(D$12=0,0,D38/D$12)</f>
        <v>5.0629910717225356E-2</v>
      </c>
      <c r="G38" s="1"/>
      <c r="H38" s="1">
        <f>SUM(OSRRefH22_2x_0)</f>
        <v>69.099999999999994</v>
      </c>
      <c r="I38" s="1"/>
      <c r="J38" s="5">
        <f t="shared" ref="J38:J55" si="29">IF(H$12=0,0,H38/H$12)</f>
        <v>4.795637150017385E-3</v>
      </c>
      <c r="K38" s="1"/>
      <c r="L38" s="1">
        <f t="shared" ref="L38:L55" si="30">+D38-H38</f>
        <v>622.9</v>
      </c>
      <c r="M38" s="1"/>
      <c r="N38" s="5">
        <f t="shared" ref="N38:N55" si="31">IF(H38=0,0,L38/H38)</f>
        <v>9.0144717800289431</v>
      </c>
      <c r="O38" s="13"/>
      <c r="P38" s="1">
        <f>SUM(OSRRefP22_2x_0)</f>
        <v>3116.71</v>
      </c>
      <c r="Q38" s="1"/>
      <c r="R38" s="5">
        <f t="shared" ref="R38:R55" si="32">IF(P$12=0,0,P38/P$12)</f>
        <v>2.0566181524888354E-2</v>
      </c>
      <c r="S38" s="1"/>
      <c r="T38" s="1">
        <f>SUM(OSRRefT22_2x_0)</f>
        <v>1033.53</v>
      </c>
      <c r="U38" s="1"/>
      <c r="V38" s="5">
        <f t="shared" ref="V38:V55" si="33">IF(T$12=0,0,T38/T$12)</f>
        <v>7.3578664842642695E-3</v>
      </c>
      <c r="W38" s="1"/>
      <c r="X38" s="1">
        <f t="shared" ref="X38:X55" si="34">+P38-T38</f>
        <v>2083.1800000000003</v>
      </c>
      <c r="Y38" s="1"/>
      <c r="Z38" s="5">
        <f t="shared" ref="Z38:Z55" si="35">IF(T38=0,0,X38/T38)</f>
        <v>2.0155970315327085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692</v>
      </c>
      <c r="E39" s="2"/>
      <c r="F39" s="7">
        <f t="shared" si="28"/>
        <v>5.0629910717225356E-2</v>
      </c>
      <c r="G39" s="2"/>
      <c r="H39" s="6">
        <v>69.099999999999994</v>
      </c>
      <c r="I39" s="2"/>
      <c r="J39" s="7">
        <f t="shared" si="29"/>
        <v>4.795637150017385E-3</v>
      </c>
      <c r="K39" s="2"/>
      <c r="L39" s="6">
        <f t="shared" si="30"/>
        <v>622.9</v>
      </c>
      <c r="M39" s="2"/>
      <c r="N39" s="7">
        <f t="shared" si="31"/>
        <v>9.0144717800289431</v>
      </c>
      <c r="O39" s="11"/>
      <c r="P39" s="6">
        <v>3116.71</v>
      </c>
      <c r="Q39" s="2"/>
      <c r="R39" s="7">
        <f t="shared" si="32"/>
        <v>2.0566181524888354E-2</v>
      </c>
      <c r="S39" s="2"/>
      <c r="T39" s="6">
        <v>1033.53</v>
      </c>
      <c r="U39" s="2"/>
      <c r="V39" s="7">
        <f t="shared" si="33"/>
        <v>7.3578664842642695E-3</v>
      </c>
      <c r="W39" s="2"/>
      <c r="X39" s="6">
        <f t="shared" si="34"/>
        <v>2083.1800000000003</v>
      </c>
      <c r="Y39" s="2"/>
      <c r="Z39" s="7">
        <f t="shared" si="35"/>
        <v>2.0155970315327085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-11.55</v>
      </c>
      <c r="E40" s="1"/>
      <c r="F40" s="5">
        <f t="shared" si="28"/>
        <v>-8.4505125546814012E-4</v>
      </c>
      <c r="G40" s="1"/>
      <c r="H40" s="1">
        <f>SUM(OSRRefH22_3x_0)</f>
        <v>10.220000000000001</v>
      </c>
      <c r="I40" s="1"/>
      <c r="J40" s="5">
        <f t="shared" si="29"/>
        <v>7.0928236864222394E-4</v>
      </c>
      <c r="K40" s="1"/>
      <c r="L40" s="1">
        <f t="shared" si="30"/>
        <v>-21.770000000000003</v>
      </c>
      <c r="M40" s="1"/>
      <c r="N40" s="5">
        <f t="shared" si="31"/>
        <v>-2.1301369863013702</v>
      </c>
      <c r="O40" s="13"/>
      <c r="P40" s="1">
        <f>SUM(OSRRefP22_3x_0)</f>
        <v>-20.98</v>
      </c>
      <c r="Q40" s="1"/>
      <c r="R40" s="5">
        <f t="shared" si="32"/>
        <v>-1.3844037090141774E-4</v>
      </c>
      <c r="S40" s="1"/>
      <c r="T40" s="1">
        <f>SUM(OSRRefT22_3x_0)</f>
        <v>-24.15</v>
      </c>
      <c r="U40" s="1"/>
      <c r="V40" s="5">
        <f t="shared" si="33"/>
        <v>-1.7192773852232844E-4</v>
      </c>
      <c r="W40" s="1"/>
      <c r="X40" s="1">
        <f t="shared" si="34"/>
        <v>3.1699999999999982</v>
      </c>
      <c r="Y40" s="1"/>
      <c r="Z40" s="5">
        <f t="shared" si="35"/>
        <v>-0.13126293995859206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-11.55</v>
      </c>
      <c r="E41" s="2"/>
      <c r="F41" s="7">
        <f t="shared" si="28"/>
        <v>-8.4505125546814012E-4</v>
      </c>
      <c r="G41" s="2"/>
      <c r="H41" s="6">
        <v>10.220000000000001</v>
      </c>
      <c r="I41" s="2"/>
      <c r="J41" s="7">
        <f t="shared" si="29"/>
        <v>7.0928236864222394E-4</v>
      </c>
      <c r="K41" s="2"/>
      <c r="L41" s="6">
        <f t="shared" si="30"/>
        <v>-21.770000000000003</v>
      </c>
      <c r="M41" s="2"/>
      <c r="N41" s="7">
        <f t="shared" si="31"/>
        <v>-2.1301369863013702</v>
      </c>
      <c r="O41" s="11"/>
      <c r="P41" s="6">
        <v>-20.98</v>
      </c>
      <c r="Q41" s="2"/>
      <c r="R41" s="7">
        <f t="shared" si="32"/>
        <v>-1.3844037090141774E-4</v>
      </c>
      <c r="S41" s="2"/>
      <c r="T41" s="6">
        <v>-24.15</v>
      </c>
      <c r="U41" s="2"/>
      <c r="V41" s="7">
        <f t="shared" si="33"/>
        <v>-1.7192773852232844E-4</v>
      </c>
      <c r="W41" s="2"/>
      <c r="X41" s="6">
        <f t="shared" si="34"/>
        <v>3.1699999999999982</v>
      </c>
      <c r="Y41" s="2"/>
      <c r="Z41" s="7">
        <f t="shared" si="35"/>
        <v>-0.13126293995859206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437</v>
      </c>
      <c r="E42" s="1"/>
      <c r="F42" s="5">
        <f t="shared" si="28"/>
        <v>3.1972934947149541E-2</v>
      </c>
      <c r="G42" s="1"/>
      <c r="H42" s="1">
        <f>SUM(OSRRefH22_4x_0)</f>
        <v>541.27</v>
      </c>
      <c r="I42" s="1"/>
      <c r="J42" s="5">
        <f t="shared" si="29"/>
        <v>3.7564898989723733E-2</v>
      </c>
      <c r="K42" s="1"/>
      <c r="L42" s="1">
        <f t="shared" si="30"/>
        <v>-104.26999999999998</v>
      </c>
      <c r="M42" s="1"/>
      <c r="N42" s="5">
        <f t="shared" si="31"/>
        <v>-0.19263953295028358</v>
      </c>
      <c r="O42" s="13"/>
      <c r="P42" s="1">
        <f>SUM(OSRRefP22_4x_0)</f>
        <v>5759.62</v>
      </c>
      <c r="Q42" s="1"/>
      <c r="R42" s="5">
        <f t="shared" si="32"/>
        <v>3.8005907009114569E-2</v>
      </c>
      <c r="S42" s="1"/>
      <c r="T42" s="1">
        <f>SUM(OSRRefT22_4x_0)</f>
        <v>5576.23</v>
      </c>
      <c r="U42" s="1"/>
      <c r="V42" s="5">
        <f t="shared" si="33"/>
        <v>3.9698079229000559E-2</v>
      </c>
      <c r="W42" s="1"/>
      <c r="X42" s="1">
        <f t="shared" si="34"/>
        <v>183.39000000000033</v>
      </c>
      <c r="Y42" s="1"/>
      <c r="Z42" s="5">
        <f t="shared" si="35"/>
        <v>3.2887811299031844E-2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437</v>
      </c>
      <c r="E43" s="2"/>
      <c r="F43" s="7">
        <f t="shared" si="28"/>
        <v>3.1972934947149541E-2</v>
      </c>
      <c r="G43" s="2"/>
      <c r="H43" s="6">
        <v>541.27</v>
      </c>
      <c r="I43" s="2"/>
      <c r="J43" s="7">
        <f t="shared" si="29"/>
        <v>3.7564898989723733E-2</v>
      </c>
      <c r="K43" s="2"/>
      <c r="L43" s="6">
        <f t="shared" si="30"/>
        <v>-104.26999999999998</v>
      </c>
      <c r="M43" s="2"/>
      <c r="N43" s="7">
        <f t="shared" si="31"/>
        <v>-0.19263953295028358</v>
      </c>
      <c r="O43" s="11"/>
      <c r="P43" s="6">
        <v>5759.62</v>
      </c>
      <c r="Q43" s="2"/>
      <c r="R43" s="7">
        <f t="shared" si="32"/>
        <v>3.8005907009114569E-2</v>
      </c>
      <c r="S43" s="2"/>
      <c r="T43" s="6">
        <v>5576.23</v>
      </c>
      <c r="U43" s="2"/>
      <c r="V43" s="7">
        <f t="shared" si="33"/>
        <v>3.9698079229000559E-2</v>
      </c>
      <c r="W43" s="2"/>
      <c r="X43" s="6">
        <f t="shared" si="34"/>
        <v>183.39000000000033</v>
      </c>
      <c r="Y43" s="2"/>
      <c r="Z43" s="7">
        <f t="shared" si="35"/>
        <v>3.2887811299031844E-2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2775.32</v>
      </c>
      <c r="E44" s="1"/>
      <c r="F44" s="5">
        <f t="shared" si="28"/>
        <v>0.20305520782041891</v>
      </c>
      <c r="G44" s="1"/>
      <c r="H44" s="1">
        <f>SUM(OSRRefH22_5x_0)</f>
        <v>2776.01</v>
      </c>
      <c r="I44" s="1"/>
      <c r="J44" s="5">
        <f t="shared" si="29"/>
        <v>0.19265899688595892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3"/>
      <c r="P44" s="1">
        <f>SUM(OSRRefP22_5x_0)</f>
        <v>19427.240000000002</v>
      </c>
      <c r="Q44" s="1"/>
      <c r="R44" s="5">
        <f t="shared" si="32"/>
        <v>0.12819419977077498</v>
      </c>
      <c r="S44" s="1"/>
      <c r="T44" s="1">
        <f>SUM(OSRRefT22_5x_0)</f>
        <v>19432.070000000003</v>
      </c>
      <c r="U44" s="1"/>
      <c r="V44" s="5">
        <f t="shared" si="33"/>
        <v>0.13834003519286059</v>
      </c>
      <c r="W44" s="1"/>
      <c r="X44" s="1">
        <f t="shared" si="34"/>
        <v>-4.8300000000017462</v>
      </c>
      <c r="Y44" s="1"/>
      <c r="Z44" s="5">
        <f t="shared" si="35"/>
        <v>-2.4855818242738653E-4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2775.32</v>
      </c>
      <c r="E45" s="2"/>
      <c r="F45" s="7">
        <f t="shared" si="28"/>
        <v>0.20305520782041891</v>
      </c>
      <c r="G45" s="2"/>
      <c r="H45" s="6">
        <v>2776.01</v>
      </c>
      <c r="I45" s="2"/>
      <c r="J45" s="7">
        <f t="shared" si="29"/>
        <v>0.19265899688595892</v>
      </c>
      <c r="K45" s="2"/>
      <c r="L45" s="6">
        <f t="shared" si="30"/>
        <v>-0.69000000000005457</v>
      </c>
      <c r="M45" s="2"/>
      <c r="N45" s="7">
        <f t="shared" si="31"/>
        <v>-2.4855818242731638E-4</v>
      </c>
      <c r="O45" s="11"/>
      <c r="P45" s="6">
        <v>19427.240000000002</v>
      </c>
      <c r="Q45" s="2"/>
      <c r="R45" s="7">
        <f t="shared" si="32"/>
        <v>0.12819419977077498</v>
      </c>
      <c r="S45" s="2"/>
      <c r="T45" s="6">
        <v>19432.070000000003</v>
      </c>
      <c r="U45" s="2"/>
      <c r="V45" s="7">
        <f t="shared" si="33"/>
        <v>0.13834003519286059</v>
      </c>
      <c r="W45" s="2"/>
      <c r="X45" s="6">
        <f t="shared" si="34"/>
        <v>-4.8300000000017462</v>
      </c>
      <c r="Y45" s="2"/>
      <c r="Z45" s="7">
        <f t="shared" si="35"/>
        <v>-2.4855818242738653E-4</v>
      </c>
    </row>
    <row r="46" spans="1:26" s="26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107.51</v>
      </c>
      <c r="Q46" s="1"/>
      <c r="R46" s="5">
        <f t="shared" si="32"/>
        <v>7.0942441733133567E-4</v>
      </c>
      <c r="S46" s="1"/>
      <c r="T46" s="1">
        <f>SUM(OSRRefT22_6x_0)</f>
        <v>108.69</v>
      </c>
      <c r="U46" s="1"/>
      <c r="V46" s="5">
        <f t="shared" si="33"/>
        <v>7.7378161076570925E-4</v>
      </c>
      <c r="W46" s="1"/>
      <c r="X46" s="1">
        <f t="shared" si="34"/>
        <v>-1.1799999999999926</v>
      </c>
      <c r="Y46" s="1"/>
      <c r="Z46" s="5">
        <f t="shared" si="35"/>
        <v>-1.0856564541356082E-2</v>
      </c>
    </row>
    <row r="47" spans="1:26" s="24" customFormat="1" hidden="1" outlineLevel="2" x14ac:dyDescent="0.25">
      <c r="A47" s="25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107.51</v>
      </c>
      <c r="Q47" s="2"/>
      <c r="R47" s="7">
        <f t="shared" si="32"/>
        <v>7.0942441733133567E-4</v>
      </c>
      <c r="S47" s="2"/>
      <c r="T47" s="6">
        <v>108.69</v>
      </c>
      <c r="U47" s="2"/>
      <c r="V47" s="7">
        <f t="shared" si="33"/>
        <v>7.7378161076570925E-4</v>
      </c>
      <c r="W47" s="2"/>
      <c r="X47" s="6">
        <f t="shared" si="34"/>
        <v>-1.1799999999999926</v>
      </c>
      <c r="Y47" s="2"/>
      <c r="Z47" s="7">
        <f t="shared" si="35"/>
        <v>-1.0856564541356082E-2</v>
      </c>
    </row>
    <row r="48" spans="1:26" s="26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562.30999999999995</v>
      </c>
      <c r="E48" s="1"/>
      <c r="F48" s="5">
        <f t="shared" si="28"/>
        <v>4.1141192334397385E-2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562.30999999999995</v>
      </c>
      <c r="M48" s="1"/>
      <c r="N48" s="5">
        <f t="shared" si="31"/>
        <v>0</v>
      </c>
      <c r="O48" s="13"/>
      <c r="P48" s="1">
        <f>SUM(OSRRefP22_7x_0)</f>
        <v>1273.2</v>
      </c>
      <c r="Q48" s="1"/>
      <c r="R48" s="5">
        <f t="shared" si="32"/>
        <v>8.4014432903567714E-3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1273.2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"6351", " - ", "EQUIPMENT RENTAL")</f>
        <v xml:space="preserve">          6351 - EQUIPMENT RENTAL</v>
      </c>
      <c r="C49" s="11"/>
      <c r="D49" s="6">
        <v>562.30999999999995</v>
      </c>
      <c r="E49" s="2"/>
      <c r="F49" s="7">
        <f t="shared" si="28"/>
        <v>4.1141192334397385E-2</v>
      </c>
      <c r="G49" s="2"/>
      <c r="H49" s="6"/>
      <c r="I49" s="2"/>
      <c r="J49" s="7">
        <f t="shared" si="29"/>
        <v>0</v>
      </c>
      <c r="K49" s="2"/>
      <c r="L49" s="6">
        <f t="shared" si="30"/>
        <v>562.30999999999995</v>
      </c>
      <c r="M49" s="2"/>
      <c r="N49" s="7">
        <f t="shared" si="31"/>
        <v>0</v>
      </c>
      <c r="O49" s="11"/>
      <c r="P49" s="6">
        <v>1273.2</v>
      </c>
      <c r="Q49" s="2"/>
      <c r="R49" s="7">
        <f t="shared" si="32"/>
        <v>8.4014432903567714E-3</v>
      </c>
      <c r="S49" s="2"/>
      <c r="T49" s="6"/>
      <c r="U49" s="2"/>
      <c r="V49" s="7">
        <f t="shared" si="33"/>
        <v>0</v>
      </c>
      <c r="W49" s="2"/>
      <c r="X49" s="6">
        <f t="shared" si="34"/>
        <v>1273.2</v>
      </c>
      <c r="Y49" s="2"/>
      <c r="Z49" s="7">
        <f t="shared" si="35"/>
        <v>0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12</v>
      </c>
      <c r="E50" s="1"/>
      <c r="F50" s="5">
        <f t="shared" si="28"/>
        <v>8.779753303565091E-4</v>
      </c>
      <c r="G50" s="1"/>
      <c r="H50" s="1">
        <f>SUM(OSRRefH22_8x_0)</f>
        <v>0</v>
      </c>
      <c r="I50" s="1"/>
      <c r="J50" s="5">
        <f t="shared" si="29"/>
        <v>0</v>
      </c>
      <c r="K50" s="1"/>
      <c r="L50" s="1">
        <f t="shared" si="30"/>
        <v>12</v>
      </c>
      <c r="M50" s="1"/>
      <c r="N50" s="5">
        <f t="shared" si="31"/>
        <v>0</v>
      </c>
      <c r="O50" s="13"/>
      <c r="P50" s="1">
        <f>SUM(OSRRefP22_8x_0)</f>
        <v>761.55</v>
      </c>
      <c r="Q50" s="1"/>
      <c r="R50" s="5">
        <f t="shared" si="32"/>
        <v>5.0252270953276773E-3</v>
      </c>
      <c r="S50" s="1"/>
      <c r="T50" s="1">
        <f>SUM(OSRRefT22_8x_0)</f>
        <v>769.2</v>
      </c>
      <c r="U50" s="1"/>
      <c r="V50" s="5">
        <f t="shared" si="33"/>
        <v>5.4760586530590077E-3</v>
      </c>
      <c r="W50" s="1"/>
      <c r="X50" s="1">
        <f t="shared" si="34"/>
        <v>-7.6500000000000909</v>
      </c>
      <c r="Y50" s="1"/>
      <c r="Z50" s="5">
        <f t="shared" si="35"/>
        <v>-9.9453978159127539E-3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12</v>
      </c>
      <c r="E51" s="2"/>
      <c r="F51" s="7">
        <f t="shared" si="28"/>
        <v>8.779753303565091E-4</v>
      </c>
      <c r="G51" s="2"/>
      <c r="H51" s="6"/>
      <c r="I51" s="2"/>
      <c r="J51" s="7">
        <f t="shared" si="29"/>
        <v>0</v>
      </c>
      <c r="K51" s="2"/>
      <c r="L51" s="6">
        <f t="shared" si="30"/>
        <v>12</v>
      </c>
      <c r="M51" s="2"/>
      <c r="N51" s="7">
        <f t="shared" si="31"/>
        <v>0</v>
      </c>
      <c r="O51" s="11"/>
      <c r="P51" s="6">
        <v>761.55</v>
      </c>
      <c r="Q51" s="2"/>
      <c r="R51" s="7">
        <f t="shared" si="32"/>
        <v>5.0252270953276773E-3</v>
      </c>
      <c r="S51" s="2"/>
      <c r="T51" s="6">
        <v>769.2</v>
      </c>
      <c r="U51" s="2"/>
      <c r="V51" s="7">
        <f t="shared" si="33"/>
        <v>5.4760586530590077E-3</v>
      </c>
      <c r="W51" s="2"/>
      <c r="X51" s="6">
        <f t="shared" si="34"/>
        <v>-7.6500000000000909</v>
      </c>
      <c r="Y51" s="2"/>
      <c r="Z51" s="7">
        <f t="shared" si="35"/>
        <v>-9.9453978159127539E-3</v>
      </c>
    </row>
    <row r="52" spans="1:26" s="26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28"/>
        <v>0</v>
      </c>
      <c r="G52" s="1"/>
      <c r="H52" s="1">
        <f>SUM(OSRRefH22_9x_0)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SUM(OSRRefP22_9x_0)</f>
        <v>5425.2999999999993</v>
      </c>
      <c r="Q52" s="1"/>
      <c r="R52" s="5">
        <f t="shared" si="32"/>
        <v>3.5799835283673094E-2</v>
      </c>
      <c r="S52" s="1"/>
      <c r="T52" s="1">
        <f>SUM(OSRRefT22_9x_0)</f>
        <v>1586.97</v>
      </c>
      <c r="U52" s="1"/>
      <c r="V52" s="5">
        <f t="shared" si="33"/>
        <v>1.1297894956636835E-2</v>
      </c>
      <c r="W52" s="1"/>
      <c r="X52" s="1">
        <f t="shared" si="34"/>
        <v>3838.329999999999</v>
      </c>
      <c r="Y52" s="1"/>
      <c r="Z52" s="5">
        <f t="shared" si="35"/>
        <v>2.4186531566444223</v>
      </c>
    </row>
    <row r="53" spans="1:26" s="24" customFormat="1" hidden="1" outlineLevel="2" x14ac:dyDescent="0.25">
      <c r="A53" s="25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2186.54</v>
      </c>
      <c r="Q53" s="2"/>
      <c r="R53" s="7">
        <f t="shared" si="32"/>
        <v>1.4428284489551283E-2</v>
      </c>
      <c r="S53" s="2"/>
      <c r="T53" s="6"/>
      <c r="U53" s="2"/>
      <c r="V53" s="7">
        <f t="shared" si="33"/>
        <v>0</v>
      </c>
      <c r="W53" s="2"/>
      <c r="X53" s="6">
        <f t="shared" si="34"/>
        <v>2186.54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840.28</v>
      </c>
      <c r="Q54" s="2"/>
      <c r="R54" s="7">
        <f t="shared" si="32"/>
        <v>5.544741413777087E-3</v>
      </c>
      <c r="S54" s="2"/>
      <c r="T54" s="6">
        <v>131.97999999999999</v>
      </c>
      <c r="U54" s="2"/>
      <c r="V54" s="7">
        <f t="shared" si="33"/>
        <v>9.3958687081477875E-4</v>
      </c>
      <c r="W54" s="2"/>
      <c r="X54" s="6">
        <f t="shared" si="34"/>
        <v>708.3</v>
      </c>
      <c r="Y54" s="2"/>
      <c r="Z54" s="7">
        <f t="shared" si="35"/>
        <v>5.3667222306410061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2398.48</v>
      </c>
      <c r="Q55" s="2"/>
      <c r="R55" s="7">
        <f t="shared" si="32"/>
        <v>1.5826809380344729E-2</v>
      </c>
      <c r="S55" s="2"/>
      <c r="T55" s="6">
        <v>1454.99</v>
      </c>
      <c r="U55" s="2"/>
      <c r="V55" s="7">
        <f t="shared" si="33"/>
        <v>1.0358308085822056E-2</v>
      </c>
      <c r="W55" s="2"/>
      <c r="X55" s="6">
        <f t="shared" si="34"/>
        <v>943.49</v>
      </c>
      <c r="Y55" s="2"/>
      <c r="Z55" s="7">
        <f t="shared" si="35"/>
        <v>0.64845119210441304</v>
      </c>
    </row>
    <row r="56" spans="1:26" s="26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686.05</v>
      </c>
      <c r="E56" s="1"/>
      <c r="F56" s="5">
        <f t="shared" ref="F56:F58" si="36">IF(D$12=0,0,D56/D$12)</f>
        <v>5.0194581282590252E-2</v>
      </c>
      <c r="G56" s="1"/>
      <c r="H56" s="1">
        <f>SUM(OSRRefH22_10x_0)</f>
        <v>98.5</v>
      </c>
      <c r="I56" s="1"/>
      <c r="J56" s="5">
        <f t="shared" ref="J56:J58" si="37">IF(H$12=0,0,H56/H$12)</f>
        <v>6.8360384844676179E-3</v>
      </c>
      <c r="K56" s="1"/>
      <c r="L56" s="1">
        <f t="shared" ref="L56:L58" si="38">+D56-H56</f>
        <v>587.54999999999995</v>
      </c>
      <c r="M56" s="1"/>
      <c r="N56" s="5">
        <f t="shared" ref="N56:N58" si="39">IF(H56=0,0,L56/H56)</f>
        <v>5.9649746192893396</v>
      </c>
      <c r="O56" s="13"/>
      <c r="P56" s="1">
        <f>SUM(OSRRefP22_10x_0)</f>
        <v>972.97</v>
      </c>
      <c r="Q56" s="1"/>
      <c r="R56" s="5">
        <f t="shared" ref="R56:R58" si="40">IF(P$12=0,0,P56/P$12)</f>
        <v>6.420320670922422E-3</v>
      </c>
      <c r="S56" s="1"/>
      <c r="T56" s="1">
        <f>SUM(OSRRefT22_10x_0)</f>
        <v>1114.98</v>
      </c>
      <c r="U56" s="1"/>
      <c r="V56" s="5">
        <f t="shared" ref="V56:V58" si="41">IF(T$12=0,0,T56/T$12)</f>
        <v>7.9377221489700112E-3</v>
      </c>
      <c r="W56" s="1"/>
      <c r="X56" s="1">
        <f t="shared" ref="X56:X58" si="42">+P56-T56</f>
        <v>-142.01</v>
      </c>
      <c r="Y56" s="1"/>
      <c r="Z56" s="5">
        <f t="shared" ref="Z56:Z58" si="43">IF(T56=0,0,X56/T56)</f>
        <v>-0.12736551328274945</v>
      </c>
    </row>
    <row r="57" spans="1:26" s="24" customFormat="1" hidden="1" outlineLevel="2" x14ac:dyDescent="0.25">
      <c r="A57" s="25"/>
      <c r="B57" s="11" t="str">
        <f>CONCATENATE("          ", "6285", " - ", "JANITORIAL SERVICES")</f>
        <v xml:space="preserve">          6285 - JANITORIAL SERVICES</v>
      </c>
      <c r="C57" s="11"/>
      <c r="D57" s="6">
        <v>637</v>
      </c>
      <c r="E57" s="2"/>
      <c r="F57" s="7">
        <f t="shared" si="36"/>
        <v>4.6605857119758023E-2</v>
      </c>
      <c r="G57" s="2"/>
      <c r="H57" s="6"/>
      <c r="I57" s="2"/>
      <c r="J57" s="7">
        <f t="shared" si="37"/>
        <v>0</v>
      </c>
      <c r="K57" s="2"/>
      <c r="L57" s="6">
        <f t="shared" si="38"/>
        <v>637</v>
      </c>
      <c r="M57" s="2"/>
      <c r="N57" s="7">
        <f t="shared" si="39"/>
        <v>0</v>
      </c>
      <c r="O57" s="11"/>
      <c r="P57" s="6">
        <v>637</v>
      </c>
      <c r="Q57" s="2"/>
      <c r="R57" s="7">
        <f t="shared" si="40"/>
        <v>4.2033611184081549E-3</v>
      </c>
      <c r="S57" s="2"/>
      <c r="T57" s="6">
        <v>619</v>
      </c>
      <c r="U57" s="2"/>
      <c r="V57" s="7">
        <f t="shared" si="41"/>
        <v>4.4067606685433249E-3</v>
      </c>
      <c r="W57" s="2"/>
      <c r="X57" s="6">
        <f t="shared" si="42"/>
        <v>18</v>
      </c>
      <c r="Y57" s="2"/>
      <c r="Z57" s="7">
        <f t="shared" si="43"/>
        <v>2.9079159935379646E-2</v>
      </c>
    </row>
    <row r="58" spans="1:26" s="24" customFormat="1" hidden="1" outlineLevel="2" x14ac:dyDescent="0.25">
      <c r="A58" s="25"/>
      <c r="B58" s="11" t="str">
        <f>CONCATENATE("          ", "6286", " - ", "LAUNDRY EXPENSE")</f>
        <v xml:space="preserve">          6286 - LAUNDRY EXPENSE</v>
      </c>
      <c r="C58" s="11"/>
      <c r="D58" s="6">
        <v>49.05</v>
      </c>
      <c r="E58" s="2"/>
      <c r="F58" s="7">
        <f t="shared" si="36"/>
        <v>3.5887241628322309E-3</v>
      </c>
      <c r="G58" s="2"/>
      <c r="H58" s="6">
        <v>98.5</v>
      </c>
      <c r="I58" s="2"/>
      <c r="J58" s="7">
        <f t="shared" si="37"/>
        <v>6.8360384844676179E-3</v>
      </c>
      <c r="K58" s="2"/>
      <c r="L58" s="6">
        <f t="shared" si="38"/>
        <v>-49.45</v>
      </c>
      <c r="M58" s="2"/>
      <c r="N58" s="7">
        <f t="shared" si="39"/>
        <v>-0.50203045685279191</v>
      </c>
      <c r="O58" s="11"/>
      <c r="P58" s="6">
        <v>335.97</v>
      </c>
      <c r="Q58" s="2"/>
      <c r="R58" s="7">
        <f t="shared" si="40"/>
        <v>2.2169595525142671E-3</v>
      </c>
      <c r="S58" s="2"/>
      <c r="T58" s="6">
        <v>495.98</v>
      </c>
      <c r="U58" s="2"/>
      <c r="V58" s="7">
        <f t="shared" si="41"/>
        <v>3.5309614804266858E-3</v>
      </c>
      <c r="W58" s="2"/>
      <c r="X58" s="6">
        <f t="shared" si="42"/>
        <v>-160.01</v>
      </c>
      <c r="Y58" s="2"/>
      <c r="Z58" s="7">
        <f t="shared" si="43"/>
        <v>-0.32261381507318843</v>
      </c>
    </row>
    <row r="59" spans="1:26" s="26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387.4</v>
      </c>
      <c r="E59" s="1"/>
      <c r="F59" s="5">
        <f t="shared" ref="F59:F65" si="44">IF(D$12=0,0,D59/D$12)</f>
        <v>2.8343970248342634E-2</v>
      </c>
      <c r="G59" s="1"/>
      <c r="H59" s="1">
        <f>SUM(OSRRefH22_11x_0)</f>
        <v>268.34000000000003</v>
      </c>
      <c r="I59" s="1"/>
      <c r="J59" s="5">
        <f t="shared" ref="J59:J65" si="45">IF(H$12=0,0,H59/H$12)</f>
        <v>1.8623173268244069E-2</v>
      </c>
      <c r="K59" s="1"/>
      <c r="L59" s="1">
        <f t="shared" ref="L59:L65" si="46">+D59-H59</f>
        <v>119.05999999999995</v>
      </c>
      <c r="M59" s="1"/>
      <c r="N59" s="5">
        <f t="shared" ref="N59:N65" si="47">IF(H59=0,0,L59/H59)</f>
        <v>0.44369083997913072</v>
      </c>
      <c r="O59" s="13"/>
      <c r="P59" s="1">
        <f>SUM(OSRRefP22_11x_0)</f>
        <v>5851.15</v>
      </c>
      <c r="Q59" s="1"/>
      <c r="R59" s="5">
        <f t="shared" ref="R59:R65" si="48">IF(P$12=0,0,P59/P$12)</f>
        <v>3.8609884470916601E-2</v>
      </c>
      <c r="S59" s="1"/>
      <c r="T59" s="1">
        <f>SUM(OSRRefT22_11x_0)</f>
        <v>3158.48</v>
      </c>
      <c r="U59" s="1"/>
      <c r="V59" s="5">
        <f t="shared" ref="V59:V65" si="49">IF(T$12=0,0,T59/T$12)</f>
        <v>2.2485727683975318E-2</v>
      </c>
      <c r="W59" s="1"/>
      <c r="X59" s="1">
        <f t="shared" ref="X59:X65" si="50">+P59-T59</f>
        <v>2692.6699999999996</v>
      </c>
      <c r="Y59" s="1"/>
      <c r="Z59" s="5">
        <f t="shared" ref="Z59:Z65" si="51">IF(T59=0,0,X59/T59)</f>
        <v>0.85252083280565327</v>
      </c>
    </row>
    <row r="60" spans="1:26" s="24" customFormat="1" hidden="1" outlineLevel="2" x14ac:dyDescent="0.25">
      <c r="A60" s="25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11.08</v>
      </c>
      <c r="U60" s="2"/>
      <c r="V60" s="7">
        <f t="shared" si="49"/>
        <v>7.8880304050823978E-5</v>
      </c>
      <c r="W60" s="2"/>
      <c r="X60" s="6">
        <f t="shared" si="50"/>
        <v>-11.08</v>
      </c>
      <c r="Y60" s="2"/>
      <c r="Z60" s="7">
        <f t="shared" si="51"/>
        <v>-1</v>
      </c>
    </row>
    <row r="61" spans="1:26" s="24" customFormat="1" hidden="1" outlineLevel="2" x14ac:dyDescent="0.25">
      <c r="A61" s="25"/>
      <c r="B61" s="11" t="str">
        <f>CONCATENATE("          ", "6239", " - ", "KITCHEN SUPPLIES")</f>
        <v xml:space="preserve">          6239 - KITCHEN SUPPLIES</v>
      </c>
      <c r="C61" s="11"/>
      <c r="D61" s="6"/>
      <c r="E61" s="2"/>
      <c r="F61" s="7">
        <f t="shared" si="44"/>
        <v>0</v>
      </c>
      <c r="G61" s="2"/>
      <c r="H61" s="6"/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>
        <v>2898.22</v>
      </c>
      <c r="Q61" s="2"/>
      <c r="R61" s="7">
        <f t="shared" si="48"/>
        <v>1.9124435259957429E-2</v>
      </c>
      <c r="S61" s="2"/>
      <c r="T61" s="6">
        <v>112.08</v>
      </c>
      <c r="U61" s="2"/>
      <c r="V61" s="7">
        <f t="shared" si="49"/>
        <v>7.9791556660797393E-4</v>
      </c>
      <c r="W61" s="2"/>
      <c r="X61" s="6">
        <f t="shared" si="50"/>
        <v>2786.14</v>
      </c>
      <c r="Y61" s="2"/>
      <c r="Z61" s="7">
        <f t="shared" si="51"/>
        <v>24.858493932905066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44"/>
        <v>0</v>
      </c>
      <c r="G62" s="2"/>
      <c r="H62" s="6">
        <v>4.3499999999999996</v>
      </c>
      <c r="I62" s="2"/>
      <c r="J62" s="7">
        <f t="shared" si="45"/>
        <v>3.0189611581151409E-4</v>
      </c>
      <c r="K62" s="2"/>
      <c r="L62" s="6">
        <f t="shared" si="46"/>
        <v>-4.3499999999999996</v>
      </c>
      <c r="M62" s="2"/>
      <c r="N62" s="7">
        <f t="shared" si="47"/>
        <v>-1</v>
      </c>
      <c r="O62" s="11"/>
      <c r="P62" s="6">
        <v>649.99</v>
      </c>
      <c r="Q62" s="2"/>
      <c r="R62" s="7">
        <f t="shared" si="48"/>
        <v>4.2890780115449247E-3</v>
      </c>
      <c r="S62" s="2"/>
      <c r="T62" s="6">
        <v>99.46</v>
      </c>
      <c r="U62" s="2"/>
      <c r="V62" s="7">
        <f t="shared" si="49"/>
        <v>7.0807175459340729E-4</v>
      </c>
      <c r="W62" s="2"/>
      <c r="X62" s="6">
        <f t="shared" si="50"/>
        <v>550.53</v>
      </c>
      <c r="Y62" s="2"/>
      <c r="Z62" s="7">
        <f t="shared" si="51"/>
        <v>5.5351900261411622</v>
      </c>
    </row>
    <row r="63" spans="1:26" s="24" customFormat="1" hidden="1" outlineLevel="2" x14ac:dyDescent="0.25">
      <c r="A63" s="25"/>
      <c r="B63" s="11" t="str">
        <f>CONCATENATE("          ", "6243", " - ", "PAPER SUPPLIES")</f>
        <v xml:space="preserve">          6243 - PAPER SUPPLIES</v>
      </c>
      <c r="C63" s="11"/>
      <c r="D63" s="6">
        <v>387.4</v>
      </c>
      <c r="E63" s="2"/>
      <c r="F63" s="7">
        <f t="shared" si="44"/>
        <v>2.8343970248342634E-2</v>
      </c>
      <c r="G63" s="2"/>
      <c r="H63" s="6">
        <v>177.33</v>
      </c>
      <c r="I63" s="2"/>
      <c r="J63" s="7">
        <f t="shared" si="45"/>
        <v>1.2306951314219725E-2</v>
      </c>
      <c r="K63" s="2"/>
      <c r="L63" s="6">
        <f t="shared" si="46"/>
        <v>210.06999999999996</v>
      </c>
      <c r="M63" s="2"/>
      <c r="N63" s="7">
        <f t="shared" si="47"/>
        <v>1.1846275305926801</v>
      </c>
      <c r="O63" s="11"/>
      <c r="P63" s="6">
        <v>1563.27</v>
      </c>
      <c r="Q63" s="2"/>
      <c r="R63" s="7">
        <f t="shared" si="48"/>
        <v>1.0315523289754972E-2</v>
      </c>
      <c r="S63" s="2"/>
      <c r="T63" s="6">
        <v>1425.53</v>
      </c>
      <c r="U63" s="2"/>
      <c r="V63" s="7">
        <f t="shared" si="49"/>
        <v>1.0148577602307862E-2</v>
      </c>
      <c r="W63" s="2"/>
      <c r="X63" s="6">
        <f t="shared" si="50"/>
        <v>137.74</v>
      </c>
      <c r="Y63" s="2"/>
      <c r="Z63" s="7">
        <f t="shared" si="51"/>
        <v>9.6623711882598065E-2</v>
      </c>
    </row>
    <row r="64" spans="1:26" s="24" customFormat="1" hidden="1" outlineLevel="2" x14ac:dyDescent="0.25">
      <c r="A64" s="25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102.64</v>
      </c>
      <c r="Q64" s="2"/>
      <c r="R64" s="7">
        <f t="shared" si="48"/>
        <v>6.7728883075889024E-4</v>
      </c>
      <c r="S64" s="2"/>
      <c r="T64" s="6">
        <v>771.1</v>
      </c>
      <c r="U64" s="2"/>
      <c r="V64" s="7">
        <f t="shared" si="49"/>
        <v>5.4895850589883012E-3</v>
      </c>
      <c r="W64" s="2"/>
      <c r="X64" s="6">
        <f t="shared" si="50"/>
        <v>-668.46</v>
      </c>
      <c r="Y64" s="2"/>
      <c r="Z64" s="7">
        <f t="shared" si="51"/>
        <v>-0.86689145376734533</v>
      </c>
    </row>
    <row r="65" spans="1:26" s="24" customFormat="1" hidden="1" outlineLevel="2" x14ac:dyDescent="0.25">
      <c r="A65" s="25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4"/>
        <v>0</v>
      </c>
      <c r="G65" s="2"/>
      <c r="H65" s="6">
        <v>86.66</v>
      </c>
      <c r="I65" s="2"/>
      <c r="J65" s="7">
        <f t="shared" si="45"/>
        <v>6.0143258382128299E-3</v>
      </c>
      <c r="K65" s="2"/>
      <c r="L65" s="6">
        <f t="shared" si="46"/>
        <v>-86.66</v>
      </c>
      <c r="M65" s="2"/>
      <c r="N65" s="7">
        <f t="shared" si="47"/>
        <v>-1</v>
      </c>
      <c r="O65" s="11"/>
      <c r="P65" s="6">
        <v>637.03</v>
      </c>
      <c r="Q65" s="2"/>
      <c r="R65" s="7">
        <f t="shared" si="48"/>
        <v>4.2035590789003879E-3</v>
      </c>
      <c r="S65" s="2"/>
      <c r="T65" s="6">
        <v>739.23</v>
      </c>
      <c r="U65" s="2"/>
      <c r="V65" s="7">
        <f t="shared" si="49"/>
        <v>5.2626973974269509E-3</v>
      </c>
      <c r="W65" s="2"/>
      <c r="X65" s="6">
        <f t="shared" si="50"/>
        <v>-102.20000000000005</v>
      </c>
      <c r="Y65" s="2"/>
      <c r="Z65" s="7">
        <f t="shared" si="51"/>
        <v>-0.13825196488237768</v>
      </c>
    </row>
    <row r="66" spans="1:26" s="26" customFormat="1" outlineLevel="1" collapsed="1" x14ac:dyDescent="0.25">
      <c r="A66" s="27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SUM(OSRRefD22_12x_0)</f>
        <v>86</v>
      </c>
      <c r="E66" s="1"/>
      <c r="F66" s="5">
        <f t="shared" ref="F66:F69" si="52">IF(D$12=0,0,D66/D$12)</f>
        <v>6.2921565342216488E-3</v>
      </c>
      <c r="G66" s="1"/>
      <c r="H66" s="1">
        <f>SUM(OSRRefH22_12x_0)</f>
        <v>46</v>
      </c>
      <c r="I66" s="1"/>
      <c r="J66" s="5">
        <f t="shared" ref="J66:J69" si="53">IF(H$12=0,0,H66/H$12)</f>
        <v>3.1924646729493446E-3</v>
      </c>
      <c r="K66" s="1"/>
      <c r="L66" s="1">
        <f t="shared" ref="L66:L69" si="54">+D66-H66</f>
        <v>40</v>
      </c>
      <c r="M66" s="1"/>
      <c r="N66" s="5">
        <f t="shared" ref="N66:N69" si="55">IF(H66=0,0,L66/H66)</f>
        <v>0.86956521739130432</v>
      </c>
      <c r="O66" s="13"/>
      <c r="P66" s="1">
        <f>SUM(OSRRefP22_12x_0)</f>
        <v>607.5</v>
      </c>
      <c r="Q66" s="1"/>
      <c r="R66" s="5">
        <f t="shared" ref="R66:R69" si="56">IF(P$12=0,0,P66/P$12)</f>
        <v>4.0086999677126445E-3</v>
      </c>
      <c r="S66" s="1"/>
      <c r="T66" s="1">
        <f>SUM(OSRRefT22_12x_0)</f>
        <v>558.25</v>
      </c>
      <c r="U66" s="1"/>
      <c r="V66" s="5">
        <f t="shared" ref="V66:V69" si="57">IF(T$12=0,0,T66/T$12)</f>
        <v>3.9742716368567224E-3</v>
      </c>
      <c r="W66" s="1"/>
      <c r="X66" s="1">
        <f t="shared" ref="X66:X69" si="58">+P66-T66</f>
        <v>49.25</v>
      </c>
      <c r="Y66" s="1"/>
      <c r="Z66" s="5">
        <f t="shared" ref="Z66:Z69" si="59">IF(T66=0,0,X66/T66)</f>
        <v>8.822212270488132E-2</v>
      </c>
    </row>
    <row r="67" spans="1:26" s="24" customFormat="1" hidden="1" outlineLevel="2" x14ac:dyDescent="0.25">
      <c r="A67" s="25"/>
      <c r="B67" s="11" t="str">
        <f>CONCATENATE("          ", "6309", " - ", "TELEPHONE")</f>
        <v xml:space="preserve">          6309 - TELEPHONE</v>
      </c>
      <c r="C67" s="11"/>
      <c r="D67" s="6">
        <v>86</v>
      </c>
      <c r="E67" s="2"/>
      <c r="F67" s="7">
        <f t="shared" si="52"/>
        <v>6.2921565342216488E-3</v>
      </c>
      <c r="G67" s="2"/>
      <c r="H67" s="6">
        <v>46</v>
      </c>
      <c r="I67" s="2"/>
      <c r="J67" s="7">
        <f t="shared" si="53"/>
        <v>3.1924646729493446E-3</v>
      </c>
      <c r="K67" s="2"/>
      <c r="L67" s="6">
        <f t="shared" si="54"/>
        <v>40</v>
      </c>
      <c r="M67" s="2"/>
      <c r="N67" s="7">
        <f t="shared" si="55"/>
        <v>0.86956521739130432</v>
      </c>
      <c r="O67" s="11"/>
      <c r="P67" s="6">
        <v>607.5</v>
      </c>
      <c r="Q67" s="2"/>
      <c r="R67" s="7">
        <f t="shared" si="56"/>
        <v>4.0086999677126445E-3</v>
      </c>
      <c r="S67" s="2"/>
      <c r="T67" s="6">
        <v>558.25</v>
      </c>
      <c r="U67" s="2"/>
      <c r="V67" s="7">
        <f t="shared" si="57"/>
        <v>3.9742716368567224E-3</v>
      </c>
      <c r="W67" s="2"/>
      <c r="X67" s="6">
        <f t="shared" si="58"/>
        <v>49.25</v>
      </c>
      <c r="Y67" s="2"/>
      <c r="Z67" s="7">
        <f t="shared" si="59"/>
        <v>8.822212270488132E-2</v>
      </c>
    </row>
    <row r="68" spans="1:26" s="26" customFormat="1" outlineLevel="1" collapsed="1" x14ac:dyDescent="0.25">
      <c r="A68" s="27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SUM(OSRRefD22_13x_0)</f>
        <v>0</v>
      </c>
      <c r="E68" s="1"/>
      <c r="F68" s="5">
        <f t="shared" si="52"/>
        <v>0</v>
      </c>
      <c r="G68" s="1"/>
      <c r="H68" s="1">
        <f>SUM(OSRRefH22_13x_0)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3"/>
      <c r="P68" s="1">
        <f>SUM(OSRRefP22_13x_0)</f>
        <v>152.94999999999999</v>
      </c>
      <c r="Q68" s="1"/>
      <c r="R68" s="5">
        <f t="shared" si="56"/>
        <v>1.0092685762331669E-3</v>
      </c>
      <c r="S68" s="1"/>
      <c r="T68" s="1">
        <f>SUM(OSRRefT22_13x_0)</f>
        <v>0</v>
      </c>
      <c r="U68" s="1"/>
      <c r="V68" s="5">
        <f t="shared" si="57"/>
        <v>0</v>
      </c>
      <c r="W68" s="1"/>
      <c r="X68" s="1">
        <f t="shared" si="58"/>
        <v>152.94999999999999</v>
      </c>
      <c r="Y68" s="1"/>
      <c r="Z68" s="5">
        <f t="shared" si="59"/>
        <v>0</v>
      </c>
    </row>
    <row r="69" spans="1:26" s="24" customFormat="1" hidden="1" outlineLevel="2" x14ac:dyDescent="0.25">
      <c r="A69" s="25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152.94999999999999</v>
      </c>
      <c r="Q69" s="2"/>
      <c r="R69" s="7">
        <f t="shared" si="56"/>
        <v>1.0092685762331669E-3</v>
      </c>
      <c r="S69" s="2"/>
      <c r="T69" s="6"/>
      <c r="U69" s="2"/>
      <c r="V69" s="7">
        <f t="shared" si="57"/>
        <v>0</v>
      </c>
      <c r="W69" s="2"/>
      <c r="X69" s="6">
        <f t="shared" si="58"/>
        <v>152.94999999999999</v>
      </c>
      <c r="Y69" s="2"/>
      <c r="Z69" s="7">
        <f t="shared" si="59"/>
        <v>0</v>
      </c>
    </row>
    <row r="70" spans="1:26" s="59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9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8" t="s">
        <v>3</v>
      </c>
      <c r="C73" s="28"/>
      <c r="D73" s="21">
        <f>+D20-D22+D71</f>
        <v>-8131.84</v>
      </c>
      <c r="E73" s="14"/>
      <c r="F73" s="22">
        <f>IF(D$12=0,0,D73/D$12)</f>
        <v>-0.59496290920052297</v>
      </c>
      <c r="G73" s="14"/>
      <c r="H73" s="21">
        <f>+H20-H22+H71</f>
        <v>-7165.17</v>
      </c>
      <c r="I73" s="14"/>
      <c r="J73" s="22">
        <f>IF(H$12=0,0,H73/H$12)</f>
        <v>-0.497272871753836</v>
      </c>
      <c r="K73" s="16"/>
      <c r="L73" s="21">
        <f>+D73-H73</f>
        <v>-966.67000000000007</v>
      </c>
      <c r="M73" s="16"/>
      <c r="N73" s="22">
        <f>IF(H73=0,0,L73/H73)</f>
        <v>0.13491236076743471</v>
      </c>
      <c r="O73" s="29"/>
      <c r="P73" s="21">
        <f>+P20-P22+P71</f>
        <v>-45903.180000000051</v>
      </c>
      <c r="Q73" s="14"/>
      <c r="R73" s="22">
        <f>IF(P$12=0,0,P73/P$12)</f>
        <v>-0.30290053692824342</v>
      </c>
      <c r="S73" s="14"/>
      <c r="T73" s="21">
        <f>+T20-T22+T71</f>
        <v>-25156.97000000003</v>
      </c>
      <c r="U73" s="14"/>
      <c r="V73" s="22">
        <f>IF(T$12=0,0,T73/T$12)</f>
        <v>-0.17909652009002344</v>
      </c>
      <c r="W73" s="16"/>
      <c r="X73" s="21">
        <f>+P73-T73</f>
        <v>-20746.210000000021</v>
      </c>
      <c r="Y73" s="16"/>
      <c r="Z73" s="22">
        <f>IF(T73=0,0,X73/T73)</f>
        <v>0.82467045912126924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912.2</v>
      </c>
      <c r="E75" s="4"/>
      <c r="F75" s="12">
        <f>IF(D$12=0,0,D75/D$12)</f>
        <v>6.6740758029267308E-2</v>
      </c>
      <c r="G75" s="4"/>
      <c r="H75" s="4">
        <v>689.01</v>
      </c>
      <c r="I75" s="4"/>
      <c r="J75" s="12">
        <f>IF(H$12=0,0,H75/H$12)</f>
        <v>4.7818262702365825E-2</v>
      </c>
      <c r="K75" s="4"/>
      <c r="L75" s="4">
        <f>+D75-H75</f>
        <v>223.19000000000005</v>
      </c>
      <c r="M75" s="4"/>
      <c r="N75" s="12">
        <f>IF(H75=0,0,L75/H75)</f>
        <v>0.32392853514462788</v>
      </c>
      <c r="O75" s="10"/>
      <c r="P75" s="4">
        <v>15804.04</v>
      </c>
      <c r="Q75" s="4"/>
      <c r="R75" s="12">
        <f>IF(P$12=0,0,P75/P$12)</f>
        <v>0.10428585125552155</v>
      </c>
      <c r="S75" s="4"/>
      <c r="T75" s="4">
        <v>14292.48</v>
      </c>
      <c r="U75" s="4"/>
      <c r="V75" s="12">
        <f>IF(T$12=0,0,T75/T$12)</f>
        <v>0.10175046642963183</v>
      </c>
      <c r="W75" s="4"/>
      <c r="X75" s="4">
        <f>+P75-T75</f>
        <v>1511.5600000000013</v>
      </c>
      <c r="Y75" s="4"/>
      <c r="Z75" s="12">
        <f>IF(T75=0,0,X75/T75)</f>
        <v>0.10575911248432751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4</v>
      </c>
      <c r="C77" s="28"/>
      <c r="D77" s="34">
        <f>+D73-D75</f>
        <v>-9044.0400000000009</v>
      </c>
      <c r="E77" s="14"/>
      <c r="F77" s="31">
        <f>IF(D$12=0,0,D77/D$12)</f>
        <v>-0.66170366722979024</v>
      </c>
      <c r="G77" s="14"/>
      <c r="H77" s="34">
        <f>+H73-H75</f>
        <v>-7854.18</v>
      </c>
      <c r="I77" s="14"/>
      <c r="J77" s="31">
        <f>IF(H$12=0,0,H77/H$12)</f>
        <v>-0.54509113445620183</v>
      </c>
      <c r="K77" s="16"/>
      <c r="L77" s="34">
        <f>D77-H77</f>
        <v>-1189.8600000000006</v>
      </c>
      <c r="M77" s="16"/>
      <c r="N77" s="31">
        <f>IF(H77=0,0,L77/H77)</f>
        <v>0.15149385422793984</v>
      </c>
      <c r="O77" s="29"/>
      <c r="P77" s="34">
        <f>+P73-P75</f>
        <v>-61707.220000000052</v>
      </c>
      <c r="Q77" s="14"/>
      <c r="R77" s="31">
        <f>IF(P$12=0,0,P77/P$12)</f>
        <v>-0.40718638818376501</v>
      </c>
      <c r="S77" s="14"/>
      <c r="T77" s="34">
        <f>+T73-T75</f>
        <v>-39449.450000000026</v>
      </c>
      <c r="U77" s="14"/>
      <c r="V77" s="31">
        <f>IF(T$12=0,0,T77/T$12)</f>
        <v>-0.28084698651965523</v>
      </c>
      <c r="W77" s="16"/>
      <c r="X77" s="34">
        <f>P77-T77</f>
        <v>-22257.770000000026</v>
      </c>
      <c r="Y77" s="16"/>
      <c r="Z77" s="31">
        <f>IF(T77=0,0,X77/T77)</f>
        <v>0.5642098939275455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5</v>
      </c>
      <c r="C80" s="28"/>
      <c r="D80" s="30">
        <f>SUM(D77:D79)</f>
        <v>-9044.0400000000009</v>
      </c>
      <c r="E80" s="14"/>
      <c r="F80" s="33">
        <f>IF(D$12=0,0,D80/D$12)</f>
        <v>-0.66170366722979024</v>
      </c>
      <c r="G80" s="14"/>
      <c r="H80" s="30">
        <f>SUM(H77:H79)</f>
        <v>-7854.18</v>
      </c>
      <c r="I80" s="14"/>
      <c r="J80" s="33">
        <f>IF(H$12=0,0,H80/H$12)</f>
        <v>-0.54509113445620183</v>
      </c>
      <c r="K80" s="16"/>
      <c r="L80" s="30">
        <f>+D80-H80</f>
        <v>-1189.8600000000006</v>
      </c>
      <c r="M80" s="16"/>
      <c r="N80" s="33">
        <f>IF(H80=0,0,L80/H80)</f>
        <v>0.15149385422793984</v>
      </c>
      <c r="O80" s="29"/>
      <c r="P80" s="30">
        <f>SUM(P77:P79)</f>
        <v>-61707.220000000052</v>
      </c>
      <c r="Q80" s="14"/>
      <c r="R80" s="33">
        <f>IF(P$12=0,0,P80/P$12)</f>
        <v>-0.40718638818376501</v>
      </c>
      <c r="S80" s="14"/>
      <c r="T80" s="30">
        <f>SUM(T77:T79)</f>
        <v>-39449.450000000026</v>
      </c>
      <c r="U80" s="14"/>
      <c r="V80" s="33">
        <f>IF(T$12=0,0,T80/T$12)</f>
        <v>-0.28084698651965523</v>
      </c>
      <c r="W80" s="16"/>
      <c r="X80" s="30">
        <f>+P80-T80</f>
        <v>-22257.770000000026</v>
      </c>
      <c r="Y80" s="16"/>
      <c r="Z80" s="33">
        <f>IF(T80=0,0,X80/T80)</f>
        <v>0.5642098939275455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43879.554117361113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5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8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","411", " - ", "University Dining")</f>
        <v>Department 411 - University Dining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110462.60999999999</v>
      </c>
      <c r="E18" s="20"/>
      <c r="F18" s="32">
        <f t="shared" ref="F18:F28" si="0">IF(D$12=0,0,D18/D$12)</f>
        <v>0</v>
      </c>
      <c r="G18" s="20"/>
      <c r="H18" s="20">
        <f>SUM(OSRRefH22x_0)</f>
        <v>93196.290000000008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17266.319999999978</v>
      </c>
      <c r="M18" s="4"/>
      <c r="N18" s="32">
        <f t="shared" ref="N18:N28" si="3">IF(H18=0,0,L18/H18)</f>
        <v>0.1852683191573396</v>
      </c>
      <c r="O18" s="10"/>
      <c r="P18" s="20">
        <f>SUM(OSRRefP22x_0)</f>
        <v>714885.08000000007</v>
      </c>
      <c r="Q18" s="20"/>
      <c r="R18" s="32">
        <f t="shared" ref="R18:R28" si="4">IF(P$12=0,0,P18/P$12)</f>
        <v>0</v>
      </c>
      <c r="S18" s="20"/>
      <c r="T18" s="20">
        <f>SUM(OSRRefT22x_0)</f>
        <v>652151.98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62733.100000000093</v>
      </c>
      <c r="Y18" s="4"/>
      <c r="Z18" s="32">
        <f t="shared" ref="Z18:Z28" si="7">IF(T18=0,0,X18/T18)</f>
        <v>9.6193988401292743E-2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10145.91</v>
      </c>
      <c r="E19" s="1"/>
      <c r="F19" s="5">
        <f t="shared" si="0"/>
        <v>0</v>
      </c>
      <c r="G19" s="1"/>
      <c r="H19" s="1">
        <f>SUM(OSRRefH22_0x_0)</f>
        <v>12585.220000000001</v>
      </c>
      <c r="I19" s="1"/>
      <c r="J19" s="5">
        <f t="shared" si="1"/>
        <v>0</v>
      </c>
      <c r="K19" s="1"/>
      <c r="L19" s="1">
        <f t="shared" si="2"/>
        <v>-2439.3100000000013</v>
      </c>
      <c r="M19" s="1"/>
      <c r="N19" s="5">
        <f t="shared" si="3"/>
        <v>-0.19382338965866319</v>
      </c>
      <c r="O19" s="13"/>
      <c r="P19" s="1">
        <f>SUM(OSRRefP22_0x_0)</f>
        <v>77566.209999999977</v>
      </c>
      <c r="Q19" s="1"/>
      <c r="R19" s="5">
        <f t="shared" si="4"/>
        <v>0</v>
      </c>
      <c r="S19" s="1"/>
      <c r="T19" s="1">
        <f>SUM(OSRRefT22_0x_0)</f>
        <v>73825.8</v>
      </c>
      <c r="U19" s="1"/>
      <c r="V19" s="5">
        <f t="shared" si="5"/>
        <v>0</v>
      </c>
      <c r="W19" s="1"/>
      <c r="X19" s="1">
        <f t="shared" si="6"/>
        <v>3740.4099999999744</v>
      </c>
      <c r="Y19" s="1"/>
      <c r="Z19" s="5">
        <f t="shared" si="7"/>
        <v>5.0665350053774892E-2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1700.63</v>
      </c>
      <c r="E20" s="2"/>
      <c r="F20" s="7">
        <f t="shared" si="0"/>
        <v>0</v>
      </c>
      <c r="G20" s="2"/>
      <c r="H20" s="6">
        <v>1444.76</v>
      </c>
      <c r="I20" s="2"/>
      <c r="J20" s="7">
        <f t="shared" si="1"/>
        <v>0</v>
      </c>
      <c r="K20" s="2"/>
      <c r="L20" s="6">
        <f t="shared" si="2"/>
        <v>255.87000000000012</v>
      </c>
      <c r="M20" s="2"/>
      <c r="N20" s="7">
        <f t="shared" si="3"/>
        <v>0.17710207923807422</v>
      </c>
      <c r="O20" s="11"/>
      <c r="P20" s="6">
        <v>15867.729999999998</v>
      </c>
      <c r="Q20" s="2"/>
      <c r="R20" s="7">
        <f t="shared" si="4"/>
        <v>0</v>
      </c>
      <c r="S20" s="2"/>
      <c r="T20" s="6">
        <v>12581.99</v>
      </c>
      <c r="U20" s="2"/>
      <c r="V20" s="7">
        <f t="shared" si="5"/>
        <v>0</v>
      </c>
      <c r="W20" s="2"/>
      <c r="X20" s="6">
        <f t="shared" si="6"/>
        <v>3285.739999999998</v>
      </c>
      <c r="Y20" s="2"/>
      <c r="Z20" s="7">
        <f t="shared" si="7"/>
        <v>0.26114628925948902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772.42</v>
      </c>
      <c r="E21" s="2"/>
      <c r="F21" s="7">
        <f t="shared" si="0"/>
        <v>0</v>
      </c>
      <c r="G21" s="2"/>
      <c r="H21" s="6">
        <v>586.96</v>
      </c>
      <c r="I21" s="2"/>
      <c r="J21" s="7">
        <f t="shared" si="1"/>
        <v>0</v>
      </c>
      <c r="K21" s="2"/>
      <c r="L21" s="6">
        <f t="shared" si="2"/>
        <v>185.45999999999992</v>
      </c>
      <c r="M21" s="2"/>
      <c r="N21" s="7">
        <f t="shared" si="3"/>
        <v>0.31596701649175396</v>
      </c>
      <c r="O21" s="11"/>
      <c r="P21" s="6">
        <v>5568.4</v>
      </c>
      <c r="Q21" s="2"/>
      <c r="R21" s="7">
        <f t="shared" si="4"/>
        <v>0</v>
      </c>
      <c r="S21" s="2"/>
      <c r="T21" s="6">
        <v>5485.09</v>
      </c>
      <c r="U21" s="2"/>
      <c r="V21" s="7">
        <f t="shared" si="5"/>
        <v>0</v>
      </c>
      <c r="W21" s="2"/>
      <c r="X21" s="6">
        <f t="shared" si="6"/>
        <v>83.309999999999491</v>
      </c>
      <c r="Y21" s="2"/>
      <c r="Z21" s="7">
        <f t="shared" si="7"/>
        <v>1.518844722693693E-2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3028.71</v>
      </c>
      <c r="E22" s="2"/>
      <c r="F22" s="7">
        <f t="shared" si="0"/>
        <v>0</v>
      </c>
      <c r="G22" s="2"/>
      <c r="H22" s="6">
        <v>3851.96</v>
      </c>
      <c r="I22" s="2"/>
      <c r="J22" s="7">
        <f t="shared" si="1"/>
        <v>0</v>
      </c>
      <c r="K22" s="2"/>
      <c r="L22" s="6">
        <f t="shared" si="2"/>
        <v>-823.25</v>
      </c>
      <c r="M22" s="2"/>
      <c r="N22" s="7">
        <f t="shared" si="3"/>
        <v>-0.21372236471822137</v>
      </c>
      <c r="O22" s="11"/>
      <c r="P22" s="6">
        <v>24957.99</v>
      </c>
      <c r="Q22" s="2"/>
      <c r="R22" s="7">
        <f t="shared" si="4"/>
        <v>0</v>
      </c>
      <c r="S22" s="2"/>
      <c r="T22" s="6">
        <v>23100.95</v>
      </c>
      <c r="U22" s="2"/>
      <c r="V22" s="7">
        <f t="shared" si="5"/>
        <v>0</v>
      </c>
      <c r="W22" s="2"/>
      <c r="X22" s="6">
        <f t="shared" si="6"/>
        <v>1857.0400000000009</v>
      </c>
      <c r="Y22" s="2"/>
      <c r="Z22" s="7">
        <f t="shared" si="7"/>
        <v>8.0388035989861925E-2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62.94</v>
      </c>
      <c r="E23" s="2"/>
      <c r="F23" s="7">
        <f t="shared" si="0"/>
        <v>0</v>
      </c>
      <c r="G23" s="2"/>
      <c r="H23" s="6">
        <v>48.04</v>
      </c>
      <c r="I23" s="2"/>
      <c r="J23" s="7">
        <f t="shared" si="1"/>
        <v>0</v>
      </c>
      <c r="K23" s="2"/>
      <c r="L23" s="6">
        <f t="shared" si="2"/>
        <v>14.899999999999999</v>
      </c>
      <c r="M23" s="2"/>
      <c r="N23" s="7">
        <f t="shared" si="3"/>
        <v>0.31015820149875101</v>
      </c>
      <c r="O23" s="11"/>
      <c r="P23" s="6">
        <v>547.53</v>
      </c>
      <c r="Q23" s="2"/>
      <c r="R23" s="7">
        <f t="shared" si="4"/>
        <v>0</v>
      </c>
      <c r="S23" s="2"/>
      <c r="T23" s="6">
        <v>454.34</v>
      </c>
      <c r="U23" s="2"/>
      <c r="V23" s="7">
        <f t="shared" si="5"/>
        <v>0</v>
      </c>
      <c r="W23" s="2"/>
      <c r="X23" s="6">
        <f t="shared" si="6"/>
        <v>93.19</v>
      </c>
      <c r="Y23" s="2"/>
      <c r="Z23" s="7">
        <f t="shared" si="7"/>
        <v>0.2051107100409385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1863.26</v>
      </c>
      <c r="E24" s="2"/>
      <c r="F24" s="7">
        <f t="shared" si="0"/>
        <v>0</v>
      </c>
      <c r="G24" s="2"/>
      <c r="H24" s="6">
        <v>1594.47</v>
      </c>
      <c r="I24" s="2"/>
      <c r="J24" s="7">
        <f t="shared" si="1"/>
        <v>0</v>
      </c>
      <c r="K24" s="2"/>
      <c r="L24" s="6">
        <f t="shared" si="2"/>
        <v>268.78999999999996</v>
      </c>
      <c r="M24" s="2"/>
      <c r="N24" s="7">
        <f t="shared" si="3"/>
        <v>0.16857639215538703</v>
      </c>
      <c r="O24" s="11"/>
      <c r="P24" s="6">
        <v>10323.620000000001</v>
      </c>
      <c r="Q24" s="2"/>
      <c r="R24" s="7">
        <f t="shared" si="4"/>
        <v>0</v>
      </c>
      <c r="S24" s="2"/>
      <c r="T24" s="6">
        <v>9406.2099999999991</v>
      </c>
      <c r="U24" s="2"/>
      <c r="V24" s="7">
        <f t="shared" si="5"/>
        <v>0</v>
      </c>
      <c r="W24" s="2"/>
      <c r="X24" s="6">
        <f t="shared" si="6"/>
        <v>917.41000000000167</v>
      </c>
      <c r="Y24" s="2"/>
      <c r="Z24" s="7">
        <f t="shared" si="7"/>
        <v>9.7532374888504692E-2</v>
      </c>
    </row>
    <row r="25" spans="1:26" s="24" customFormat="1" hidden="1" outlineLevel="2" x14ac:dyDescent="0.25">
      <c r="A25" s="25"/>
      <c r="B25" s="11" t="str">
        <f>CONCATENATE("          ", "6117", " - ", "RETIREMENT STAFF HOURLY")</f>
        <v xml:space="preserve">          6117 - RETIREMENT STAFF HOURLY</v>
      </c>
      <c r="C25" s="11"/>
      <c r="D25" s="6">
        <v>84</v>
      </c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28</v>
      </c>
      <c r="M25" s="2"/>
      <c r="N25" s="7">
        <f t="shared" si="3"/>
        <v>0.5</v>
      </c>
      <c r="O25" s="11"/>
      <c r="P25" s="6">
        <v>448</v>
      </c>
      <c r="Q25" s="2"/>
      <c r="R25" s="7">
        <f t="shared" si="4"/>
        <v>0</v>
      </c>
      <c r="S25" s="2"/>
      <c r="T25" s="6">
        <v>420</v>
      </c>
      <c r="U25" s="2"/>
      <c r="V25" s="7">
        <f t="shared" si="5"/>
        <v>0</v>
      </c>
      <c r="W25" s="2"/>
      <c r="X25" s="6">
        <f t="shared" si="6"/>
        <v>28</v>
      </c>
      <c r="Y25" s="2"/>
      <c r="Z25" s="7">
        <f t="shared" si="7"/>
        <v>6.6666666666666666E-2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1432.54</v>
      </c>
      <c r="E26" s="2"/>
      <c r="F26" s="7">
        <f t="shared" si="0"/>
        <v>0</v>
      </c>
      <c r="G26" s="2"/>
      <c r="H26" s="6">
        <v>1880.49</v>
      </c>
      <c r="I26" s="2"/>
      <c r="J26" s="7">
        <f t="shared" si="1"/>
        <v>0</v>
      </c>
      <c r="K26" s="2"/>
      <c r="L26" s="6">
        <f t="shared" si="2"/>
        <v>-447.95000000000005</v>
      </c>
      <c r="M26" s="2"/>
      <c r="N26" s="7">
        <f t="shared" si="3"/>
        <v>-0.23820919015788442</v>
      </c>
      <c r="O26" s="11"/>
      <c r="P26" s="6">
        <v>10549.47</v>
      </c>
      <c r="Q26" s="2"/>
      <c r="R26" s="7">
        <f t="shared" si="4"/>
        <v>0</v>
      </c>
      <c r="S26" s="2"/>
      <c r="T26" s="6">
        <v>9784.44</v>
      </c>
      <c r="U26" s="2"/>
      <c r="V26" s="7">
        <f t="shared" si="5"/>
        <v>0</v>
      </c>
      <c r="W26" s="2"/>
      <c r="X26" s="6">
        <f t="shared" si="6"/>
        <v>765.02999999999884</v>
      </c>
      <c r="Y26" s="2"/>
      <c r="Z26" s="7">
        <f t="shared" si="7"/>
        <v>7.8188429792609371E-2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732.14</v>
      </c>
      <c r="E27" s="2"/>
      <c r="F27" s="7">
        <f t="shared" si="0"/>
        <v>0</v>
      </c>
      <c r="G27" s="2"/>
      <c r="H27" s="6">
        <v>2729.27</v>
      </c>
      <c r="I27" s="2"/>
      <c r="J27" s="7">
        <f t="shared" si="1"/>
        <v>0</v>
      </c>
      <c r="K27" s="2"/>
      <c r="L27" s="6">
        <f t="shared" si="2"/>
        <v>-1997.13</v>
      </c>
      <c r="M27" s="2"/>
      <c r="N27" s="7">
        <f t="shared" si="3"/>
        <v>-0.73174511865810277</v>
      </c>
      <c r="O27" s="11"/>
      <c r="P27" s="6">
        <v>6634.54</v>
      </c>
      <c r="Q27" s="2"/>
      <c r="R27" s="7">
        <f t="shared" si="4"/>
        <v>0</v>
      </c>
      <c r="S27" s="2"/>
      <c r="T27" s="6">
        <v>8990.76</v>
      </c>
      <c r="U27" s="2"/>
      <c r="V27" s="7">
        <f t="shared" si="5"/>
        <v>0</v>
      </c>
      <c r="W27" s="2"/>
      <c r="X27" s="6">
        <f t="shared" si="6"/>
        <v>-2356.2200000000003</v>
      </c>
      <c r="Y27" s="2"/>
      <c r="Z27" s="7">
        <f t="shared" si="7"/>
        <v>-0.26207128207181596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469.27</v>
      </c>
      <c r="E28" s="2"/>
      <c r="F28" s="7">
        <f t="shared" si="0"/>
        <v>0</v>
      </c>
      <c r="G28" s="2"/>
      <c r="H28" s="6">
        <v>393.27</v>
      </c>
      <c r="I28" s="2"/>
      <c r="J28" s="7">
        <f t="shared" si="1"/>
        <v>0</v>
      </c>
      <c r="K28" s="2"/>
      <c r="L28" s="6">
        <f t="shared" si="2"/>
        <v>76</v>
      </c>
      <c r="M28" s="2"/>
      <c r="N28" s="7">
        <f t="shared" si="3"/>
        <v>0.19325145574287386</v>
      </c>
      <c r="O28" s="11"/>
      <c r="P28" s="6">
        <v>2668.93</v>
      </c>
      <c r="Q28" s="2"/>
      <c r="R28" s="7">
        <f t="shared" si="4"/>
        <v>0</v>
      </c>
      <c r="S28" s="2"/>
      <c r="T28" s="6">
        <v>3602.02</v>
      </c>
      <c r="U28" s="2"/>
      <c r="V28" s="7">
        <f t="shared" si="5"/>
        <v>0</v>
      </c>
      <c r="W28" s="2"/>
      <c r="X28" s="6">
        <f t="shared" si="6"/>
        <v>-933.09000000000015</v>
      </c>
      <c r="Y28" s="2"/>
      <c r="Z28" s="7">
        <f t="shared" si="7"/>
        <v>-0.25904631290220492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28853.05</v>
      </c>
      <c r="E29" s="1"/>
      <c r="F29" s="5">
        <f t="shared" ref="F29:F35" si="8">IF(D$12=0,0,D29/D$12)</f>
        <v>0</v>
      </c>
      <c r="G29" s="1"/>
      <c r="H29" s="1">
        <f>SUM(OSRRefH22_1x_0)</f>
        <v>23518.81</v>
      </c>
      <c r="I29" s="1"/>
      <c r="J29" s="5">
        <f t="shared" ref="J29:J35" si="9">IF(H$12=0,0,H29/H$12)</f>
        <v>0</v>
      </c>
      <c r="K29" s="1"/>
      <c r="L29" s="1">
        <f t="shared" ref="L29:L35" si="10">+D29-H29</f>
        <v>5334.239999999998</v>
      </c>
      <c r="M29" s="1"/>
      <c r="N29" s="5">
        <f t="shared" ref="N29:N35" si="11">IF(H29=0,0,L29/H29)</f>
        <v>0.22680739374143494</v>
      </c>
      <c r="O29" s="13"/>
      <c r="P29" s="1">
        <f>SUM(OSRRefP22_1x_0)</f>
        <v>193017.95</v>
      </c>
      <c r="Q29" s="1"/>
      <c r="R29" s="5">
        <f t="shared" ref="R29:R35" si="12">IF(P$12=0,0,P29/P$12)</f>
        <v>0</v>
      </c>
      <c r="S29" s="1"/>
      <c r="T29" s="1">
        <f>SUM(OSRRefT22_1x_0)</f>
        <v>147234.34999999998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45783.600000000035</v>
      </c>
      <c r="Y29" s="1"/>
      <c r="Z29" s="5">
        <f t="shared" ref="Z29:Z35" si="15">IF(T29=0,0,X29/T29)</f>
        <v>0.31095732755297961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9694.7999999999993</v>
      </c>
      <c r="E30" s="2"/>
      <c r="F30" s="7">
        <f t="shared" si="8"/>
        <v>0</v>
      </c>
      <c r="G30" s="2"/>
      <c r="H30" s="6">
        <v>9412.59</v>
      </c>
      <c r="I30" s="2"/>
      <c r="J30" s="7">
        <f t="shared" si="9"/>
        <v>0</v>
      </c>
      <c r="K30" s="2"/>
      <c r="L30" s="6">
        <f t="shared" si="10"/>
        <v>282.20999999999913</v>
      </c>
      <c r="M30" s="2"/>
      <c r="N30" s="7">
        <f t="shared" si="11"/>
        <v>2.9982183437289749E-2</v>
      </c>
      <c r="O30" s="11"/>
      <c r="P30" s="6">
        <v>58171.14</v>
      </c>
      <c r="Q30" s="2"/>
      <c r="R30" s="7">
        <f t="shared" si="12"/>
        <v>0</v>
      </c>
      <c r="S30" s="2"/>
      <c r="T30" s="6">
        <v>58616.259999999995</v>
      </c>
      <c r="U30" s="2"/>
      <c r="V30" s="7">
        <f t="shared" si="13"/>
        <v>0</v>
      </c>
      <c r="W30" s="2"/>
      <c r="X30" s="6">
        <f t="shared" si="14"/>
        <v>-445.11999999999534</v>
      </c>
      <c r="Y30" s="2"/>
      <c r="Z30" s="7">
        <f t="shared" si="15"/>
        <v>-7.5937973524751561E-3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5230.32</v>
      </c>
      <c r="E31" s="2"/>
      <c r="F31" s="7">
        <f t="shared" si="8"/>
        <v>0</v>
      </c>
      <c r="G31" s="2"/>
      <c r="H31" s="6">
        <v>4800</v>
      </c>
      <c r="I31" s="2"/>
      <c r="J31" s="7">
        <f t="shared" si="9"/>
        <v>0</v>
      </c>
      <c r="K31" s="2"/>
      <c r="L31" s="6">
        <f t="shared" si="10"/>
        <v>430.31999999999971</v>
      </c>
      <c r="M31" s="2"/>
      <c r="N31" s="7">
        <f t="shared" si="11"/>
        <v>8.9649999999999938E-2</v>
      </c>
      <c r="O31" s="11"/>
      <c r="P31" s="6">
        <v>31692.969999999998</v>
      </c>
      <c r="Q31" s="2"/>
      <c r="R31" s="7">
        <f t="shared" si="12"/>
        <v>0</v>
      </c>
      <c r="S31" s="2"/>
      <c r="T31" s="6">
        <v>26372.32</v>
      </c>
      <c r="U31" s="2"/>
      <c r="V31" s="7">
        <f t="shared" si="13"/>
        <v>0</v>
      </c>
      <c r="W31" s="2"/>
      <c r="X31" s="6">
        <f t="shared" si="14"/>
        <v>5320.6499999999978</v>
      </c>
      <c r="Y31" s="2"/>
      <c r="Z31" s="7">
        <f t="shared" si="15"/>
        <v>0.20175130591468624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>
        <v>2184</v>
      </c>
      <c r="E32" s="2"/>
      <c r="F32" s="7">
        <f t="shared" si="8"/>
        <v>0</v>
      </c>
      <c r="G32" s="2"/>
      <c r="H32" s="6">
        <v>2168</v>
      </c>
      <c r="I32" s="2"/>
      <c r="J32" s="7">
        <f t="shared" si="9"/>
        <v>0</v>
      </c>
      <c r="K32" s="2"/>
      <c r="L32" s="6">
        <f t="shared" si="10"/>
        <v>16</v>
      </c>
      <c r="M32" s="2"/>
      <c r="N32" s="7">
        <f t="shared" si="11"/>
        <v>7.3800738007380072E-3</v>
      </c>
      <c r="O32" s="11"/>
      <c r="P32" s="6">
        <v>15911.84</v>
      </c>
      <c r="Q32" s="2"/>
      <c r="R32" s="7">
        <f t="shared" si="12"/>
        <v>0</v>
      </c>
      <c r="S32" s="2"/>
      <c r="T32" s="6">
        <v>12684.63</v>
      </c>
      <c r="U32" s="2"/>
      <c r="V32" s="7">
        <f t="shared" si="13"/>
        <v>0</v>
      </c>
      <c r="W32" s="2"/>
      <c r="X32" s="6">
        <f t="shared" si="14"/>
        <v>3227.2100000000009</v>
      </c>
      <c r="Y32" s="2"/>
      <c r="Z32" s="7">
        <f t="shared" si="15"/>
        <v>0.25441893062706605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6420.37</v>
      </c>
      <c r="E33" s="2"/>
      <c r="F33" s="7">
        <f t="shared" si="8"/>
        <v>0</v>
      </c>
      <c r="G33" s="2"/>
      <c r="H33" s="6">
        <v>4625.22</v>
      </c>
      <c r="I33" s="2"/>
      <c r="J33" s="7">
        <f t="shared" si="9"/>
        <v>0</v>
      </c>
      <c r="K33" s="2"/>
      <c r="L33" s="6">
        <f t="shared" si="10"/>
        <v>1795.1499999999996</v>
      </c>
      <c r="M33" s="2"/>
      <c r="N33" s="7">
        <f t="shared" si="11"/>
        <v>0.38812207851734609</v>
      </c>
      <c r="O33" s="11"/>
      <c r="P33" s="6">
        <v>70067.12</v>
      </c>
      <c r="Q33" s="2"/>
      <c r="R33" s="7">
        <f t="shared" si="12"/>
        <v>0</v>
      </c>
      <c r="S33" s="2"/>
      <c r="T33" s="6">
        <v>43737.39</v>
      </c>
      <c r="U33" s="2"/>
      <c r="V33" s="7">
        <f t="shared" si="13"/>
        <v>0</v>
      </c>
      <c r="W33" s="2"/>
      <c r="X33" s="6">
        <f t="shared" si="14"/>
        <v>26329.729999999996</v>
      </c>
      <c r="Y33" s="2"/>
      <c r="Z33" s="7">
        <f t="shared" si="15"/>
        <v>0.60199591242184314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1176.75</v>
      </c>
      <c r="U34" s="2"/>
      <c r="V34" s="7">
        <f t="shared" si="13"/>
        <v>0</v>
      </c>
      <c r="W34" s="2"/>
      <c r="X34" s="6">
        <f t="shared" si="14"/>
        <v>60.130000000000109</v>
      </c>
      <c r="Y34" s="2"/>
      <c r="Z34" s="7">
        <f t="shared" si="15"/>
        <v>5.1098364138517198E-2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>
        <v>5323.56</v>
      </c>
      <c r="E35" s="2"/>
      <c r="F35" s="7">
        <f t="shared" si="8"/>
        <v>0</v>
      </c>
      <c r="G35" s="2"/>
      <c r="H35" s="6">
        <v>2513</v>
      </c>
      <c r="I35" s="2"/>
      <c r="J35" s="7">
        <f t="shared" si="9"/>
        <v>0</v>
      </c>
      <c r="K35" s="2"/>
      <c r="L35" s="6">
        <f t="shared" si="10"/>
        <v>2810.5600000000004</v>
      </c>
      <c r="M35" s="2"/>
      <c r="N35" s="7">
        <f t="shared" si="11"/>
        <v>1.1184082769598092</v>
      </c>
      <c r="O35" s="11"/>
      <c r="P35" s="6">
        <v>15938</v>
      </c>
      <c r="Q35" s="2"/>
      <c r="R35" s="7">
        <f t="shared" si="12"/>
        <v>0</v>
      </c>
      <c r="S35" s="2"/>
      <c r="T35" s="6">
        <v>4647</v>
      </c>
      <c r="U35" s="2"/>
      <c r="V35" s="7">
        <f t="shared" si="13"/>
        <v>0</v>
      </c>
      <c r="W35" s="2"/>
      <c r="X35" s="6">
        <f t="shared" si="14"/>
        <v>11291</v>
      </c>
      <c r="Y35" s="2"/>
      <c r="Z35" s="7">
        <f t="shared" si="15"/>
        <v>2.4297396169571766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210.61</v>
      </c>
      <c r="E36" s="1"/>
      <c r="F36" s="5">
        <f t="shared" ref="F36:F41" si="16">IF(D$12=0,0,D36/D$12)</f>
        <v>0</v>
      </c>
      <c r="G36" s="1"/>
      <c r="H36" s="1">
        <f>SUM(OSRRefH22_2x_0)</f>
        <v>27.5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183.11</v>
      </c>
      <c r="M36" s="1"/>
      <c r="N36" s="5">
        <f t="shared" ref="N36:N41" si="19">IF(H36=0,0,L36/H36)</f>
        <v>6.6585454545454548</v>
      </c>
      <c r="O36" s="13"/>
      <c r="P36" s="1">
        <f>SUM(OSRRefP22_2x_0)</f>
        <v>3328.01</v>
      </c>
      <c r="Q36" s="1"/>
      <c r="R36" s="5">
        <f t="shared" ref="R36:R41" si="20">IF(P$12=0,0,P36/P$12)</f>
        <v>0</v>
      </c>
      <c r="S36" s="1"/>
      <c r="T36" s="1">
        <f>SUM(OSRRefT22_2x_0)</f>
        <v>1442.66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1885.3500000000001</v>
      </c>
      <c r="Y36" s="1"/>
      <c r="Z36" s="5">
        <f t="shared" ref="Z36:Z41" si="23">IF(T36=0,0,X36/T36)</f>
        <v>1.3068567784509171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>
        <v>210.61</v>
      </c>
      <c r="E37" s="2"/>
      <c r="F37" s="7">
        <f t="shared" si="16"/>
        <v>0</v>
      </c>
      <c r="G37" s="2"/>
      <c r="H37" s="6">
        <v>27.5</v>
      </c>
      <c r="I37" s="2"/>
      <c r="J37" s="7">
        <f t="shared" si="17"/>
        <v>0</v>
      </c>
      <c r="K37" s="2"/>
      <c r="L37" s="6">
        <f t="shared" si="18"/>
        <v>183.11</v>
      </c>
      <c r="M37" s="2"/>
      <c r="N37" s="7">
        <f t="shared" si="19"/>
        <v>6.6585454545454548</v>
      </c>
      <c r="O37" s="11"/>
      <c r="P37" s="6">
        <v>3328.01</v>
      </c>
      <c r="Q37" s="2"/>
      <c r="R37" s="7">
        <f t="shared" si="20"/>
        <v>0</v>
      </c>
      <c r="S37" s="2"/>
      <c r="T37" s="6">
        <v>1442.66</v>
      </c>
      <c r="U37" s="2"/>
      <c r="V37" s="7">
        <f t="shared" si="21"/>
        <v>0</v>
      </c>
      <c r="W37" s="2"/>
      <c r="X37" s="6">
        <f t="shared" si="22"/>
        <v>1885.3500000000001</v>
      </c>
      <c r="Y37" s="2"/>
      <c r="Z37" s="7">
        <f t="shared" si="23"/>
        <v>1.3068567784509171</v>
      </c>
    </row>
    <row r="38" spans="1:26" s="26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7262.6799999999994</v>
      </c>
      <c r="E38" s="1"/>
      <c r="F38" s="5">
        <f t="shared" si="16"/>
        <v>0</v>
      </c>
      <c r="G38" s="1"/>
      <c r="H38" s="1">
        <f>SUM(OSRRefH22_3x_0)</f>
        <v>7198.51</v>
      </c>
      <c r="I38" s="1"/>
      <c r="J38" s="5">
        <f t="shared" si="17"/>
        <v>0</v>
      </c>
      <c r="K38" s="1"/>
      <c r="L38" s="1">
        <f t="shared" si="18"/>
        <v>64.169999999999163</v>
      </c>
      <c r="M38" s="1"/>
      <c r="N38" s="5">
        <f t="shared" si="19"/>
        <v>8.9143447741267517E-3</v>
      </c>
      <c r="O38" s="13"/>
      <c r="P38" s="1">
        <f>SUM(OSRRefP22_3x_0)</f>
        <v>48633.56</v>
      </c>
      <c r="Q38" s="1"/>
      <c r="R38" s="5">
        <f t="shared" si="20"/>
        <v>0</v>
      </c>
      <c r="S38" s="1"/>
      <c r="T38" s="1">
        <f>SUM(OSRRefT22_3x_0)</f>
        <v>69363.429999999993</v>
      </c>
      <c r="U38" s="1"/>
      <c r="V38" s="5">
        <f t="shared" si="21"/>
        <v>0</v>
      </c>
      <c r="W38" s="1"/>
      <c r="X38" s="1">
        <f t="shared" si="22"/>
        <v>-20729.869999999995</v>
      </c>
      <c r="Y38" s="1"/>
      <c r="Z38" s="5">
        <f t="shared" si="23"/>
        <v>-0.29885877904250119</v>
      </c>
    </row>
    <row r="39" spans="1:26" s="24" customFormat="1" hidden="1" outlineLevel="2" x14ac:dyDescent="0.25">
      <c r="A39" s="25"/>
      <c r="B39" s="11" t="str">
        <f>CONCATENATE("          ", "6321", " - ", "BUILDING DEPRECIATION")</f>
        <v xml:space="preserve">          6321 - BUILDING DEPRECIATION</v>
      </c>
      <c r="C39" s="11"/>
      <c r="D39" s="6">
        <v>2266.9499999999998</v>
      </c>
      <c r="E39" s="2"/>
      <c r="F39" s="7">
        <f t="shared" si="16"/>
        <v>0</v>
      </c>
      <c r="G39" s="2"/>
      <c r="H39" s="6">
        <v>4040.07</v>
      </c>
      <c r="I39" s="2"/>
      <c r="J39" s="7">
        <f t="shared" si="17"/>
        <v>0</v>
      </c>
      <c r="K39" s="2"/>
      <c r="L39" s="6">
        <f t="shared" si="18"/>
        <v>-1773.1200000000003</v>
      </c>
      <c r="M39" s="2"/>
      <c r="N39" s="7">
        <f t="shared" si="19"/>
        <v>-0.43888348469209698</v>
      </c>
      <c r="O39" s="11"/>
      <c r="P39" s="6">
        <v>15868.649999999998</v>
      </c>
      <c r="Q39" s="2"/>
      <c r="R39" s="7">
        <f t="shared" si="20"/>
        <v>0</v>
      </c>
      <c r="S39" s="2"/>
      <c r="T39" s="6">
        <v>47254.35</v>
      </c>
      <c r="U39" s="2"/>
      <c r="V39" s="7">
        <f t="shared" si="21"/>
        <v>0</v>
      </c>
      <c r="W39" s="2"/>
      <c r="X39" s="6">
        <f t="shared" si="22"/>
        <v>-31385.7</v>
      </c>
      <c r="Y39" s="2"/>
      <c r="Z39" s="7">
        <f t="shared" si="23"/>
        <v>-0.66418647172165102</v>
      </c>
    </row>
    <row r="40" spans="1:26" s="24" customFormat="1" hidden="1" outlineLevel="2" x14ac:dyDescent="0.25">
      <c r="A40" s="25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4571.4799999999996</v>
      </c>
      <c r="E40" s="2"/>
      <c r="F40" s="7">
        <f t="shared" si="16"/>
        <v>0</v>
      </c>
      <c r="G40" s="2"/>
      <c r="H40" s="6">
        <v>2734.19</v>
      </c>
      <c r="I40" s="2"/>
      <c r="J40" s="7">
        <f t="shared" si="17"/>
        <v>0</v>
      </c>
      <c r="K40" s="2"/>
      <c r="L40" s="6">
        <f t="shared" si="18"/>
        <v>1837.2899999999995</v>
      </c>
      <c r="M40" s="2"/>
      <c r="N40" s="7">
        <f t="shared" si="19"/>
        <v>0.6719686634798604</v>
      </c>
      <c r="O40" s="11"/>
      <c r="P40" s="6">
        <v>29795.16</v>
      </c>
      <c r="Q40" s="2"/>
      <c r="R40" s="7">
        <f t="shared" si="20"/>
        <v>0</v>
      </c>
      <c r="S40" s="2"/>
      <c r="T40" s="6">
        <v>19139.329999999998</v>
      </c>
      <c r="U40" s="2"/>
      <c r="V40" s="7">
        <f t="shared" si="21"/>
        <v>0</v>
      </c>
      <c r="W40" s="2"/>
      <c r="X40" s="6">
        <f t="shared" si="22"/>
        <v>10655.830000000002</v>
      </c>
      <c r="Y40" s="2"/>
      <c r="Z40" s="7">
        <f t="shared" si="23"/>
        <v>0.55675041916305334</v>
      </c>
    </row>
    <row r="41" spans="1:26" s="24" customFormat="1" hidden="1" outlineLevel="2" x14ac:dyDescent="0.25">
      <c r="A41" s="25"/>
      <c r="B41" s="11" t="str">
        <f>CONCATENATE("          ", "6326", " - ", "VEHICLES DEPRECIATION EXPENSE")</f>
        <v xml:space="preserve">          6326 - VEHICLES DEPRECIATION EXPENSE</v>
      </c>
      <c r="C41" s="11"/>
      <c r="D41" s="6">
        <v>424.25</v>
      </c>
      <c r="E41" s="2"/>
      <c r="F41" s="7">
        <f t="shared" si="16"/>
        <v>0</v>
      </c>
      <c r="G41" s="2"/>
      <c r="H41" s="6">
        <v>424.25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2969.75</v>
      </c>
      <c r="Q41" s="2"/>
      <c r="R41" s="7">
        <f t="shared" si="20"/>
        <v>0</v>
      </c>
      <c r="S41" s="2"/>
      <c r="T41" s="6">
        <v>2969.75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6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0</v>
      </c>
      <c r="E42" s="1"/>
      <c r="F42" s="5">
        <f t="shared" ref="F42:F59" si="24">IF(D$12=0,0,D42/D$12)</f>
        <v>0</v>
      </c>
      <c r="G42" s="1"/>
      <c r="H42" s="1">
        <f>SUM(OSRRefH22_4x_0)</f>
        <v>0</v>
      </c>
      <c r="I42" s="1"/>
      <c r="J42" s="5">
        <f t="shared" ref="J42:J59" si="25">IF(H$12=0,0,H42/H$12)</f>
        <v>0</v>
      </c>
      <c r="K42" s="1"/>
      <c r="L42" s="1">
        <f t="shared" ref="L42:L59" si="26">+D42-H42</f>
        <v>0</v>
      </c>
      <c r="M42" s="1"/>
      <c r="N42" s="5">
        <f t="shared" ref="N42:N59" si="27">IF(H42=0,0,L42/H42)</f>
        <v>0</v>
      </c>
      <c r="O42" s="13"/>
      <c r="P42" s="1">
        <f>SUM(OSRRefP22_4x_0)</f>
        <v>163.68</v>
      </c>
      <c r="Q42" s="1"/>
      <c r="R42" s="5">
        <f t="shared" ref="R42:R59" si="28">IF(P$12=0,0,P42/P$12)</f>
        <v>0</v>
      </c>
      <c r="S42" s="1"/>
      <c r="T42" s="1">
        <f>SUM(OSRRefT22_4x_0)</f>
        <v>688.24</v>
      </c>
      <c r="U42" s="1"/>
      <c r="V42" s="5">
        <f t="shared" ref="V42:V59" si="29">IF(T$12=0,0,T42/T$12)</f>
        <v>0</v>
      </c>
      <c r="W42" s="1"/>
      <c r="X42" s="1">
        <f t="shared" ref="X42:X59" si="30">+P42-T42</f>
        <v>-524.55999999999995</v>
      </c>
      <c r="Y42" s="1"/>
      <c r="Z42" s="5">
        <f t="shared" ref="Z42:Z59" si="31">IF(T42=0,0,X42/T42)</f>
        <v>-0.76217598512146911</v>
      </c>
    </row>
    <row r="43" spans="1:26" s="24" customFormat="1" hidden="1" outlineLevel="2" x14ac:dyDescent="0.25">
      <c r="A43" s="25"/>
      <c r="B43" s="11" t="str">
        <f>CONCATENATE("          ", "6399", " - ", "DONATION-ON CAMPUS")</f>
        <v xml:space="preserve">          6399 - DONATION-ON CAMPUS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163.68</v>
      </c>
      <c r="Q43" s="2"/>
      <c r="R43" s="7">
        <f t="shared" si="28"/>
        <v>0</v>
      </c>
      <c r="S43" s="2"/>
      <c r="T43" s="6">
        <v>688.24</v>
      </c>
      <c r="U43" s="2"/>
      <c r="V43" s="7">
        <f t="shared" si="29"/>
        <v>0</v>
      </c>
      <c r="W43" s="2"/>
      <c r="X43" s="6">
        <f t="shared" si="30"/>
        <v>-524.55999999999995</v>
      </c>
      <c r="Y43" s="2"/>
      <c r="Z43" s="7">
        <f t="shared" si="31"/>
        <v>-0.76217598512146911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0</v>
      </c>
      <c r="E44" s="1"/>
      <c r="F44" s="5">
        <f t="shared" si="24"/>
        <v>0</v>
      </c>
      <c r="G44" s="1"/>
      <c r="H44" s="1">
        <f>SUM(OSRRefH22_5x_0)</f>
        <v>487.67</v>
      </c>
      <c r="I44" s="1"/>
      <c r="J44" s="5">
        <f t="shared" si="25"/>
        <v>0</v>
      </c>
      <c r="K44" s="1"/>
      <c r="L44" s="1">
        <f t="shared" si="26"/>
        <v>-487.67</v>
      </c>
      <c r="M44" s="1"/>
      <c r="N44" s="5">
        <f t="shared" si="27"/>
        <v>-1</v>
      </c>
      <c r="O44" s="13"/>
      <c r="P44" s="1">
        <f>SUM(OSRRefP22_5x_0)</f>
        <v>366.16</v>
      </c>
      <c r="Q44" s="1"/>
      <c r="R44" s="5">
        <f t="shared" si="28"/>
        <v>0</v>
      </c>
      <c r="S44" s="1"/>
      <c r="T44" s="1">
        <f>SUM(OSRRefT22_5x_0)</f>
        <v>1352.35</v>
      </c>
      <c r="U44" s="1"/>
      <c r="V44" s="5">
        <f t="shared" si="29"/>
        <v>0</v>
      </c>
      <c r="W44" s="1"/>
      <c r="X44" s="1">
        <f t="shared" si="30"/>
        <v>-986.18999999999983</v>
      </c>
      <c r="Y44" s="1"/>
      <c r="Z44" s="5">
        <f t="shared" si="31"/>
        <v>-0.72924169039080111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24"/>
        <v>0</v>
      </c>
      <c r="G45" s="2"/>
      <c r="H45" s="6">
        <v>487.67</v>
      </c>
      <c r="I45" s="2"/>
      <c r="J45" s="7">
        <f t="shared" si="25"/>
        <v>0</v>
      </c>
      <c r="K45" s="2"/>
      <c r="L45" s="6">
        <f t="shared" si="26"/>
        <v>-487.67</v>
      </c>
      <c r="M45" s="2"/>
      <c r="N45" s="7">
        <f t="shared" si="27"/>
        <v>-1</v>
      </c>
      <c r="O45" s="11"/>
      <c r="P45" s="6">
        <v>366.16</v>
      </c>
      <c r="Q45" s="2"/>
      <c r="R45" s="7">
        <f t="shared" si="28"/>
        <v>0</v>
      </c>
      <c r="S45" s="2"/>
      <c r="T45" s="6">
        <v>1352.35</v>
      </c>
      <c r="U45" s="2"/>
      <c r="V45" s="7">
        <f t="shared" si="29"/>
        <v>0</v>
      </c>
      <c r="W45" s="2"/>
      <c r="X45" s="6">
        <f t="shared" si="30"/>
        <v>-986.18999999999983</v>
      </c>
      <c r="Y45" s="2"/>
      <c r="Z45" s="7">
        <f t="shared" si="31"/>
        <v>-0.72924169039080111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916.05</v>
      </c>
      <c r="E46" s="1"/>
      <c r="F46" s="5">
        <f t="shared" si="24"/>
        <v>0</v>
      </c>
      <c r="G46" s="1"/>
      <c r="H46" s="1">
        <f>SUM(OSRRefH22_6x_0)</f>
        <v>1054.08</v>
      </c>
      <c r="I46" s="1"/>
      <c r="J46" s="5">
        <f t="shared" si="25"/>
        <v>0</v>
      </c>
      <c r="K46" s="1"/>
      <c r="L46" s="1">
        <f t="shared" si="26"/>
        <v>-138.02999999999997</v>
      </c>
      <c r="M46" s="1"/>
      <c r="N46" s="5">
        <f t="shared" si="27"/>
        <v>-0.13094831511839708</v>
      </c>
      <c r="O46" s="13"/>
      <c r="P46" s="1">
        <f>SUM(OSRRefP22_6x_0)</f>
        <v>7512.24</v>
      </c>
      <c r="Q46" s="1"/>
      <c r="R46" s="5">
        <f t="shared" si="28"/>
        <v>0</v>
      </c>
      <c r="S46" s="1"/>
      <c r="T46" s="1">
        <f>SUM(OSRRefT22_6x_0)</f>
        <v>7010.09</v>
      </c>
      <c r="U46" s="1"/>
      <c r="V46" s="5">
        <f t="shared" si="29"/>
        <v>0</v>
      </c>
      <c r="W46" s="1"/>
      <c r="X46" s="1">
        <f t="shared" si="30"/>
        <v>502.14999999999964</v>
      </c>
      <c r="Y46" s="1"/>
      <c r="Z46" s="5">
        <f t="shared" si="31"/>
        <v>7.1632461209485132E-2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>
        <v>916.05</v>
      </c>
      <c r="E47" s="2"/>
      <c r="F47" s="7">
        <f t="shared" si="24"/>
        <v>0</v>
      </c>
      <c r="G47" s="2"/>
      <c r="H47" s="6">
        <v>1054.08</v>
      </c>
      <c r="I47" s="2"/>
      <c r="J47" s="7">
        <f t="shared" si="25"/>
        <v>0</v>
      </c>
      <c r="K47" s="2"/>
      <c r="L47" s="6">
        <f t="shared" si="26"/>
        <v>-138.02999999999997</v>
      </c>
      <c r="M47" s="2"/>
      <c r="N47" s="7">
        <f t="shared" si="27"/>
        <v>-0.13094831511839708</v>
      </c>
      <c r="O47" s="11"/>
      <c r="P47" s="6">
        <v>7512.24</v>
      </c>
      <c r="Q47" s="2"/>
      <c r="R47" s="7">
        <f t="shared" si="28"/>
        <v>0</v>
      </c>
      <c r="S47" s="2"/>
      <c r="T47" s="6">
        <v>7010.09</v>
      </c>
      <c r="U47" s="2"/>
      <c r="V47" s="7">
        <f t="shared" si="29"/>
        <v>0</v>
      </c>
      <c r="W47" s="2"/>
      <c r="X47" s="6">
        <f t="shared" si="30"/>
        <v>502.14999999999964</v>
      </c>
      <c r="Y47" s="2"/>
      <c r="Z47" s="7">
        <f t="shared" si="31"/>
        <v>7.1632461209485132E-2</v>
      </c>
    </row>
    <row r="48" spans="1:26" s="26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3"/>
      <c r="P48" s="1">
        <f>SUM(OSRRefP22_7x_0)</f>
        <v>0</v>
      </c>
      <c r="Q48" s="1"/>
      <c r="R48" s="5">
        <f t="shared" si="28"/>
        <v>0</v>
      </c>
      <c r="S48" s="1"/>
      <c r="T48" s="1">
        <f>SUM(OSRRefT22_7x_0)</f>
        <v>9.01</v>
      </c>
      <c r="U48" s="1"/>
      <c r="V48" s="5">
        <f t="shared" si="29"/>
        <v>0</v>
      </c>
      <c r="W48" s="1"/>
      <c r="X48" s="1">
        <f t="shared" si="30"/>
        <v>-9.01</v>
      </c>
      <c r="Y48" s="1"/>
      <c r="Z48" s="5">
        <f t="shared" si="31"/>
        <v>-1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9.01</v>
      </c>
      <c r="U49" s="2"/>
      <c r="V49" s="7">
        <f t="shared" si="29"/>
        <v>0</v>
      </c>
      <c r="W49" s="2"/>
      <c r="X49" s="6">
        <f t="shared" si="30"/>
        <v>-9.01</v>
      </c>
      <c r="Y49" s="2"/>
      <c r="Z49" s="7">
        <f t="shared" si="31"/>
        <v>-1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2621.58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2621.58</v>
      </c>
      <c r="M50" s="1"/>
      <c r="N50" s="5">
        <f t="shared" si="27"/>
        <v>0</v>
      </c>
      <c r="O50" s="13"/>
      <c r="P50" s="1">
        <f>SUM(OSRRefP22_8x_0)</f>
        <v>22691.710000000003</v>
      </c>
      <c r="Q50" s="1"/>
      <c r="R50" s="5">
        <f t="shared" si="28"/>
        <v>0</v>
      </c>
      <c r="S50" s="1"/>
      <c r="T50" s="1">
        <f>SUM(OSRRefT22_8x_0)</f>
        <v>2935</v>
      </c>
      <c r="U50" s="1"/>
      <c r="V50" s="5">
        <f t="shared" si="29"/>
        <v>0</v>
      </c>
      <c r="W50" s="1"/>
      <c r="X50" s="1">
        <f t="shared" si="30"/>
        <v>19756.710000000003</v>
      </c>
      <c r="Y50" s="1"/>
      <c r="Z50" s="5">
        <f t="shared" si="31"/>
        <v>6.7314173764906311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2621.58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2621.58</v>
      </c>
      <c r="M51" s="2"/>
      <c r="N51" s="7">
        <f t="shared" si="27"/>
        <v>0</v>
      </c>
      <c r="O51" s="11"/>
      <c r="P51" s="6">
        <v>22691.710000000003</v>
      </c>
      <c r="Q51" s="2"/>
      <c r="R51" s="7">
        <f t="shared" si="28"/>
        <v>0</v>
      </c>
      <c r="S51" s="2"/>
      <c r="T51" s="6">
        <v>2935</v>
      </c>
      <c r="U51" s="2"/>
      <c r="V51" s="7">
        <f t="shared" si="29"/>
        <v>0</v>
      </c>
      <c r="W51" s="2"/>
      <c r="X51" s="6">
        <f t="shared" si="30"/>
        <v>19756.710000000003</v>
      </c>
      <c r="Y51" s="2"/>
      <c r="Z51" s="7">
        <f t="shared" si="31"/>
        <v>6.7314173764906311</v>
      </c>
    </row>
    <row r="52" spans="1:26" s="26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SUM(OSRRefD22_9x_0)</f>
        <v>3598.85</v>
      </c>
      <c r="E52" s="1"/>
      <c r="F52" s="5">
        <f t="shared" si="24"/>
        <v>0</v>
      </c>
      <c r="G52" s="1"/>
      <c r="H52" s="1">
        <f>SUM(OSRRefH22_9x_0)</f>
        <v>3389.02</v>
      </c>
      <c r="I52" s="1"/>
      <c r="J52" s="5">
        <f t="shared" si="25"/>
        <v>0</v>
      </c>
      <c r="K52" s="1"/>
      <c r="L52" s="1">
        <f t="shared" si="26"/>
        <v>209.82999999999993</v>
      </c>
      <c r="M52" s="1"/>
      <c r="N52" s="5">
        <f t="shared" si="27"/>
        <v>6.191465379372206E-2</v>
      </c>
      <c r="O52" s="13"/>
      <c r="P52" s="1">
        <f>SUM(OSRRefP22_9x_0)</f>
        <v>25191.95</v>
      </c>
      <c r="Q52" s="1"/>
      <c r="R52" s="5">
        <f t="shared" si="28"/>
        <v>0</v>
      </c>
      <c r="S52" s="1"/>
      <c r="T52" s="1">
        <f>SUM(OSRRefT22_9x_0)</f>
        <v>28311.14</v>
      </c>
      <c r="U52" s="1"/>
      <c r="V52" s="5">
        <f t="shared" si="29"/>
        <v>0</v>
      </c>
      <c r="W52" s="1"/>
      <c r="X52" s="1">
        <f t="shared" si="30"/>
        <v>-3119.1899999999987</v>
      </c>
      <c r="Y52" s="1"/>
      <c r="Z52" s="5">
        <f t="shared" si="31"/>
        <v>-0.11017535853377854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6">
        <v>3598.85</v>
      </c>
      <c r="E53" s="2"/>
      <c r="F53" s="7">
        <f t="shared" si="24"/>
        <v>0</v>
      </c>
      <c r="G53" s="2"/>
      <c r="H53" s="6">
        <v>3389.02</v>
      </c>
      <c r="I53" s="2"/>
      <c r="J53" s="7">
        <f t="shared" si="25"/>
        <v>0</v>
      </c>
      <c r="K53" s="2"/>
      <c r="L53" s="6">
        <f t="shared" si="26"/>
        <v>209.82999999999993</v>
      </c>
      <c r="M53" s="2"/>
      <c r="N53" s="7">
        <f t="shared" si="27"/>
        <v>6.191465379372206E-2</v>
      </c>
      <c r="O53" s="11"/>
      <c r="P53" s="6">
        <v>25191.95</v>
      </c>
      <c r="Q53" s="2"/>
      <c r="R53" s="7">
        <f t="shared" si="28"/>
        <v>0</v>
      </c>
      <c r="S53" s="2"/>
      <c r="T53" s="6">
        <v>28311.14</v>
      </c>
      <c r="U53" s="2"/>
      <c r="V53" s="7">
        <f t="shared" si="29"/>
        <v>0</v>
      </c>
      <c r="W53" s="2"/>
      <c r="X53" s="6">
        <f t="shared" si="30"/>
        <v>-3119.1899999999987</v>
      </c>
      <c r="Y53" s="2"/>
      <c r="Z53" s="7">
        <f t="shared" si="31"/>
        <v>-0.11017535853377854</v>
      </c>
    </row>
    <row r="54" spans="1:26" s="26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SUM(OSRRefD22_10x_0)</f>
        <v>0</v>
      </c>
      <c r="E54" s="1"/>
      <c r="F54" s="5">
        <f t="shared" si="24"/>
        <v>0</v>
      </c>
      <c r="G54" s="1"/>
      <c r="H54" s="1">
        <f>SUM(OSRRefH22_10x_0)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125</v>
      </c>
      <c r="Q54" s="1"/>
      <c r="R54" s="5">
        <f t="shared" si="28"/>
        <v>0</v>
      </c>
      <c r="S54" s="1"/>
      <c r="T54" s="1">
        <f>SUM(OSRRefT22_10x_0)</f>
        <v>0</v>
      </c>
      <c r="U54" s="1"/>
      <c r="V54" s="5">
        <f t="shared" si="29"/>
        <v>0</v>
      </c>
      <c r="W54" s="1"/>
      <c r="X54" s="1">
        <f t="shared" si="30"/>
        <v>125</v>
      </c>
      <c r="Y54" s="1"/>
      <c r="Z54" s="5">
        <f t="shared" si="31"/>
        <v>0</v>
      </c>
    </row>
    <row r="55" spans="1:26" s="24" customFormat="1" hidden="1" outlineLevel="2" x14ac:dyDescent="0.25">
      <c r="A55" s="25"/>
      <c r="B55" s="11" t="str">
        <f>CONCATENATE("          ", "6336", " - ", "PROFESSIONAL SERVICES")</f>
        <v xml:space="preserve">          6336 - PROFESSIONAL SERVICES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125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125</v>
      </c>
      <c r="Y55" s="2"/>
      <c r="Z55" s="7">
        <f t="shared" si="31"/>
        <v>0</v>
      </c>
    </row>
    <row r="56" spans="1:26" s="26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22064.329999999998</v>
      </c>
      <c r="E56" s="1"/>
      <c r="F56" s="5">
        <f t="shared" si="24"/>
        <v>0</v>
      </c>
      <c r="G56" s="1"/>
      <c r="H56" s="1">
        <f>SUM(OSRRefH22_11x_0)</f>
        <v>10986.84</v>
      </c>
      <c r="I56" s="1"/>
      <c r="J56" s="5">
        <f t="shared" si="25"/>
        <v>0</v>
      </c>
      <c r="K56" s="1"/>
      <c r="L56" s="1">
        <f t="shared" si="26"/>
        <v>11077.489999999998</v>
      </c>
      <c r="M56" s="1"/>
      <c r="N56" s="5">
        <f t="shared" si="27"/>
        <v>1.0082507800241014</v>
      </c>
      <c r="O56" s="13"/>
      <c r="P56" s="1">
        <f>SUM(OSRRefP22_11x_0)</f>
        <v>85720.47</v>
      </c>
      <c r="Q56" s="1"/>
      <c r="R56" s="5">
        <f t="shared" si="28"/>
        <v>0</v>
      </c>
      <c r="S56" s="1"/>
      <c r="T56" s="1">
        <f>SUM(OSRRefT22_11x_0)</f>
        <v>104334.27</v>
      </c>
      <c r="U56" s="1"/>
      <c r="V56" s="5">
        <f t="shared" si="29"/>
        <v>0</v>
      </c>
      <c r="W56" s="1"/>
      <c r="X56" s="1">
        <f t="shared" si="30"/>
        <v>-18613.800000000003</v>
      </c>
      <c r="Y56" s="1"/>
      <c r="Z56" s="5">
        <f t="shared" si="31"/>
        <v>-0.1784054270950475</v>
      </c>
    </row>
    <row r="57" spans="1:26" s="24" customFormat="1" hidden="1" outlineLevel="2" x14ac:dyDescent="0.25">
      <c r="A57" s="25"/>
      <c r="B57" s="11" t="str">
        <f>CONCATENATE("          ", "6371", " - ", "COMPUTER SOFTWARE MAINTENANCE")</f>
        <v xml:space="preserve">          6371 - COMPUTER SOFTWARE MAINTENANCE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/>
      <c r="Q57" s="2"/>
      <c r="R57" s="7">
        <f t="shared" si="28"/>
        <v>0</v>
      </c>
      <c r="S57" s="2"/>
      <c r="T57" s="6">
        <v>16463.21</v>
      </c>
      <c r="U57" s="2"/>
      <c r="V57" s="7">
        <f t="shared" si="29"/>
        <v>0</v>
      </c>
      <c r="W57" s="2"/>
      <c r="X57" s="6">
        <f t="shared" si="30"/>
        <v>-16463.21</v>
      </c>
      <c r="Y57" s="2"/>
      <c r="Z57" s="7">
        <f t="shared" si="31"/>
        <v>-1</v>
      </c>
    </row>
    <row r="58" spans="1:26" s="24" customFormat="1" hidden="1" outlineLevel="2" x14ac:dyDescent="0.25">
      <c r="A58" s="25"/>
      <c r="B58" s="11" t="str">
        <f>CONCATENATE("          ", "6373", " - ", "MAINTENANCE CONTRACTS")</f>
        <v xml:space="preserve">          6373 - MAINTENANCE CONTRACTS</v>
      </c>
      <c r="C58" s="11"/>
      <c r="D58" s="6">
        <v>5000</v>
      </c>
      <c r="E58" s="2"/>
      <c r="F58" s="7">
        <f t="shared" si="24"/>
        <v>0</v>
      </c>
      <c r="G58" s="2"/>
      <c r="H58" s="6">
        <v>5418.82</v>
      </c>
      <c r="I58" s="2"/>
      <c r="J58" s="7">
        <f t="shared" si="25"/>
        <v>0</v>
      </c>
      <c r="K58" s="2"/>
      <c r="L58" s="6">
        <f t="shared" si="26"/>
        <v>-418.81999999999971</v>
      </c>
      <c r="M58" s="2"/>
      <c r="N58" s="7">
        <f t="shared" si="27"/>
        <v>-7.7289889680779156E-2</v>
      </c>
      <c r="O58" s="11"/>
      <c r="P58" s="6">
        <v>43499.58</v>
      </c>
      <c r="Q58" s="2"/>
      <c r="R58" s="7">
        <f t="shared" si="28"/>
        <v>0</v>
      </c>
      <c r="S58" s="2"/>
      <c r="T58" s="6">
        <v>61802.780000000006</v>
      </c>
      <c r="U58" s="2"/>
      <c r="V58" s="7">
        <f t="shared" si="29"/>
        <v>0</v>
      </c>
      <c r="W58" s="2"/>
      <c r="X58" s="6">
        <f t="shared" si="30"/>
        <v>-18303.200000000004</v>
      </c>
      <c r="Y58" s="2"/>
      <c r="Z58" s="7">
        <f t="shared" si="31"/>
        <v>-0.29615496260847818</v>
      </c>
    </row>
    <row r="59" spans="1:26" s="24" customFormat="1" hidden="1" outlineLevel="2" x14ac:dyDescent="0.25">
      <c r="A59" s="25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17064.329999999998</v>
      </c>
      <c r="E59" s="2"/>
      <c r="F59" s="7">
        <f t="shared" si="24"/>
        <v>0</v>
      </c>
      <c r="G59" s="2"/>
      <c r="H59" s="6">
        <v>5568.02</v>
      </c>
      <c r="I59" s="2"/>
      <c r="J59" s="7">
        <f t="shared" si="25"/>
        <v>0</v>
      </c>
      <c r="K59" s="2"/>
      <c r="L59" s="6">
        <f t="shared" si="26"/>
        <v>11496.309999999998</v>
      </c>
      <c r="M59" s="2"/>
      <c r="N59" s="7">
        <f t="shared" si="27"/>
        <v>2.0647034313813521</v>
      </c>
      <c r="O59" s="11"/>
      <c r="P59" s="6">
        <v>42220.89</v>
      </c>
      <c r="Q59" s="2"/>
      <c r="R59" s="7">
        <f t="shared" si="28"/>
        <v>0</v>
      </c>
      <c r="S59" s="2"/>
      <c r="T59" s="6">
        <v>26068.28</v>
      </c>
      <c r="U59" s="2"/>
      <c r="V59" s="7">
        <f t="shared" si="29"/>
        <v>0</v>
      </c>
      <c r="W59" s="2"/>
      <c r="X59" s="6">
        <f t="shared" si="30"/>
        <v>16152.61</v>
      </c>
      <c r="Y59" s="2"/>
      <c r="Z59" s="7">
        <f t="shared" si="31"/>
        <v>0.61962699495325357</v>
      </c>
    </row>
    <row r="60" spans="1:26" s="26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15575.48</v>
      </c>
      <c r="E60" s="1"/>
      <c r="F60" s="5">
        <f t="shared" ref="F60:F65" si="32">IF(D$12=0,0,D60/D$12)</f>
        <v>0</v>
      </c>
      <c r="G60" s="1"/>
      <c r="H60" s="1">
        <f>SUM(OSRRefH22_12x_0)</f>
        <v>14872.54</v>
      </c>
      <c r="I60" s="1"/>
      <c r="J60" s="5">
        <f t="shared" ref="J60:J65" si="33">IF(H$12=0,0,H60/H$12)</f>
        <v>0</v>
      </c>
      <c r="K60" s="1"/>
      <c r="L60" s="1">
        <f t="shared" ref="L60:L65" si="34">+D60-H60</f>
        <v>702.93999999999869</v>
      </c>
      <c r="M60" s="1"/>
      <c r="N60" s="5">
        <f t="shared" ref="N60:N65" si="35">IF(H60=0,0,L60/H60)</f>
        <v>4.726428706865126E-2</v>
      </c>
      <c r="O60" s="13"/>
      <c r="P60" s="1">
        <f>SUM(OSRRefP22_12x_0)</f>
        <v>99045.51999999999</v>
      </c>
      <c r="Q60" s="1"/>
      <c r="R60" s="5">
        <f t="shared" ref="R60:R65" si="36">IF(P$12=0,0,P60/P$12)</f>
        <v>0</v>
      </c>
      <c r="S60" s="1"/>
      <c r="T60" s="1">
        <f>SUM(OSRRefT22_12x_0)</f>
        <v>104544.75</v>
      </c>
      <c r="U60" s="1"/>
      <c r="V60" s="5">
        <f t="shared" ref="V60:V65" si="37">IF(T$12=0,0,T60/T$12)</f>
        <v>0</v>
      </c>
      <c r="W60" s="1"/>
      <c r="X60" s="1">
        <f t="shared" ref="X60:X65" si="38">+P60-T60</f>
        <v>-5499.2300000000105</v>
      </c>
      <c r="Y60" s="1"/>
      <c r="Z60" s="5">
        <f t="shared" ref="Z60:Z65" si="39">IF(T60=0,0,X60/T60)</f>
        <v>-5.2601684924398505E-2</v>
      </c>
    </row>
    <row r="61" spans="1:26" s="24" customFormat="1" hidden="1" outlineLevel="2" x14ac:dyDescent="0.25">
      <c r="A61" s="25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626.26</v>
      </c>
      <c r="E61" s="2"/>
      <c r="F61" s="7">
        <f t="shared" si="32"/>
        <v>0</v>
      </c>
      <c r="G61" s="2"/>
      <c r="H61" s="6">
        <v>626.26</v>
      </c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5010.08</v>
      </c>
      <c r="Q61" s="2"/>
      <c r="R61" s="7">
        <f t="shared" si="36"/>
        <v>0</v>
      </c>
      <c r="S61" s="2"/>
      <c r="T61" s="6">
        <v>3757.56</v>
      </c>
      <c r="U61" s="2"/>
      <c r="V61" s="7">
        <f t="shared" si="37"/>
        <v>0</v>
      </c>
      <c r="W61" s="2"/>
      <c r="X61" s="6">
        <f t="shared" si="38"/>
        <v>1252.52</v>
      </c>
      <c r="Y61" s="2"/>
      <c r="Z61" s="7">
        <f t="shared" si="39"/>
        <v>0.33333333333333331</v>
      </c>
    </row>
    <row r="62" spans="1:26" s="24" customFormat="1" hidden="1" outlineLevel="2" x14ac:dyDescent="0.25">
      <c r="A62" s="25"/>
      <c r="B62" s="11" t="str">
        <f>CONCATENATE("          ", "6283", " - ", "PLANT SERVICE")</f>
        <v xml:space="preserve">          6283 - PLANT SERVICE</v>
      </c>
      <c r="C62" s="11"/>
      <c r="D62" s="6"/>
      <c r="E62" s="2"/>
      <c r="F62" s="7">
        <f t="shared" si="32"/>
        <v>0</v>
      </c>
      <c r="G62" s="2"/>
      <c r="H62" s="6">
        <v>33</v>
      </c>
      <c r="I62" s="2"/>
      <c r="J62" s="7">
        <f t="shared" si="33"/>
        <v>0</v>
      </c>
      <c r="K62" s="2"/>
      <c r="L62" s="6">
        <f t="shared" si="34"/>
        <v>-33</v>
      </c>
      <c r="M62" s="2"/>
      <c r="N62" s="7">
        <f t="shared" si="35"/>
        <v>-1</v>
      </c>
      <c r="O62" s="11"/>
      <c r="P62" s="6">
        <v>142.12</v>
      </c>
      <c r="Q62" s="2"/>
      <c r="R62" s="7">
        <f t="shared" si="36"/>
        <v>0</v>
      </c>
      <c r="S62" s="2"/>
      <c r="T62" s="6">
        <v>231</v>
      </c>
      <c r="U62" s="2"/>
      <c r="V62" s="7">
        <f t="shared" si="37"/>
        <v>0</v>
      </c>
      <c r="W62" s="2"/>
      <c r="X62" s="6">
        <f t="shared" si="38"/>
        <v>-88.88</v>
      </c>
      <c r="Y62" s="2"/>
      <c r="Z62" s="7">
        <f t="shared" si="39"/>
        <v>-0.38476190476190475</v>
      </c>
    </row>
    <row r="63" spans="1:26" s="24" customFormat="1" hidden="1" outlineLevel="2" x14ac:dyDescent="0.25">
      <c r="A63" s="25"/>
      <c r="B63" s="11" t="str">
        <f>CONCATENATE("          ", "6284", " - ", "TRASH REMOVAL EXPENSE")</f>
        <v xml:space="preserve">          6284 - TRASH REMOVAL EXPENSE</v>
      </c>
      <c r="C63" s="11"/>
      <c r="D63" s="6">
        <v>4254</v>
      </c>
      <c r="E63" s="2"/>
      <c r="F63" s="7">
        <f t="shared" si="32"/>
        <v>0</v>
      </c>
      <c r="G63" s="2"/>
      <c r="H63" s="6">
        <v>3482</v>
      </c>
      <c r="I63" s="2"/>
      <c r="J63" s="7">
        <f t="shared" si="33"/>
        <v>0</v>
      </c>
      <c r="K63" s="2"/>
      <c r="L63" s="6">
        <f t="shared" si="34"/>
        <v>772</v>
      </c>
      <c r="M63" s="2"/>
      <c r="N63" s="7">
        <f t="shared" si="35"/>
        <v>0.22171165996553704</v>
      </c>
      <c r="O63" s="11"/>
      <c r="P63" s="6">
        <v>21995</v>
      </c>
      <c r="Q63" s="2"/>
      <c r="R63" s="7">
        <f t="shared" si="36"/>
        <v>0</v>
      </c>
      <c r="S63" s="2"/>
      <c r="T63" s="6">
        <v>32773.990000000005</v>
      </c>
      <c r="U63" s="2"/>
      <c r="V63" s="7">
        <f t="shared" si="37"/>
        <v>0</v>
      </c>
      <c r="W63" s="2"/>
      <c r="X63" s="6">
        <f t="shared" si="38"/>
        <v>-10778.990000000005</v>
      </c>
      <c r="Y63" s="2"/>
      <c r="Z63" s="7">
        <f t="shared" si="39"/>
        <v>-0.32888854851057203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6">
        <v>10551.47</v>
      </c>
      <c r="E64" s="2"/>
      <c r="F64" s="7">
        <f t="shared" si="32"/>
        <v>0</v>
      </c>
      <c r="G64" s="2"/>
      <c r="H64" s="6">
        <v>10557.51</v>
      </c>
      <c r="I64" s="2"/>
      <c r="J64" s="7">
        <f t="shared" si="33"/>
        <v>0</v>
      </c>
      <c r="K64" s="2"/>
      <c r="L64" s="6">
        <f t="shared" si="34"/>
        <v>-6.0400000000008731</v>
      </c>
      <c r="M64" s="2"/>
      <c r="N64" s="7">
        <f t="shared" si="35"/>
        <v>-5.7210459663319026E-4</v>
      </c>
      <c r="O64" s="11"/>
      <c r="P64" s="6">
        <v>71302.53</v>
      </c>
      <c r="Q64" s="2"/>
      <c r="R64" s="7">
        <f t="shared" si="36"/>
        <v>0</v>
      </c>
      <c r="S64" s="2"/>
      <c r="T64" s="6">
        <v>66470.17</v>
      </c>
      <c r="U64" s="2"/>
      <c r="V64" s="7">
        <f t="shared" si="37"/>
        <v>0</v>
      </c>
      <c r="W64" s="2"/>
      <c r="X64" s="6">
        <f t="shared" si="38"/>
        <v>4832.3600000000006</v>
      </c>
      <c r="Y64" s="2"/>
      <c r="Z64" s="7">
        <f t="shared" si="39"/>
        <v>7.2699678667889678E-2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143.75</v>
      </c>
      <c r="E65" s="2"/>
      <c r="F65" s="7">
        <f t="shared" si="32"/>
        <v>0</v>
      </c>
      <c r="G65" s="2"/>
      <c r="H65" s="6">
        <v>173.77</v>
      </c>
      <c r="I65" s="2"/>
      <c r="J65" s="7">
        <f t="shared" si="33"/>
        <v>0</v>
      </c>
      <c r="K65" s="2"/>
      <c r="L65" s="6">
        <f t="shared" si="34"/>
        <v>-30.02000000000001</v>
      </c>
      <c r="M65" s="2"/>
      <c r="N65" s="7">
        <f t="shared" si="35"/>
        <v>-0.172757092708753</v>
      </c>
      <c r="O65" s="11"/>
      <c r="P65" s="6">
        <v>595.79</v>
      </c>
      <c r="Q65" s="2"/>
      <c r="R65" s="7">
        <f t="shared" si="36"/>
        <v>0</v>
      </c>
      <c r="S65" s="2"/>
      <c r="T65" s="6">
        <v>1312.03</v>
      </c>
      <c r="U65" s="2"/>
      <c r="V65" s="7">
        <f t="shared" si="37"/>
        <v>0</v>
      </c>
      <c r="W65" s="2"/>
      <c r="X65" s="6">
        <f t="shared" si="38"/>
        <v>-716.24</v>
      </c>
      <c r="Y65" s="2"/>
      <c r="Z65" s="7">
        <f t="shared" si="39"/>
        <v>-0.54590215162763045</v>
      </c>
    </row>
    <row r="66" spans="1:26" s="26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ref="F66:F68" si="40">IF(D$12=0,0,D66/D$12)</f>
        <v>0</v>
      </c>
      <c r="G66" s="1"/>
      <c r="H66" s="1">
        <f>SUM(OSRRefH22_13x_0)</f>
        <v>1182.8399999999999</v>
      </c>
      <c r="I66" s="1"/>
      <c r="J66" s="5">
        <f t="shared" ref="J66:J68" si="41">IF(H$12=0,0,H66/H$12)</f>
        <v>0</v>
      </c>
      <c r="K66" s="1"/>
      <c r="L66" s="1">
        <f t="shared" ref="L66:L68" si="42">+D66-H66</f>
        <v>-1182.8399999999999</v>
      </c>
      <c r="M66" s="1"/>
      <c r="N66" s="5">
        <f t="shared" ref="N66:N68" si="43">IF(H66=0,0,L66/H66)</f>
        <v>-1</v>
      </c>
      <c r="O66" s="13"/>
      <c r="P66" s="1">
        <f>SUM(OSRRefP22_13x_0)</f>
        <v>795</v>
      </c>
      <c r="Q66" s="1"/>
      <c r="R66" s="5">
        <f t="shared" ref="R66:R68" si="44">IF(P$12=0,0,P66/P$12)</f>
        <v>0</v>
      </c>
      <c r="S66" s="1"/>
      <c r="T66" s="1">
        <f>SUM(OSRRefT22_13x_0)</f>
        <v>1182.8399999999999</v>
      </c>
      <c r="U66" s="1"/>
      <c r="V66" s="5">
        <f t="shared" ref="V66:V68" si="45">IF(T$12=0,0,T66/T$12)</f>
        <v>0</v>
      </c>
      <c r="W66" s="1"/>
      <c r="X66" s="1">
        <f t="shared" ref="X66:X68" si="46">+P66-T66</f>
        <v>-387.83999999999992</v>
      </c>
      <c r="Y66" s="1"/>
      <c r="Z66" s="5">
        <f t="shared" ref="Z66:Z68" si="47">IF(T66=0,0,X66/T66)</f>
        <v>-0.32788880998275333</v>
      </c>
    </row>
    <row r="67" spans="1:26" s="24" customFormat="1" hidden="1" outlineLevel="2" x14ac:dyDescent="0.25">
      <c r="A67" s="25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795</v>
      </c>
      <c r="Q67" s="2"/>
      <c r="R67" s="7">
        <f t="shared" si="44"/>
        <v>0</v>
      </c>
      <c r="S67" s="2"/>
      <c r="T67" s="6"/>
      <c r="U67" s="2"/>
      <c r="V67" s="7">
        <f t="shared" si="45"/>
        <v>0</v>
      </c>
      <c r="W67" s="2"/>
      <c r="X67" s="6">
        <f t="shared" si="46"/>
        <v>795</v>
      </c>
      <c r="Y67" s="2"/>
      <c r="Z67" s="7">
        <f t="shared" si="47"/>
        <v>0</v>
      </c>
    </row>
    <row r="68" spans="1:26" s="24" customFormat="1" hidden="1" outlineLevel="2" x14ac:dyDescent="0.25">
      <c r="A68" s="25"/>
      <c r="B68" s="11" t="str">
        <f>CONCATENATE("          ", "6275", " - ", "SUBSCRIPTIONS")</f>
        <v xml:space="preserve">          6275 - SUBSCRIPTIONS</v>
      </c>
      <c r="C68" s="11"/>
      <c r="D68" s="6"/>
      <c r="E68" s="2"/>
      <c r="F68" s="7">
        <f t="shared" si="40"/>
        <v>0</v>
      </c>
      <c r="G68" s="2"/>
      <c r="H68" s="6">
        <v>1182.8399999999999</v>
      </c>
      <c r="I68" s="2"/>
      <c r="J68" s="7">
        <f t="shared" si="41"/>
        <v>0</v>
      </c>
      <c r="K68" s="2"/>
      <c r="L68" s="6">
        <f t="shared" si="42"/>
        <v>-1182.8399999999999</v>
      </c>
      <c r="M68" s="2"/>
      <c r="N68" s="7">
        <f t="shared" si="43"/>
        <v>-1</v>
      </c>
      <c r="O68" s="11"/>
      <c r="P68" s="6"/>
      <c r="Q68" s="2"/>
      <c r="R68" s="7">
        <f t="shared" si="44"/>
        <v>0</v>
      </c>
      <c r="S68" s="2"/>
      <c r="T68" s="6">
        <v>1182.8399999999999</v>
      </c>
      <c r="U68" s="2"/>
      <c r="V68" s="7">
        <f t="shared" si="45"/>
        <v>0</v>
      </c>
      <c r="W68" s="2"/>
      <c r="X68" s="6">
        <f t="shared" si="46"/>
        <v>-1182.8399999999999</v>
      </c>
      <c r="Y68" s="2"/>
      <c r="Z68" s="7">
        <f t="shared" si="47"/>
        <v>-1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5597.5599999999986</v>
      </c>
      <c r="E69" s="1"/>
      <c r="F69" s="5">
        <f t="shared" ref="F69:F77" si="48">IF(D$12=0,0,D69/D$12)</f>
        <v>0</v>
      </c>
      <c r="G69" s="1"/>
      <c r="H69" s="1">
        <f>SUM(OSRRefH22_14x_0)</f>
        <v>6495.1</v>
      </c>
      <c r="I69" s="1"/>
      <c r="J69" s="5">
        <f t="shared" ref="J69:J77" si="49">IF(H$12=0,0,H69/H$12)</f>
        <v>0</v>
      </c>
      <c r="K69" s="1"/>
      <c r="L69" s="1">
        <f t="shared" ref="L69:L77" si="50">+D69-H69</f>
        <v>-897.54000000000178</v>
      </c>
      <c r="M69" s="1"/>
      <c r="N69" s="5">
        <f t="shared" ref="N69:N77" si="51">IF(H69=0,0,L69/H69)</f>
        <v>-0.13818724884913269</v>
      </c>
      <c r="O69" s="13"/>
      <c r="P69" s="1">
        <f>SUM(OSRRefP22_14x_0)</f>
        <v>51269.640000000007</v>
      </c>
      <c r="Q69" s="1"/>
      <c r="R69" s="5">
        <f t="shared" ref="R69:R77" si="52">IF(P$12=0,0,P69/P$12)</f>
        <v>0</v>
      </c>
      <c r="S69" s="1"/>
      <c r="T69" s="1">
        <f>SUM(OSRRefT22_14x_0)</f>
        <v>45960.78</v>
      </c>
      <c r="U69" s="1"/>
      <c r="V69" s="5">
        <f t="shared" ref="V69:V77" si="53">IF(T$12=0,0,T69/T$12)</f>
        <v>0</v>
      </c>
      <c r="W69" s="1"/>
      <c r="X69" s="1">
        <f t="shared" ref="X69:X77" si="54">+P69-T69</f>
        <v>5308.8600000000079</v>
      </c>
      <c r="Y69" s="1"/>
      <c r="Z69" s="5">
        <f t="shared" ref="Z69:Z77" si="55">IF(T69=0,0,X69/T69)</f>
        <v>0.11550848353748583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1"/>
      <c r="P70" s="6">
        <v>8091.25</v>
      </c>
      <c r="Q70" s="2"/>
      <c r="R70" s="7">
        <f t="shared" si="52"/>
        <v>0</v>
      </c>
      <c r="S70" s="2"/>
      <c r="T70" s="6">
        <v>732.36</v>
      </c>
      <c r="U70" s="2"/>
      <c r="V70" s="7">
        <f t="shared" si="53"/>
        <v>0</v>
      </c>
      <c r="W70" s="2"/>
      <c r="X70" s="6">
        <f t="shared" si="54"/>
        <v>7358.89</v>
      </c>
      <c r="Y70" s="2"/>
      <c r="Z70" s="7">
        <f t="shared" si="55"/>
        <v>10.04818668414441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>
        <v>4198.7299999999996</v>
      </c>
      <c r="E71" s="2"/>
      <c r="F71" s="7">
        <f t="shared" si="48"/>
        <v>0</v>
      </c>
      <c r="G71" s="2"/>
      <c r="H71" s="6">
        <v>3890.44</v>
      </c>
      <c r="I71" s="2"/>
      <c r="J71" s="7">
        <f t="shared" si="49"/>
        <v>0</v>
      </c>
      <c r="K71" s="2"/>
      <c r="L71" s="6">
        <f t="shared" si="50"/>
        <v>308.28999999999951</v>
      </c>
      <c r="M71" s="2"/>
      <c r="N71" s="7">
        <f t="shared" si="51"/>
        <v>7.9242964806037236E-2</v>
      </c>
      <c r="O71" s="11"/>
      <c r="P71" s="6">
        <v>26479.350000000002</v>
      </c>
      <c r="Q71" s="2"/>
      <c r="R71" s="7">
        <f t="shared" si="52"/>
        <v>0</v>
      </c>
      <c r="S71" s="2"/>
      <c r="T71" s="6">
        <v>21719.870000000003</v>
      </c>
      <c r="U71" s="2"/>
      <c r="V71" s="7">
        <f t="shared" si="53"/>
        <v>0</v>
      </c>
      <c r="W71" s="2"/>
      <c r="X71" s="6">
        <f t="shared" si="54"/>
        <v>4759.4799999999996</v>
      </c>
      <c r="Y71" s="2"/>
      <c r="Z71" s="7">
        <f t="shared" si="55"/>
        <v>0.21913022499674256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>
        <v>1335.61</v>
      </c>
      <c r="E72" s="2"/>
      <c r="F72" s="7">
        <f t="shared" si="48"/>
        <v>0</v>
      </c>
      <c r="G72" s="2"/>
      <c r="H72" s="6">
        <v>1421.72</v>
      </c>
      <c r="I72" s="2"/>
      <c r="J72" s="7">
        <f t="shared" si="49"/>
        <v>0</v>
      </c>
      <c r="K72" s="2"/>
      <c r="L72" s="6">
        <f t="shared" si="50"/>
        <v>-86.110000000000127</v>
      </c>
      <c r="M72" s="2"/>
      <c r="N72" s="7">
        <f t="shared" si="51"/>
        <v>-6.0567481641954905E-2</v>
      </c>
      <c r="O72" s="11"/>
      <c r="P72" s="6">
        <v>15338.670000000002</v>
      </c>
      <c r="Q72" s="2"/>
      <c r="R72" s="7">
        <f t="shared" si="52"/>
        <v>0</v>
      </c>
      <c r="S72" s="2"/>
      <c r="T72" s="6">
        <v>11059.85</v>
      </c>
      <c r="U72" s="2"/>
      <c r="V72" s="7">
        <f t="shared" si="53"/>
        <v>0</v>
      </c>
      <c r="W72" s="2"/>
      <c r="X72" s="6">
        <f t="shared" si="54"/>
        <v>4278.8200000000015</v>
      </c>
      <c r="Y72" s="2"/>
      <c r="Z72" s="7">
        <f t="shared" si="55"/>
        <v>0.38687866471968441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47.23</v>
      </c>
      <c r="E73" s="2"/>
      <c r="F73" s="7">
        <f t="shared" si="48"/>
        <v>0</v>
      </c>
      <c r="G73" s="2"/>
      <c r="H73" s="6">
        <v>1057.44</v>
      </c>
      <c r="I73" s="2"/>
      <c r="J73" s="7">
        <f t="shared" si="49"/>
        <v>0</v>
      </c>
      <c r="K73" s="2"/>
      <c r="L73" s="6">
        <f t="shared" si="50"/>
        <v>-1010.21</v>
      </c>
      <c r="M73" s="2"/>
      <c r="N73" s="7">
        <f t="shared" si="51"/>
        <v>-0.95533552731124227</v>
      </c>
      <c r="O73" s="11"/>
      <c r="P73" s="6">
        <v>1045.48</v>
      </c>
      <c r="Q73" s="2"/>
      <c r="R73" s="7">
        <f t="shared" si="52"/>
        <v>0</v>
      </c>
      <c r="S73" s="2"/>
      <c r="T73" s="6">
        <v>7378.94</v>
      </c>
      <c r="U73" s="2"/>
      <c r="V73" s="7">
        <f t="shared" si="53"/>
        <v>0</v>
      </c>
      <c r="W73" s="2"/>
      <c r="X73" s="6">
        <f t="shared" si="54"/>
        <v>-6333.4599999999991</v>
      </c>
      <c r="Y73" s="2"/>
      <c r="Z73" s="7">
        <f t="shared" si="55"/>
        <v>-0.85831569303992161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48"/>
        <v>0</v>
      </c>
      <c r="G74" s="2"/>
      <c r="H74" s="6">
        <v>92.66</v>
      </c>
      <c r="I74" s="2"/>
      <c r="J74" s="7">
        <f t="shared" si="49"/>
        <v>0</v>
      </c>
      <c r="K74" s="2"/>
      <c r="L74" s="6">
        <f t="shared" si="50"/>
        <v>-92.66</v>
      </c>
      <c r="M74" s="2"/>
      <c r="N74" s="7">
        <f t="shared" si="51"/>
        <v>-1</v>
      </c>
      <c r="O74" s="11"/>
      <c r="P74" s="6"/>
      <c r="Q74" s="2"/>
      <c r="R74" s="7">
        <f t="shared" si="52"/>
        <v>0</v>
      </c>
      <c r="S74" s="2"/>
      <c r="T74" s="6">
        <v>3679.3</v>
      </c>
      <c r="U74" s="2"/>
      <c r="V74" s="7">
        <f t="shared" si="53"/>
        <v>0</v>
      </c>
      <c r="W74" s="2"/>
      <c r="X74" s="6">
        <f t="shared" si="54"/>
        <v>-3679.3</v>
      </c>
      <c r="Y74" s="2"/>
      <c r="Z74" s="7">
        <f t="shared" si="55"/>
        <v>-1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>
        <v>15.99</v>
      </c>
      <c r="E75" s="2"/>
      <c r="F75" s="7">
        <f t="shared" si="48"/>
        <v>0</v>
      </c>
      <c r="G75" s="2"/>
      <c r="H75" s="6">
        <v>32.840000000000003</v>
      </c>
      <c r="I75" s="2"/>
      <c r="J75" s="7">
        <f t="shared" si="49"/>
        <v>0</v>
      </c>
      <c r="K75" s="2"/>
      <c r="L75" s="6">
        <f t="shared" si="50"/>
        <v>-16.850000000000001</v>
      </c>
      <c r="M75" s="2"/>
      <c r="N75" s="7">
        <f t="shared" si="51"/>
        <v>-0.51309378806333739</v>
      </c>
      <c r="O75" s="11"/>
      <c r="P75" s="6">
        <v>15.99</v>
      </c>
      <c r="Q75" s="2"/>
      <c r="R75" s="7">
        <f t="shared" si="52"/>
        <v>0</v>
      </c>
      <c r="S75" s="2"/>
      <c r="T75" s="6">
        <v>32.840000000000003</v>
      </c>
      <c r="U75" s="2"/>
      <c r="V75" s="7">
        <f t="shared" si="53"/>
        <v>0</v>
      </c>
      <c r="W75" s="2"/>
      <c r="X75" s="6">
        <f t="shared" si="54"/>
        <v>-16.850000000000001</v>
      </c>
      <c r="Y75" s="2"/>
      <c r="Z75" s="7">
        <f t="shared" si="55"/>
        <v>-0.51309378806333739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1"/>
      <c r="P76" s="6"/>
      <c r="Q76" s="2"/>
      <c r="R76" s="7">
        <f t="shared" si="52"/>
        <v>0</v>
      </c>
      <c r="S76" s="2"/>
      <c r="T76" s="6">
        <v>81.99</v>
      </c>
      <c r="U76" s="2"/>
      <c r="V76" s="7">
        <f t="shared" si="53"/>
        <v>0</v>
      </c>
      <c r="W76" s="2"/>
      <c r="X76" s="6">
        <f t="shared" si="54"/>
        <v>-81.99</v>
      </c>
      <c r="Y76" s="2"/>
      <c r="Z76" s="7">
        <f t="shared" si="55"/>
        <v>-1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>
        <v>298.89999999999998</v>
      </c>
      <c r="Q77" s="2"/>
      <c r="R77" s="7">
        <f t="shared" si="52"/>
        <v>0</v>
      </c>
      <c r="S77" s="2"/>
      <c r="T77" s="6">
        <v>1275.6300000000001</v>
      </c>
      <c r="U77" s="2"/>
      <c r="V77" s="7">
        <f t="shared" si="53"/>
        <v>0</v>
      </c>
      <c r="W77" s="2"/>
      <c r="X77" s="6">
        <f t="shared" si="54"/>
        <v>-976.73000000000013</v>
      </c>
      <c r="Y77" s="2"/>
      <c r="Z77" s="7">
        <f t="shared" si="55"/>
        <v>-0.7656844069205021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567.98</v>
      </c>
      <c r="E78" s="1"/>
      <c r="F78" s="5">
        <f t="shared" ref="F78:F85" si="56">IF(D$12=0,0,D78/D$12)</f>
        <v>0</v>
      </c>
      <c r="G78" s="1"/>
      <c r="H78" s="1">
        <f>SUM(OSRRefH22_15x_0)</f>
        <v>-12</v>
      </c>
      <c r="I78" s="1"/>
      <c r="J78" s="5">
        <f t="shared" ref="J78:J85" si="57">IF(H$12=0,0,H78/H$12)</f>
        <v>0</v>
      </c>
      <c r="K78" s="1"/>
      <c r="L78" s="1">
        <f t="shared" ref="L78:L85" si="58">+D78-H78</f>
        <v>579.98</v>
      </c>
      <c r="M78" s="1"/>
      <c r="N78" s="5">
        <f t="shared" ref="N78:N85" si="59">IF(H78=0,0,L78/H78)</f>
        <v>-48.331666666666671</v>
      </c>
      <c r="O78" s="13"/>
      <c r="P78" s="1">
        <f>SUM(OSRRefP22_15x_0)</f>
        <v>2903.78</v>
      </c>
      <c r="Q78" s="1"/>
      <c r="R78" s="5">
        <f t="shared" ref="R78:R85" si="60">IF(P$12=0,0,P78/P$12)</f>
        <v>0</v>
      </c>
      <c r="S78" s="1"/>
      <c r="T78" s="1">
        <f>SUM(OSRRefT22_15x_0)</f>
        <v>2551.75</v>
      </c>
      <c r="U78" s="1"/>
      <c r="V78" s="5">
        <f t="shared" ref="V78:V85" si="61">IF(T$12=0,0,T78/T$12)</f>
        <v>0</v>
      </c>
      <c r="W78" s="1"/>
      <c r="X78" s="1">
        <f t="shared" ref="X78:X85" si="62">+P78-T78</f>
        <v>352.0300000000002</v>
      </c>
      <c r="Y78" s="1"/>
      <c r="Z78" s="5">
        <f t="shared" ref="Z78:Z85" si="63">IF(T78=0,0,X78/T78)</f>
        <v>0.13795630449691396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567.98</v>
      </c>
      <c r="E79" s="2"/>
      <c r="F79" s="7">
        <f t="shared" si="56"/>
        <v>0</v>
      </c>
      <c r="G79" s="2"/>
      <c r="H79" s="6">
        <v>-12</v>
      </c>
      <c r="I79" s="2"/>
      <c r="J79" s="7">
        <f t="shared" si="57"/>
        <v>0</v>
      </c>
      <c r="K79" s="2"/>
      <c r="L79" s="6">
        <f t="shared" si="58"/>
        <v>579.98</v>
      </c>
      <c r="M79" s="2"/>
      <c r="N79" s="7">
        <f t="shared" si="59"/>
        <v>-48.331666666666671</v>
      </c>
      <c r="O79" s="11"/>
      <c r="P79" s="6">
        <v>2903.78</v>
      </c>
      <c r="Q79" s="2"/>
      <c r="R79" s="7">
        <f t="shared" si="60"/>
        <v>0</v>
      </c>
      <c r="S79" s="2"/>
      <c r="T79" s="6">
        <v>2551.75</v>
      </c>
      <c r="U79" s="2"/>
      <c r="V79" s="7">
        <f t="shared" si="61"/>
        <v>0</v>
      </c>
      <c r="W79" s="2"/>
      <c r="X79" s="6">
        <f t="shared" si="62"/>
        <v>352.0300000000002</v>
      </c>
      <c r="Y79" s="2"/>
      <c r="Z79" s="7">
        <f t="shared" si="63"/>
        <v>0.13795630449691396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56"/>
        <v>0</v>
      </c>
      <c r="G80" s="1"/>
      <c r="H80" s="1">
        <f>SUM(OSRRefH22_16x_0)</f>
        <v>0</v>
      </c>
      <c r="I80" s="1"/>
      <c r="J80" s="5">
        <f t="shared" si="57"/>
        <v>0</v>
      </c>
      <c r="K80" s="1"/>
      <c r="L80" s="1">
        <f t="shared" si="58"/>
        <v>0</v>
      </c>
      <c r="M80" s="1"/>
      <c r="N80" s="5">
        <f t="shared" si="59"/>
        <v>0</v>
      </c>
      <c r="O80" s="13"/>
      <c r="P80" s="1">
        <f>SUM(OSRRefP22_16x_0)</f>
        <v>240</v>
      </c>
      <c r="Q80" s="1"/>
      <c r="R80" s="5">
        <f t="shared" si="60"/>
        <v>0</v>
      </c>
      <c r="S80" s="1"/>
      <c r="T80" s="1">
        <f>SUM(OSRRefT22_16x_0)</f>
        <v>170</v>
      </c>
      <c r="U80" s="1"/>
      <c r="V80" s="5">
        <f t="shared" si="61"/>
        <v>0</v>
      </c>
      <c r="W80" s="1"/>
      <c r="X80" s="1">
        <f t="shared" si="62"/>
        <v>70</v>
      </c>
      <c r="Y80" s="1"/>
      <c r="Z80" s="5">
        <f t="shared" si="63"/>
        <v>0.41176470588235292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0</v>
      </c>
      <c r="M81" s="2"/>
      <c r="N81" s="7">
        <f t="shared" si="59"/>
        <v>0</v>
      </c>
      <c r="O81" s="11"/>
      <c r="P81" s="6">
        <v>240</v>
      </c>
      <c r="Q81" s="2"/>
      <c r="R81" s="7">
        <f t="shared" si="60"/>
        <v>0</v>
      </c>
      <c r="S81" s="2"/>
      <c r="T81" s="6">
        <v>170</v>
      </c>
      <c r="U81" s="2"/>
      <c r="V81" s="7">
        <f t="shared" si="61"/>
        <v>0</v>
      </c>
      <c r="W81" s="2"/>
      <c r="X81" s="6">
        <f t="shared" si="62"/>
        <v>70</v>
      </c>
      <c r="Y81" s="2"/>
      <c r="Z81" s="7">
        <f t="shared" si="63"/>
        <v>0.41176470588235292</v>
      </c>
    </row>
    <row r="82" spans="1:26" s="26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SUM(OSRRefD22_17x_0)</f>
        <v>125.53</v>
      </c>
      <c r="E82" s="1"/>
      <c r="F82" s="5">
        <f t="shared" si="56"/>
        <v>0</v>
      </c>
      <c r="G82" s="1"/>
      <c r="H82" s="1">
        <f>SUM(OSRRefH22_17x_0)</f>
        <v>54.16</v>
      </c>
      <c r="I82" s="1"/>
      <c r="J82" s="5">
        <f t="shared" si="57"/>
        <v>0</v>
      </c>
      <c r="K82" s="1"/>
      <c r="L82" s="1">
        <f t="shared" si="58"/>
        <v>71.37</v>
      </c>
      <c r="M82" s="1"/>
      <c r="N82" s="5">
        <f t="shared" si="59"/>
        <v>1.3177621861152145</v>
      </c>
      <c r="O82" s="13"/>
      <c r="P82" s="1">
        <f>SUM(OSRRefP22_17x_0)</f>
        <v>1800.2</v>
      </c>
      <c r="Q82" s="1"/>
      <c r="R82" s="5">
        <f t="shared" si="60"/>
        <v>0</v>
      </c>
      <c r="S82" s="1"/>
      <c r="T82" s="1">
        <f>SUM(OSRRefT22_17x_0)</f>
        <v>2009.8</v>
      </c>
      <c r="U82" s="1"/>
      <c r="V82" s="5">
        <f t="shared" si="61"/>
        <v>0</v>
      </c>
      <c r="W82" s="1"/>
      <c r="X82" s="1">
        <f t="shared" si="62"/>
        <v>-209.59999999999991</v>
      </c>
      <c r="Y82" s="1"/>
      <c r="Z82" s="5">
        <f t="shared" si="63"/>
        <v>-0.10428898397850528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6">
        <v>21.44</v>
      </c>
      <c r="E83" s="2"/>
      <c r="F83" s="7">
        <f t="shared" si="56"/>
        <v>0</v>
      </c>
      <c r="G83" s="2"/>
      <c r="H83" s="6">
        <v>54.16</v>
      </c>
      <c r="I83" s="2"/>
      <c r="J83" s="7">
        <f t="shared" si="57"/>
        <v>0</v>
      </c>
      <c r="K83" s="2"/>
      <c r="L83" s="6">
        <f t="shared" si="58"/>
        <v>-32.72</v>
      </c>
      <c r="M83" s="2"/>
      <c r="N83" s="7">
        <f t="shared" si="59"/>
        <v>-0.60413589364844911</v>
      </c>
      <c r="O83" s="11"/>
      <c r="P83" s="6">
        <v>877.89</v>
      </c>
      <c r="Q83" s="2"/>
      <c r="R83" s="7">
        <f t="shared" si="60"/>
        <v>0</v>
      </c>
      <c r="S83" s="2"/>
      <c r="T83" s="6">
        <v>1339.02</v>
      </c>
      <c r="U83" s="2"/>
      <c r="V83" s="7">
        <f t="shared" si="61"/>
        <v>0</v>
      </c>
      <c r="W83" s="2"/>
      <c r="X83" s="6">
        <f t="shared" si="62"/>
        <v>-461.13</v>
      </c>
      <c r="Y83" s="2"/>
      <c r="Z83" s="7">
        <f t="shared" si="63"/>
        <v>-0.34437872473898823</v>
      </c>
    </row>
    <row r="84" spans="1:26" s="24" customFormat="1" hidden="1" outlineLevel="2" x14ac:dyDescent="0.25">
      <c r="A84" s="25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>
        <v>45.49</v>
      </c>
      <c r="Q84" s="2"/>
      <c r="R84" s="7">
        <f t="shared" si="60"/>
        <v>0</v>
      </c>
      <c r="S84" s="2"/>
      <c r="T84" s="6"/>
      <c r="U84" s="2"/>
      <c r="V84" s="7">
        <f t="shared" si="61"/>
        <v>0</v>
      </c>
      <c r="W84" s="2"/>
      <c r="X84" s="6">
        <f t="shared" si="62"/>
        <v>45.49</v>
      </c>
      <c r="Y84" s="2"/>
      <c r="Z84" s="7">
        <f t="shared" si="63"/>
        <v>0</v>
      </c>
    </row>
    <row r="85" spans="1:26" s="24" customFormat="1" hidden="1" outlineLevel="2" x14ac:dyDescent="0.25">
      <c r="A85" s="25"/>
      <c r="B85" s="11" t="str">
        <f>CONCATENATE("          ", "6298", " - ", "VEHICLE MILEAGE")</f>
        <v xml:space="preserve">          6298 - VEHICLE MILEAGE</v>
      </c>
      <c r="C85" s="11"/>
      <c r="D85" s="6">
        <v>104.09</v>
      </c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104.09</v>
      </c>
      <c r="M85" s="2"/>
      <c r="N85" s="7">
        <f t="shared" si="59"/>
        <v>0</v>
      </c>
      <c r="O85" s="11"/>
      <c r="P85" s="6">
        <v>876.82</v>
      </c>
      <c r="Q85" s="2"/>
      <c r="R85" s="7">
        <f t="shared" si="60"/>
        <v>0</v>
      </c>
      <c r="S85" s="2"/>
      <c r="T85" s="6">
        <v>670.78</v>
      </c>
      <c r="U85" s="2"/>
      <c r="V85" s="7">
        <f t="shared" si="61"/>
        <v>0</v>
      </c>
      <c r="W85" s="2"/>
      <c r="X85" s="6">
        <f t="shared" si="62"/>
        <v>206.04000000000008</v>
      </c>
      <c r="Y85" s="2"/>
      <c r="Z85" s="7">
        <f t="shared" si="63"/>
        <v>0.30716479322579698</v>
      </c>
    </row>
    <row r="86" spans="1:26" s="26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SUM(OSRRefD22_18x_0)</f>
        <v>12923</v>
      </c>
      <c r="E86" s="1"/>
      <c r="F86" s="5">
        <f t="shared" ref="F86:F87" si="64">IF(D$12=0,0,D86/D$12)</f>
        <v>0</v>
      </c>
      <c r="G86" s="1"/>
      <c r="H86" s="1">
        <f>SUM(OSRRefH22_18x_0)</f>
        <v>11356</v>
      </c>
      <c r="I86" s="1"/>
      <c r="J86" s="5">
        <f t="shared" ref="J86:J87" si="65">IF(H$12=0,0,H86/H$12)</f>
        <v>0</v>
      </c>
      <c r="K86" s="1"/>
      <c r="L86" s="1">
        <f t="shared" ref="L86:L87" si="66">+D86-H86</f>
        <v>1567</v>
      </c>
      <c r="M86" s="1"/>
      <c r="N86" s="5">
        <f t="shared" ref="N86:N87" si="67">IF(H86=0,0,L86/H86)</f>
        <v>0.13798872842550194</v>
      </c>
      <c r="O86" s="13"/>
      <c r="P86" s="1">
        <f>SUM(OSRRefP22_18x_0)</f>
        <v>94514</v>
      </c>
      <c r="Q86" s="1"/>
      <c r="R86" s="5">
        <f t="shared" ref="R86:R87" si="68">IF(P$12=0,0,P86/P$12)</f>
        <v>0</v>
      </c>
      <c r="S86" s="1"/>
      <c r="T86" s="1">
        <f>SUM(OSRRefT22_18x_0)</f>
        <v>59225.720000000008</v>
      </c>
      <c r="U86" s="1"/>
      <c r="V86" s="5">
        <f t="shared" ref="V86:V87" si="69">IF(T$12=0,0,T86/T$12)</f>
        <v>0</v>
      </c>
      <c r="W86" s="1"/>
      <c r="X86" s="1">
        <f t="shared" ref="X86:X87" si="70">+P86-T86</f>
        <v>35288.279999999992</v>
      </c>
      <c r="Y86" s="1"/>
      <c r="Z86" s="5">
        <f t="shared" ref="Z86:Z87" si="71">IF(T86=0,0,X86/T86)</f>
        <v>0.59582694815698289</v>
      </c>
    </row>
    <row r="87" spans="1:26" s="24" customFormat="1" hidden="1" outlineLevel="2" x14ac:dyDescent="0.25">
      <c r="A87" s="25"/>
      <c r="B87" s="11" t="str">
        <f>CONCATENATE("          ", "6274", " - ", "UTILITIES")</f>
        <v xml:space="preserve">          6274 - UTILITIES</v>
      </c>
      <c r="C87" s="11"/>
      <c r="D87" s="6">
        <v>12923</v>
      </c>
      <c r="E87" s="2"/>
      <c r="F87" s="7">
        <f t="shared" si="64"/>
        <v>0</v>
      </c>
      <c r="G87" s="2"/>
      <c r="H87" s="6">
        <v>11356</v>
      </c>
      <c r="I87" s="2"/>
      <c r="J87" s="7">
        <f t="shared" si="65"/>
        <v>0</v>
      </c>
      <c r="K87" s="2"/>
      <c r="L87" s="6">
        <f t="shared" si="66"/>
        <v>1567</v>
      </c>
      <c r="M87" s="2"/>
      <c r="N87" s="7">
        <f t="shared" si="67"/>
        <v>0.13798872842550194</v>
      </c>
      <c r="O87" s="11"/>
      <c r="P87" s="6">
        <v>94514</v>
      </c>
      <c r="Q87" s="2"/>
      <c r="R87" s="7">
        <f t="shared" si="68"/>
        <v>0</v>
      </c>
      <c r="S87" s="2"/>
      <c r="T87" s="6">
        <v>59225.720000000008</v>
      </c>
      <c r="U87" s="2"/>
      <c r="V87" s="7">
        <f t="shared" si="69"/>
        <v>0</v>
      </c>
      <c r="W87" s="2"/>
      <c r="X87" s="6">
        <f t="shared" si="70"/>
        <v>35288.279999999992</v>
      </c>
      <c r="Y87" s="2"/>
      <c r="Z87" s="7">
        <f t="shared" si="71"/>
        <v>0.59582694815698289</v>
      </c>
    </row>
    <row r="88" spans="1:26" s="59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9" t="s">
        <v>0</v>
      </c>
      <c r="C89" s="10"/>
      <c r="D89" s="4">
        <f>SUM(OSRRefD25x_0)</f>
        <v>12372.470000000001</v>
      </c>
      <c r="E89" s="4"/>
      <c r="F89" s="12">
        <f t="shared" ref="F89:F91" si="72">IF(D$12=0,0,D89/D$12)</f>
        <v>0</v>
      </c>
      <c r="G89" s="4"/>
      <c r="H89" s="4">
        <f>SUM(OSRRefH25x_0)</f>
        <v>7416.22</v>
      </c>
      <c r="I89" s="4"/>
      <c r="J89" s="12">
        <f t="shared" ref="J89:J91" si="73">IF(H$12=0,0,H89/H$12)</f>
        <v>0</v>
      </c>
      <c r="K89" s="4"/>
      <c r="L89" s="4">
        <f t="shared" ref="L89:L91" si="74">+D89-H89</f>
        <v>4956.2500000000009</v>
      </c>
      <c r="M89" s="4"/>
      <c r="N89" s="12">
        <f t="shared" ref="N89:N91" si="75">IF(H89=0,0,L89/H89)</f>
        <v>0.66829867506627372</v>
      </c>
      <c r="O89" s="10"/>
      <c r="P89" s="4">
        <f>SUM(OSRRefP25x_0)</f>
        <v>79311.429999999993</v>
      </c>
      <c r="Q89" s="4"/>
      <c r="R89" s="12">
        <f t="shared" ref="R89:R91" si="76">IF(P$12=0,0,P89/P$12)</f>
        <v>0</v>
      </c>
      <c r="S89" s="4"/>
      <c r="T89" s="4">
        <f>SUM(OSRRefT25x_0)</f>
        <v>78417.540000000008</v>
      </c>
      <c r="U89" s="4"/>
      <c r="V89" s="12">
        <f t="shared" ref="V89:V91" si="77">IF(T$12=0,0,T89/T$12)</f>
        <v>0</v>
      </c>
      <c r="W89" s="4"/>
      <c r="X89" s="4">
        <f t="shared" ref="X89:X91" si="78">+P89-T89</f>
        <v>893.88999999998487</v>
      </c>
      <c r="Y89" s="4"/>
      <c r="Z89" s="12">
        <f t="shared" ref="Z89:Z91" si="79">IF(T89=0,0,X89/T89)</f>
        <v>1.1399107903665235E-2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--11333.37</f>
        <v>11333.37</v>
      </c>
      <c r="E90" s="2"/>
      <c r="F90" s="19">
        <f t="shared" si="72"/>
        <v>0</v>
      </c>
      <c r="G90" s="2"/>
      <c r="H90" s="2">
        <f>--6128.18</f>
        <v>6128.18</v>
      </c>
      <c r="I90" s="2"/>
      <c r="J90" s="19">
        <f t="shared" si="73"/>
        <v>0</v>
      </c>
      <c r="K90" s="2"/>
      <c r="L90" s="2">
        <f t="shared" si="74"/>
        <v>5205.1900000000005</v>
      </c>
      <c r="M90" s="2"/>
      <c r="N90" s="19">
        <f t="shared" si="75"/>
        <v>0.84938595145703955</v>
      </c>
      <c r="O90" s="11"/>
      <c r="P90" s="2">
        <f>--77261.4</f>
        <v>77261.399999999994</v>
      </c>
      <c r="Q90" s="2"/>
      <c r="R90" s="19">
        <f t="shared" si="76"/>
        <v>0</v>
      </c>
      <c r="S90" s="2"/>
      <c r="T90" s="2">
        <f>--76630.85</f>
        <v>76630.850000000006</v>
      </c>
      <c r="U90" s="2"/>
      <c r="V90" s="19">
        <f t="shared" si="77"/>
        <v>0</v>
      </c>
      <c r="W90" s="2"/>
      <c r="X90" s="2">
        <f t="shared" si="78"/>
        <v>630.54999999998836</v>
      </c>
      <c r="Y90" s="2"/>
      <c r="Z90" s="19">
        <f t="shared" si="79"/>
        <v>8.2284093155692295E-3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--1039.1</f>
        <v>1039.0999999999999</v>
      </c>
      <c r="E91" s="2"/>
      <c r="F91" s="19">
        <f t="shared" si="72"/>
        <v>0</v>
      </c>
      <c r="G91" s="2"/>
      <c r="H91" s="2">
        <f>--1288.04</f>
        <v>1288.04</v>
      </c>
      <c r="I91" s="2"/>
      <c r="J91" s="19">
        <f t="shared" si="73"/>
        <v>0</v>
      </c>
      <c r="K91" s="2"/>
      <c r="L91" s="2">
        <f t="shared" si="74"/>
        <v>-248.94000000000005</v>
      </c>
      <c r="M91" s="2"/>
      <c r="N91" s="19">
        <f t="shared" si="75"/>
        <v>-0.19327039532933765</v>
      </c>
      <c r="O91" s="11"/>
      <c r="P91" s="2">
        <f>--2050.03</f>
        <v>2050.0300000000002</v>
      </c>
      <c r="Q91" s="2"/>
      <c r="R91" s="19">
        <f t="shared" si="76"/>
        <v>0</v>
      </c>
      <c r="S91" s="2"/>
      <c r="T91" s="2">
        <f>--1786.69</f>
        <v>1786.69</v>
      </c>
      <c r="U91" s="2"/>
      <c r="V91" s="19">
        <f t="shared" si="77"/>
        <v>0</v>
      </c>
      <c r="W91" s="2"/>
      <c r="X91" s="2">
        <f t="shared" si="78"/>
        <v>263.34000000000015</v>
      </c>
      <c r="Y91" s="2"/>
      <c r="Z91" s="19">
        <f t="shared" si="79"/>
        <v>0.14738986617712091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1">
        <f>+D16-D18+D89</f>
        <v>-98090.139999999985</v>
      </c>
      <c r="E93" s="14"/>
      <c r="F93" s="22">
        <f>IF(D$12=0,0,D93/D$12)</f>
        <v>0</v>
      </c>
      <c r="G93" s="14"/>
      <c r="H93" s="21">
        <f>+H16-H18+H89</f>
        <v>-85780.07</v>
      </c>
      <c r="I93" s="14"/>
      <c r="J93" s="22">
        <f>IF(H$12=0,0,H93/H$12)</f>
        <v>0</v>
      </c>
      <c r="K93" s="16"/>
      <c r="L93" s="21">
        <f>+D93-H93</f>
        <v>-12310.069999999978</v>
      </c>
      <c r="M93" s="16"/>
      <c r="N93" s="22">
        <f>IF(H93=0,0,L93/H93)</f>
        <v>0.1435073438387259</v>
      </c>
      <c r="O93" s="29"/>
      <c r="P93" s="21">
        <f>+P16-P18+P89</f>
        <v>-635573.65000000014</v>
      </c>
      <c r="Q93" s="14"/>
      <c r="R93" s="22">
        <f>IF(P$12=0,0,P93/P$12)</f>
        <v>0</v>
      </c>
      <c r="S93" s="14"/>
      <c r="T93" s="21">
        <f>+T16-T18+T89</f>
        <v>-573734.43999999994</v>
      </c>
      <c r="U93" s="14"/>
      <c r="V93" s="22">
        <f>IF(T$12=0,0,T93/T$12)</f>
        <v>0</v>
      </c>
      <c r="W93" s="16"/>
      <c r="X93" s="21">
        <f>+P93-T93</f>
        <v>-61839.210000000196</v>
      </c>
      <c r="Y93" s="16"/>
      <c r="Z93" s="22">
        <f>IF(T93=0,0,X93/T93)</f>
        <v>0.10778368124458451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4">
        <f>+D93-D95</f>
        <v>-98090.139999999985</v>
      </c>
      <c r="E97" s="14"/>
      <c r="F97" s="31">
        <f>IF(D$12=0,0,D97/D$12)</f>
        <v>0</v>
      </c>
      <c r="G97" s="14"/>
      <c r="H97" s="34">
        <f>+H93-H95</f>
        <v>-85780.07</v>
      </c>
      <c r="I97" s="14"/>
      <c r="J97" s="31">
        <f>IF(H$12=0,0,H97/H$12)</f>
        <v>0</v>
      </c>
      <c r="K97" s="16"/>
      <c r="L97" s="34">
        <f>D97-H97</f>
        <v>-12310.069999999978</v>
      </c>
      <c r="M97" s="16"/>
      <c r="N97" s="31">
        <f>IF(H97=0,0,L97/H97)</f>
        <v>0.1435073438387259</v>
      </c>
      <c r="O97" s="29"/>
      <c r="P97" s="34">
        <f>+P93-P95</f>
        <v>-635573.65000000014</v>
      </c>
      <c r="Q97" s="14"/>
      <c r="R97" s="31">
        <f>IF(P$12=0,0,P97/P$12)</f>
        <v>0</v>
      </c>
      <c r="S97" s="14"/>
      <c r="T97" s="34">
        <f>+T93-T95</f>
        <v>-573734.43999999994</v>
      </c>
      <c r="U97" s="14"/>
      <c r="V97" s="31">
        <f>IF(T$12=0,0,T97/T$12)</f>
        <v>0</v>
      </c>
      <c r="W97" s="16"/>
      <c r="X97" s="34">
        <f>P97-T97</f>
        <v>-61839.210000000196</v>
      </c>
      <c r="Y97" s="16"/>
      <c r="Z97" s="31">
        <f>IF(T97=0,0,X97/T97)</f>
        <v>0.10778368124458451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0">
        <f>SUM(D97:D99)</f>
        <v>-98090.139999999985</v>
      </c>
      <c r="E100" s="14"/>
      <c r="F100" s="33">
        <f>IF(D$12=0,0,D100/D$12)</f>
        <v>0</v>
      </c>
      <c r="G100" s="14"/>
      <c r="H100" s="30">
        <f>SUM(H97:H99)</f>
        <v>-85780.07</v>
      </c>
      <c r="I100" s="14"/>
      <c r="J100" s="33">
        <f>IF(H$12=0,0,H100/H$12)</f>
        <v>0</v>
      </c>
      <c r="K100" s="16"/>
      <c r="L100" s="30">
        <f>+D100-H100</f>
        <v>-12310.069999999978</v>
      </c>
      <c r="M100" s="16"/>
      <c r="N100" s="33">
        <f>IF(H100=0,0,L100/H100)</f>
        <v>0.1435073438387259</v>
      </c>
      <c r="O100" s="29"/>
      <c r="P100" s="30">
        <f>SUM(P97:P99)</f>
        <v>-635573.65000000014</v>
      </c>
      <c r="Q100" s="14"/>
      <c r="R100" s="33">
        <f>IF(P$12=0,0,P100/P$12)</f>
        <v>0</v>
      </c>
      <c r="S100" s="14"/>
      <c r="T100" s="30">
        <f>SUM(T97:T99)</f>
        <v>-573734.43999999994</v>
      </c>
      <c r="U100" s="14"/>
      <c r="V100" s="33">
        <f>IF(T$12=0,0,T100/T$12)</f>
        <v>0</v>
      </c>
      <c r="W100" s="16"/>
      <c r="X100" s="30">
        <f>+P100-T100</f>
        <v>-61839.210000000196</v>
      </c>
      <c r="Y100" s="16"/>
      <c r="Z100" s="33">
        <f>IF(T100=0,0,X100/T100)</f>
        <v>0.10778368124458451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1">
        <v>43879.554163229164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5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8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","412", " - ", "Chartroom")</f>
        <v>Department 412 - Chartroom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19774.169999999998</v>
      </c>
      <c r="E12" s="4"/>
      <c r="F12" s="12"/>
      <c r="G12" s="4"/>
      <c r="H12" s="4">
        <f>SUM(OSRRefH13x_0)</f>
        <v>52912.42</v>
      </c>
      <c r="I12" s="4"/>
      <c r="J12" s="12"/>
      <c r="K12" s="4"/>
      <c r="L12" s="4">
        <f t="shared" ref="L12:L15" si="0">+D12-H12</f>
        <v>-33138.25</v>
      </c>
      <c r="M12" s="4"/>
      <c r="N12" s="12">
        <f t="shared" ref="N12:N15" si="1">IF(H12=0,0,L12/H12)</f>
        <v>-0.62628490626586353</v>
      </c>
      <c r="O12" s="10"/>
      <c r="P12" s="4">
        <f>SUM(OSRRefP13x_0)</f>
        <v>347686.35000000003</v>
      </c>
      <c r="Q12" s="4"/>
      <c r="R12" s="12"/>
      <c r="S12" s="4"/>
      <c r="T12" s="4">
        <f>SUM(OSRRefT13x_0)</f>
        <v>584751.85</v>
      </c>
      <c r="U12" s="4"/>
      <c r="V12" s="12"/>
      <c r="W12" s="4"/>
      <c r="X12" s="4">
        <f t="shared" ref="X12:X15" si="2">+P12-T12</f>
        <v>-237065.49999999994</v>
      </c>
      <c r="Y12" s="4"/>
      <c r="Z12" s="12">
        <f t="shared" ref="Z12:Z15" si="3">IF(T12=0,0,X12/T12)</f>
        <v>-0.40541214191968772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--15004.96</f>
        <v>15004.96</v>
      </c>
      <c r="E13" s="2"/>
      <c r="F13" s="19"/>
      <c r="G13" s="2"/>
      <c r="H13" s="2">
        <f>--48062.02</f>
        <v>48062.02</v>
      </c>
      <c r="I13" s="2"/>
      <c r="J13" s="19"/>
      <c r="K13" s="2"/>
      <c r="L13" s="2">
        <f t="shared" si="0"/>
        <v>-33057.06</v>
      </c>
      <c r="M13" s="2"/>
      <c r="N13" s="19">
        <f t="shared" si="1"/>
        <v>-0.68780005501225294</v>
      </c>
      <c r="O13" s="11"/>
      <c r="P13" s="2">
        <f>--308630.96</f>
        <v>308630.96000000002</v>
      </c>
      <c r="Q13" s="2"/>
      <c r="R13" s="19"/>
      <c r="S13" s="2"/>
      <c r="T13" s="2">
        <f>--539003.64</f>
        <v>539003.64</v>
      </c>
      <c r="U13" s="2"/>
      <c r="V13" s="19"/>
      <c r="W13" s="2"/>
      <c r="X13" s="2">
        <f t="shared" si="2"/>
        <v>-230372.68</v>
      </c>
      <c r="Y13" s="2"/>
      <c r="Z13" s="19">
        <f t="shared" si="3"/>
        <v>-0.42740468320399466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--4769.21</f>
        <v>4769.21</v>
      </c>
      <c r="E14" s="2"/>
      <c r="F14" s="19"/>
      <c r="G14" s="2"/>
      <c r="H14" s="2">
        <f>--4850.4</f>
        <v>4850.3999999999996</v>
      </c>
      <c r="I14" s="2"/>
      <c r="J14" s="19"/>
      <c r="K14" s="2"/>
      <c r="L14" s="2">
        <f t="shared" si="0"/>
        <v>-81.1899999999996</v>
      </c>
      <c r="M14" s="2"/>
      <c r="N14" s="19">
        <f t="shared" si="1"/>
        <v>-1.6738825663862693E-2</v>
      </c>
      <c r="O14" s="11"/>
      <c r="P14" s="2">
        <f>--39055.39</f>
        <v>39055.39</v>
      </c>
      <c r="Q14" s="2"/>
      <c r="R14" s="19"/>
      <c r="S14" s="2"/>
      <c r="T14" s="2">
        <f>--45221.08</f>
        <v>45221.08</v>
      </c>
      <c r="U14" s="2"/>
      <c r="V14" s="19"/>
      <c r="W14" s="2"/>
      <c r="X14" s="2">
        <f t="shared" si="2"/>
        <v>-6165.6900000000023</v>
      </c>
      <c r="Y14" s="2"/>
      <c r="Z14" s="19">
        <f t="shared" si="3"/>
        <v>-0.13634548312424211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21572.38</v>
      </c>
      <c r="E17" s="4"/>
      <c r="F17" s="12">
        <f t="shared" ref="F17:F18" si="4">IF(D$12=0,0,D17/D$12)</f>
        <v>1.0909373187344906</v>
      </c>
      <c r="G17" s="4"/>
      <c r="H17" s="4">
        <f>SUM(OSRRefH16x_0)</f>
        <v>20450.41</v>
      </c>
      <c r="I17" s="4"/>
      <c r="J17" s="12">
        <f t="shared" ref="J17:J18" si="5">IF(H$12=0,0,H17/H$12)</f>
        <v>0.38649545796620149</v>
      </c>
      <c r="K17" s="4"/>
      <c r="L17" s="4">
        <f t="shared" ref="L17:L18" si="6">+D17-H17</f>
        <v>1121.9700000000012</v>
      </c>
      <c r="M17" s="4"/>
      <c r="N17" s="12">
        <f t="shared" ref="N17:N18" si="7">IF(H17=0,0,L17/H17)</f>
        <v>5.4862958737746638E-2</v>
      </c>
      <c r="O17" s="10"/>
      <c r="P17" s="4">
        <f>SUM(OSRRefP16x_0)</f>
        <v>161759.05000000002</v>
      </c>
      <c r="Q17" s="4"/>
      <c r="R17" s="12">
        <f t="shared" ref="R17:R18" si="8">IF(P$12=0,0,P17/P$12)</f>
        <v>0.4652441776906111</v>
      </c>
      <c r="S17" s="4"/>
      <c r="T17" s="4">
        <f>SUM(OSRRefT16x_0)</f>
        <v>181371.79</v>
      </c>
      <c r="U17" s="4"/>
      <c r="V17" s="12">
        <f t="shared" ref="V17:V18" si="9">IF(T$12=0,0,T17/T$12)</f>
        <v>0.31016881776432176</v>
      </c>
      <c r="W17" s="4"/>
      <c r="X17" s="4">
        <f t="shared" ref="X17:X18" si="10">+P17-T17</f>
        <v>-19612.739999999991</v>
      </c>
      <c r="Y17" s="4"/>
      <c r="Z17" s="12">
        <f t="shared" ref="Z17:Z18" si="11">IF(T17=0,0,X17/T17)</f>
        <v>-0.10813555955973081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21572.38</v>
      </c>
      <c r="E18" s="2"/>
      <c r="F18" s="19">
        <f t="shared" si="4"/>
        <v>1.0909373187344906</v>
      </c>
      <c r="G18" s="2"/>
      <c r="H18" s="2">
        <v>20450.41</v>
      </c>
      <c r="I18" s="2"/>
      <c r="J18" s="19">
        <f t="shared" si="5"/>
        <v>0.38649545796620149</v>
      </c>
      <c r="K18" s="2"/>
      <c r="L18" s="2">
        <f t="shared" si="6"/>
        <v>1121.9700000000012</v>
      </c>
      <c r="M18" s="2"/>
      <c r="N18" s="19">
        <f t="shared" si="7"/>
        <v>5.4862958737746638E-2</v>
      </c>
      <c r="O18" s="11"/>
      <c r="P18" s="2">
        <v>161759.05000000002</v>
      </c>
      <c r="Q18" s="2"/>
      <c r="R18" s="19">
        <f t="shared" si="8"/>
        <v>0.4652441776906111</v>
      </c>
      <c r="S18" s="2"/>
      <c r="T18" s="2">
        <v>181371.79</v>
      </c>
      <c r="U18" s="2"/>
      <c r="V18" s="19">
        <f t="shared" si="9"/>
        <v>0.31016881776432176</v>
      </c>
      <c r="W18" s="2"/>
      <c r="X18" s="2">
        <f t="shared" si="10"/>
        <v>-19612.739999999991</v>
      </c>
      <c r="Y18" s="2"/>
      <c r="Z18" s="19">
        <f t="shared" si="11"/>
        <v>-0.10813555955973081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D12-D17</f>
        <v>-1798.2100000000028</v>
      </c>
      <c r="E20" s="14"/>
      <c r="F20" s="22">
        <f>IF(D$12=0,0,D20/D$12)</f>
        <v>-9.0937318734490652E-2</v>
      </c>
      <c r="G20" s="14"/>
      <c r="H20" s="21">
        <f>H12-H17</f>
        <v>32462.01</v>
      </c>
      <c r="I20" s="14"/>
      <c r="J20" s="22">
        <f>IF(H$12=0,0,H20/H$12)</f>
        <v>0.61350454203379845</v>
      </c>
      <c r="K20" s="16"/>
      <c r="L20" s="21">
        <f>+D20-H20</f>
        <v>-34260.22</v>
      </c>
      <c r="M20" s="16"/>
      <c r="N20" s="22">
        <f>IF(H20=0,0,L20/H20)</f>
        <v>-1.0553942901255962</v>
      </c>
      <c r="O20" s="29"/>
      <c r="P20" s="21">
        <f>P12-P17</f>
        <v>185927.30000000002</v>
      </c>
      <c r="Q20" s="14"/>
      <c r="R20" s="22">
        <f>IF(P$12=0,0,P20/P$12)</f>
        <v>0.5347558223093889</v>
      </c>
      <c r="S20" s="14"/>
      <c r="T20" s="21">
        <f>T12-T17</f>
        <v>403380.05999999994</v>
      </c>
      <c r="U20" s="14"/>
      <c r="V20" s="22">
        <f>IF(T$12=0,0,T20/T$12)</f>
        <v>0.68983118223567819</v>
      </c>
      <c r="W20" s="16"/>
      <c r="X20" s="21">
        <f>+P20-T20</f>
        <v>-217452.75999999992</v>
      </c>
      <c r="Y20" s="16"/>
      <c r="Z20" s="22">
        <f>IF(T20=0,0,X20/T20)</f>
        <v>-0.53907662168526616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25374.129999999997</v>
      </c>
      <c r="E22" s="20"/>
      <c r="F22" s="32">
        <f t="shared" ref="F22:F31" si="12">IF(D$12=0,0,D22/D$12)</f>
        <v>1.2831957042950475</v>
      </c>
      <c r="G22" s="20"/>
      <c r="H22" s="20">
        <f>SUM(OSRRefH22x_0)</f>
        <v>56398.539999999986</v>
      </c>
      <c r="I22" s="20"/>
      <c r="J22" s="32">
        <f t="shared" ref="J22:J31" si="13">IF(H$12=0,0,H22/H$12)</f>
        <v>1.0658847204493762</v>
      </c>
      <c r="K22" s="4"/>
      <c r="L22" s="20">
        <f t="shared" ref="L22:L31" si="14">+D22-H22</f>
        <v>-31024.409999999989</v>
      </c>
      <c r="M22" s="4"/>
      <c r="N22" s="32">
        <f t="shared" ref="N22:N31" si="15">IF(H22=0,0,L22/H22)</f>
        <v>-0.55009243147074371</v>
      </c>
      <c r="O22" s="10"/>
      <c r="P22" s="20">
        <f>SUM(OSRRefP22x_0)</f>
        <v>283085.58999999997</v>
      </c>
      <c r="Q22" s="20"/>
      <c r="R22" s="32">
        <f t="shared" ref="R22:R31" si="16">IF(P$12=0,0,P22/P$12)</f>
        <v>0.8141981702761697</v>
      </c>
      <c r="S22" s="20"/>
      <c r="T22" s="20">
        <f>SUM(OSRRefT22x_0)</f>
        <v>403853.15</v>
      </c>
      <c r="U22" s="20"/>
      <c r="V22" s="32">
        <f t="shared" ref="V22:V31" si="17">IF(T$12=0,0,T22/T$12)</f>
        <v>0.69064022627718069</v>
      </c>
      <c r="W22" s="4"/>
      <c r="X22" s="20">
        <f t="shared" ref="X22:X31" si="18">+P22-T22</f>
        <v>-120767.56000000006</v>
      </c>
      <c r="Y22" s="4"/>
      <c r="Z22" s="32">
        <f t="shared" ref="Z22:Z31" si="19">IF(T22=0,0,X22/T22)</f>
        <v>-0.29903830142218785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3907.45</v>
      </c>
      <c r="E23" s="1"/>
      <c r="F23" s="5">
        <f t="shared" si="12"/>
        <v>0.19760374266024819</v>
      </c>
      <c r="G23" s="1"/>
      <c r="H23" s="1">
        <f>SUM(OSRRefH22_0x_0)</f>
        <v>13660.649999999998</v>
      </c>
      <c r="I23" s="1"/>
      <c r="J23" s="5">
        <f t="shared" si="13"/>
        <v>0.25817473477871544</v>
      </c>
      <c r="K23" s="1"/>
      <c r="L23" s="1">
        <f t="shared" si="14"/>
        <v>-9753.1999999999971</v>
      </c>
      <c r="M23" s="1"/>
      <c r="N23" s="5">
        <f t="shared" si="15"/>
        <v>-0.71396309838843675</v>
      </c>
      <c r="O23" s="13"/>
      <c r="P23" s="1">
        <f>SUM(OSRRefP22_0x_0)</f>
        <v>73093.040000000008</v>
      </c>
      <c r="Q23" s="1"/>
      <c r="R23" s="5">
        <f t="shared" si="16"/>
        <v>0.21022694736218434</v>
      </c>
      <c r="S23" s="1"/>
      <c r="T23" s="1">
        <f>SUM(OSRRefT22_0x_0)</f>
        <v>89837.710000000021</v>
      </c>
      <c r="U23" s="1"/>
      <c r="V23" s="5">
        <f t="shared" si="17"/>
        <v>0.15363390470675728</v>
      </c>
      <c r="W23" s="1"/>
      <c r="X23" s="1">
        <f t="shared" si="18"/>
        <v>-16744.670000000013</v>
      </c>
      <c r="Y23" s="1"/>
      <c r="Z23" s="5">
        <f t="shared" si="19"/>
        <v>-0.18638798785053637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929.64</v>
      </c>
      <c r="E24" s="2"/>
      <c r="F24" s="7">
        <f t="shared" si="12"/>
        <v>4.7012845545476752E-2</v>
      </c>
      <c r="G24" s="2"/>
      <c r="H24" s="6">
        <v>2016.96</v>
      </c>
      <c r="I24" s="2"/>
      <c r="J24" s="7">
        <f t="shared" si="13"/>
        <v>3.8118838639396954E-2</v>
      </c>
      <c r="K24" s="2"/>
      <c r="L24" s="6">
        <f t="shared" si="14"/>
        <v>-1087.3200000000002</v>
      </c>
      <c r="M24" s="2"/>
      <c r="N24" s="7">
        <f t="shared" si="15"/>
        <v>-0.53908852927177542</v>
      </c>
      <c r="O24" s="11"/>
      <c r="P24" s="6">
        <v>11014.29</v>
      </c>
      <c r="Q24" s="2"/>
      <c r="R24" s="7">
        <f t="shared" si="16"/>
        <v>3.1678810514131489E-2</v>
      </c>
      <c r="S24" s="2"/>
      <c r="T24" s="6">
        <v>17632.030000000002</v>
      </c>
      <c r="U24" s="2"/>
      <c r="V24" s="7">
        <f t="shared" si="17"/>
        <v>3.0153012769433739E-2</v>
      </c>
      <c r="W24" s="2"/>
      <c r="X24" s="6">
        <f t="shared" si="18"/>
        <v>-6617.7400000000016</v>
      </c>
      <c r="Y24" s="2"/>
      <c r="Z24" s="7">
        <f t="shared" si="19"/>
        <v>-0.37532490586733352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467.8</v>
      </c>
      <c r="E25" s="2"/>
      <c r="F25" s="7">
        <f t="shared" si="12"/>
        <v>2.3657124420392868E-2</v>
      </c>
      <c r="G25" s="2"/>
      <c r="H25" s="6">
        <v>916.53</v>
      </c>
      <c r="I25" s="2"/>
      <c r="J25" s="7">
        <f t="shared" si="13"/>
        <v>1.7321642064377325E-2</v>
      </c>
      <c r="K25" s="2"/>
      <c r="L25" s="6">
        <f t="shared" si="14"/>
        <v>-448.72999999999996</v>
      </c>
      <c r="M25" s="2"/>
      <c r="N25" s="7">
        <f t="shared" si="15"/>
        <v>-0.48959663077040572</v>
      </c>
      <c r="O25" s="11"/>
      <c r="P25" s="6">
        <v>3538.59</v>
      </c>
      <c r="Q25" s="2"/>
      <c r="R25" s="7">
        <f t="shared" si="16"/>
        <v>1.0177535011081108E-2</v>
      </c>
      <c r="S25" s="2"/>
      <c r="T25" s="6">
        <v>8681.77</v>
      </c>
      <c r="U25" s="2"/>
      <c r="V25" s="7">
        <f t="shared" si="17"/>
        <v>1.4846930368839365E-2</v>
      </c>
      <c r="W25" s="2"/>
      <c r="X25" s="6">
        <f t="shared" si="18"/>
        <v>-5143.18</v>
      </c>
      <c r="Y25" s="2"/>
      <c r="Z25" s="7">
        <f t="shared" si="19"/>
        <v>-0.59241145526776218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1037.1400000000001</v>
      </c>
      <c r="E26" s="2"/>
      <c r="F26" s="7">
        <f t="shared" si="12"/>
        <v>5.2449230486033054E-2</v>
      </c>
      <c r="G26" s="2"/>
      <c r="H26" s="6">
        <v>5334.36</v>
      </c>
      <c r="I26" s="2"/>
      <c r="J26" s="7">
        <f t="shared" si="13"/>
        <v>0.10081489374328371</v>
      </c>
      <c r="K26" s="2"/>
      <c r="L26" s="6">
        <f t="shared" si="14"/>
        <v>-4297.2199999999993</v>
      </c>
      <c r="M26" s="2"/>
      <c r="N26" s="7">
        <f t="shared" si="15"/>
        <v>-0.80557367706716454</v>
      </c>
      <c r="O26" s="11"/>
      <c r="P26" s="6">
        <v>32754.080000000002</v>
      </c>
      <c r="Q26" s="2"/>
      <c r="R26" s="7">
        <f t="shared" si="16"/>
        <v>9.4205826602050957E-2</v>
      </c>
      <c r="S26" s="2"/>
      <c r="T26" s="6">
        <v>34705.120000000003</v>
      </c>
      <c r="U26" s="2"/>
      <c r="V26" s="7">
        <f t="shared" si="17"/>
        <v>5.9350167083695421E-2</v>
      </c>
      <c r="W26" s="2"/>
      <c r="X26" s="6">
        <f t="shared" si="18"/>
        <v>-1951.0400000000009</v>
      </c>
      <c r="Y26" s="2"/>
      <c r="Z26" s="7">
        <f t="shared" si="19"/>
        <v>-5.6217641662094836E-2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34.909999999999997</v>
      </c>
      <c r="E27" s="2"/>
      <c r="F27" s="7">
        <f t="shared" si="12"/>
        <v>1.7654344025564664E-3</v>
      </c>
      <c r="G27" s="2"/>
      <c r="H27" s="6">
        <v>71.39</v>
      </c>
      <c r="I27" s="2"/>
      <c r="J27" s="7">
        <f t="shared" si="13"/>
        <v>1.3492106390144319E-3</v>
      </c>
      <c r="K27" s="2"/>
      <c r="L27" s="6">
        <f t="shared" si="14"/>
        <v>-36.480000000000004</v>
      </c>
      <c r="M27" s="2"/>
      <c r="N27" s="7">
        <f t="shared" si="15"/>
        <v>-0.5109959378064155</v>
      </c>
      <c r="O27" s="11"/>
      <c r="P27" s="6">
        <v>412.63</v>
      </c>
      <c r="Q27" s="2"/>
      <c r="R27" s="7">
        <f t="shared" si="16"/>
        <v>1.1867880346755056E-3</v>
      </c>
      <c r="S27" s="2"/>
      <c r="T27" s="6">
        <v>678.79</v>
      </c>
      <c r="U27" s="2"/>
      <c r="V27" s="7">
        <f t="shared" si="17"/>
        <v>1.1608171910871253E-3</v>
      </c>
      <c r="W27" s="2"/>
      <c r="X27" s="6">
        <f t="shared" si="18"/>
        <v>-266.15999999999997</v>
      </c>
      <c r="Y27" s="2"/>
      <c r="Z27" s="7">
        <f t="shared" si="19"/>
        <v>-0.39210948894356129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322.38</v>
      </c>
      <c r="E28" s="2"/>
      <c r="F28" s="7">
        <f t="shared" si="12"/>
        <v>1.6303086298944534E-2</v>
      </c>
      <c r="G28" s="2"/>
      <c r="H28" s="6">
        <v>1601.85</v>
      </c>
      <c r="I28" s="2"/>
      <c r="J28" s="7">
        <f t="shared" si="13"/>
        <v>3.0273610619208118E-2</v>
      </c>
      <c r="K28" s="2"/>
      <c r="L28" s="6">
        <f t="shared" si="14"/>
        <v>-1279.4699999999998</v>
      </c>
      <c r="M28" s="2"/>
      <c r="N28" s="7">
        <f t="shared" si="15"/>
        <v>-0.7987452008615038</v>
      </c>
      <c r="O28" s="11"/>
      <c r="P28" s="6">
        <v>5785.71</v>
      </c>
      <c r="Q28" s="2"/>
      <c r="R28" s="7">
        <f t="shared" si="16"/>
        <v>1.6640601507651939E-2</v>
      </c>
      <c r="S28" s="2"/>
      <c r="T28" s="6">
        <v>8877.1</v>
      </c>
      <c r="U28" s="2"/>
      <c r="V28" s="7">
        <f t="shared" si="17"/>
        <v>1.5180969500139248E-2</v>
      </c>
      <c r="W28" s="2"/>
      <c r="X28" s="6">
        <f t="shared" si="18"/>
        <v>-3091.3900000000003</v>
      </c>
      <c r="Y28" s="2"/>
      <c r="Z28" s="7">
        <f t="shared" si="19"/>
        <v>-0.34824323258721884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411.6</v>
      </c>
      <c r="E29" s="2"/>
      <c r="F29" s="7">
        <f t="shared" si="12"/>
        <v>2.0815032944492742E-2</v>
      </c>
      <c r="G29" s="2"/>
      <c r="H29" s="6">
        <v>1378.18</v>
      </c>
      <c r="I29" s="2"/>
      <c r="J29" s="7">
        <f t="shared" si="13"/>
        <v>2.6046436734513373E-2</v>
      </c>
      <c r="K29" s="2"/>
      <c r="L29" s="6">
        <f t="shared" si="14"/>
        <v>-966.58</v>
      </c>
      <c r="M29" s="2"/>
      <c r="N29" s="7">
        <f t="shared" si="15"/>
        <v>-0.70134525243436996</v>
      </c>
      <c r="O29" s="11"/>
      <c r="P29" s="6">
        <v>6982.48</v>
      </c>
      <c r="Q29" s="2"/>
      <c r="R29" s="7">
        <f t="shared" si="16"/>
        <v>2.0082698098444183E-2</v>
      </c>
      <c r="S29" s="2"/>
      <c r="T29" s="6">
        <v>7787.81</v>
      </c>
      <c r="U29" s="2"/>
      <c r="V29" s="7">
        <f t="shared" si="17"/>
        <v>1.3318145124295033E-2</v>
      </c>
      <c r="W29" s="2"/>
      <c r="X29" s="6">
        <f t="shared" si="18"/>
        <v>-805.33000000000084</v>
      </c>
      <c r="Y29" s="2"/>
      <c r="Z29" s="7">
        <f t="shared" si="19"/>
        <v>-0.10340904567522843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423.1</v>
      </c>
      <c r="E30" s="2"/>
      <c r="F30" s="7">
        <f t="shared" si="12"/>
        <v>2.139659970557551E-2</v>
      </c>
      <c r="G30" s="2"/>
      <c r="H30" s="6">
        <v>1777.67</v>
      </c>
      <c r="I30" s="2"/>
      <c r="J30" s="7">
        <f t="shared" si="13"/>
        <v>3.3596459961574239E-2</v>
      </c>
      <c r="K30" s="2"/>
      <c r="L30" s="6">
        <f t="shared" si="14"/>
        <v>-1354.5700000000002</v>
      </c>
      <c r="M30" s="2"/>
      <c r="N30" s="7">
        <f t="shared" si="15"/>
        <v>-0.7619918207541333</v>
      </c>
      <c r="O30" s="11"/>
      <c r="P30" s="6">
        <v>9312.07</v>
      </c>
      <c r="Q30" s="2"/>
      <c r="R30" s="7">
        <f t="shared" si="16"/>
        <v>2.6782961137243377E-2</v>
      </c>
      <c r="S30" s="2"/>
      <c r="T30" s="6">
        <v>7717.63</v>
      </c>
      <c r="U30" s="2"/>
      <c r="V30" s="7">
        <f t="shared" si="17"/>
        <v>1.3198128402672007E-2</v>
      </c>
      <c r="W30" s="2"/>
      <c r="X30" s="6">
        <f t="shared" si="18"/>
        <v>1594.4399999999996</v>
      </c>
      <c r="Y30" s="2"/>
      <c r="Z30" s="7">
        <f t="shared" si="19"/>
        <v>0.2065971029966453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280.88</v>
      </c>
      <c r="E31" s="2"/>
      <c r="F31" s="7">
        <f t="shared" si="12"/>
        <v>1.4204388856776291E-2</v>
      </c>
      <c r="G31" s="2"/>
      <c r="H31" s="6">
        <v>563.71</v>
      </c>
      <c r="I31" s="2"/>
      <c r="J31" s="7">
        <f t="shared" si="13"/>
        <v>1.0653642377347323E-2</v>
      </c>
      <c r="K31" s="2"/>
      <c r="L31" s="6">
        <f t="shared" si="14"/>
        <v>-282.83000000000004</v>
      </c>
      <c r="M31" s="2"/>
      <c r="N31" s="7">
        <f t="shared" si="15"/>
        <v>-0.50172961274414152</v>
      </c>
      <c r="O31" s="11"/>
      <c r="P31" s="6">
        <v>3293.19</v>
      </c>
      <c r="Q31" s="2"/>
      <c r="R31" s="7">
        <f t="shared" si="16"/>
        <v>9.4717264569057699E-3</v>
      </c>
      <c r="S31" s="2"/>
      <c r="T31" s="6">
        <v>3757.46</v>
      </c>
      <c r="U31" s="2"/>
      <c r="V31" s="7">
        <f t="shared" si="17"/>
        <v>6.425734266595309E-3</v>
      </c>
      <c r="W31" s="2"/>
      <c r="X31" s="6">
        <f t="shared" si="18"/>
        <v>-464.27</v>
      </c>
      <c r="Y31" s="2"/>
      <c r="Z31" s="7">
        <f t="shared" si="19"/>
        <v>-0.12355953223720278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17535.96</v>
      </c>
      <c r="E32" s="1"/>
      <c r="F32" s="5">
        <f t="shared" ref="F32:F38" si="20">IF(D$12=0,0,D32/D$12)</f>
        <v>0.88681143127625583</v>
      </c>
      <c r="G32" s="1"/>
      <c r="H32" s="1">
        <f>SUM(OSRRefH22_1x_0)</f>
        <v>34976.54</v>
      </c>
      <c r="I32" s="1"/>
      <c r="J32" s="5">
        <f t="shared" ref="J32:J38" si="21">IF(H$12=0,0,H32/H$12)</f>
        <v>0.6610270329725989</v>
      </c>
      <c r="K32" s="1"/>
      <c r="L32" s="1">
        <f t="shared" ref="L32:L38" si="22">+D32-H32</f>
        <v>-17440.580000000002</v>
      </c>
      <c r="M32" s="1"/>
      <c r="N32" s="5">
        <f t="shared" ref="N32:N38" si="23">IF(H32=0,0,L32/H32)</f>
        <v>-0.49863651464667463</v>
      </c>
      <c r="O32" s="13"/>
      <c r="P32" s="1">
        <f>SUM(OSRRefP22_1x_0)</f>
        <v>167079.95000000001</v>
      </c>
      <c r="Q32" s="1"/>
      <c r="R32" s="5">
        <f t="shared" ref="R32:R38" si="24">IF(P$12=0,0,P32/P$12)</f>
        <v>0.48054791337077224</v>
      </c>
      <c r="S32" s="1"/>
      <c r="T32" s="1">
        <f>SUM(OSRRefT22_1x_0)</f>
        <v>250536.24</v>
      </c>
      <c r="U32" s="1"/>
      <c r="V32" s="5">
        <f t="shared" ref="V32:V38" si="25">IF(T$12=0,0,T32/T$12)</f>
        <v>0.42844881978569199</v>
      </c>
      <c r="W32" s="1"/>
      <c r="X32" s="1">
        <f t="shared" ref="X32:X38" si="26">+P32-T32</f>
        <v>-83456.289999999979</v>
      </c>
      <c r="Y32" s="1"/>
      <c r="Z32" s="5">
        <f t="shared" ref="Z32:Z38" si="27">IF(T32=0,0,X32/T32)</f>
        <v>-0.33311065097807802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3692.1</v>
      </c>
      <c r="E33" s="2"/>
      <c r="F33" s="7">
        <f t="shared" si="20"/>
        <v>0.18671327292118964</v>
      </c>
      <c r="G33" s="2"/>
      <c r="H33" s="6">
        <v>15641.009999999998</v>
      </c>
      <c r="I33" s="2"/>
      <c r="J33" s="7">
        <f t="shared" si="21"/>
        <v>0.2956018643637921</v>
      </c>
      <c r="K33" s="2"/>
      <c r="L33" s="6">
        <f t="shared" si="22"/>
        <v>-11948.909999999998</v>
      </c>
      <c r="M33" s="2"/>
      <c r="N33" s="7">
        <f t="shared" si="23"/>
        <v>-0.76394746886550158</v>
      </c>
      <c r="O33" s="11"/>
      <c r="P33" s="6">
        <v>53976.11</v>
      </c>
      <c r="Q33" s="2"/>
      <c r="R33" s="7">
        <f t="shared" si="24"/>
        <v>0.15524368442994668</v>
      </c>
      <c r="S33" s="2"/>
      <c r="T33" s="6">
        <v>94631.180000000008</v>
      </c>
      <c r="U33" s="2"/>
      <c r="V33" s="7">
        <f t="shared" si="25"/>
        <v>0.16183134777598396</v>
      </c>
      <c r="W33" s="2"/>
      <c r="X33" s="6">
        <f t="shared" si="26"/>
        <v>-40655.070000000007</v>
      </c>
      <c r="Y33" s="2"/>
      <c r="Z33" s="7">
        <f t="shared" si="27"/>
        <v>-0.42961601028329144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5330.79</v>
      </c>
      <c r="E34" s="2"/>
      <c r="F34" s="7">
        <f t="shared" si="20"/>
        <v>0.26958350211412163</v>
      </c>
      <c r="G34" s="2"/>
      <c r="H34" s="6">
        <v>6512.95</v>
      </c>
      <c r="I34" s="2"/>
      <c r="J34" s="7">
        <f t="shared" si="21"/>
        <v>0.12308924823321254</v>
      </c>
      <c r="K34" s="2"/>
      <c r="L34" s="6">
        <f t="shared" si="22"/>
        <v>-1182.1599999999999</v>
      </c>
      <c r="M34" s="2"/>
      <c r="N34" s="7">
        <f t="shared" si="23"/>
        <v>-0.18150914716065683</v>
      </c>
      <c r="O34" s="11"/>
      <c r="P34" s="6">
        <v>36972.720000000001</v>
      </c>
      <c r="Q34" s="2"/>
      <c r="R34" s="7">
        <f t="shared" si="24"/>
        <v>0.10633929114559716</v>
      </c>
      <c r="S34" s="2"/>
      <c r="T34" s="6">
        <v>46380.77</v>
      </c>
      <c r="U34" s="2"/>
      <c r="V34" s="7">
        <f t="shared" si="25"/>
        <v>7.9317012849125651E-2</v>
      </c>
      <c r="W34" s="2"/>
      <c r="X34" s="6">
        <f t="shared" si="26"/>
        <v>-9408.0499999999956</v>
      </c>
      <c r="Y34" s="2"/>
      <c r="Z34" s="7">
        <f t="shared" si="27"/>
        <v>-0.20284376477578955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3580.26</v>
      </c>
      <c r="E35" s="2"/>
      <c r="F35" s="7">
        <f t="shared" si="20"/>
        <v>0.18105740974210299</v>
      </c>
      <c r="G35" s="2"/>
      <c r="H35" s="6">
        <v>5678.86</v>
      </c>
      <c r="I35" s="2"/>
      <c r="J35" s="7">
        <f t="shared" si="21"/>
        <v>0.10732565246496002</v>
      </c>
      <c r="K35" s="2"/>
      <c r="L35" s="6">
        <f t="shared" si="22"/>
        <v>-2098.5999999999995</v>
      </c>
      <c r="M35" s="2"/>
      <c r="N35" s="7">
        <f t="shared" si="23"/>
        <v>-0.36954600042966362</v>
      </c>
      <c r="O35" s="11"/>
      <c r="P35" s="6">
        <v>36319.089999999997</v>
      </c>
      <c r="Q35" s="2"/>
      <c r="R35" s="7">
        <f t="shared" si="24"/>
        <v>0.10445934964084726</v>
      </c>
      <c r="S35" s="2"/>
      <c r="T35" s="6">
        <v>60559.789999999994</v>
      </c>
      <c r="U35" s="2"/>
      <c r="V35" s="7">
        <f t="shared" si="25"/>
        <v>0.10356493955512923</v>
      </c>
      <c r="W35" s="2"/>
      <c r="X35" s="6">
        <f t="shared" si="26"/>
        <v>-24240.699999999997</v>
      </c>
      <c r="Y35" s="2"/>
      <c r="Z35" s="7">
        <f t="shared" si="27"/>
        <v>-0.40027714759248667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81.3</v>
      </c>
      <c r="I36" s="2"/>
      <c r="J36" s="7">
        <f t="shared" si="21"/>
        <v>1.5365012600066297E-3</v>
      </c>
      <c r="K36" s="2"/>
      <c r="L36" s="6">
        <f t="shared" si="22"/>
        <v>-81.3</v>
      </c>
      <c r="M36" s="2"/>
      <c r="N36" s="7">
        <f t="shared" si="23"/>
        <v>-1</v>
      </c>
      <c r="O36" s="11"/>
      <c r="P36" s="6">
        <v>1299.6300000000001</v>
      </c>
      <c r="Q36" s="2"/>
      <c r="R36" s="7">
        <f t="shared" si="24"/>
        <v>3.7379379432065712E-3</v>
      </c>
      <c r="S36" s="2"/>
      <c r="T36" s="6">
        <v>271.05</v>
      </c>
      <c r="U36" s="2"/>
      <c r="V36" s="7">
        <f t="shared" si="25"/>
        <v>4.6352995719466306E-4</v>
      </c>
      <c r="W36" s="2"/>
      <c r="X36" s="6">
        <f t="shared" si="26"/>
        <v>1028.5800000000002</v>
      </c>
      <c r="Y36" s="2"/>
      <c r="Z36" s="7">
        <f t="shared" si="27"/>
        <v>3.7947980077476484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4932.8100000000004</v>
      </c>
      <c r="E37" s="2"/>
      <c r="F37" s="7">
        <f t="shared" si="20"/>
        <v>0.24945724649884171</v>
      </c>
      <c r="G37" s="2"/>
      <c r="H37" s="6">
        <v>6855.78</v>
      </c>
      <c r="I37" s="2"/>
      <c r="J37" s="7">
        <f t="shared" si="21"/>
        <v>0.12956844536689119</v>
      </c>
      <c r="K37" s="2"/>
      <c r="L37" s="6">
        <f t="shared" si="22"/>
        <v>-1922.9699999999993</v>
      </c>
      <c r="M37" s="2"/>
      <c r="N37" s="7">
        <f t="shared" si="23"/>
        <v>-0.2804888721633424</v>
      </c>
      <c r="O37" s="11"/>
      <c r="P37" s="6">
        <v>35107.18</v>
      </c>
      <c r="Q37" s="2"/>
      <c r="R37" s="7">
        <f t="shared" si="24"/>
        <v>0.10097370805612586</v>
      </c>
      <c r="S37" s="2"/>
      <c r="T37" s="6">
        <v>37927.020000000004</v>
      </c>
      <c r="U37" s="2"/>
      <c r="V37" s="7">
        <f t="shared" si="25"/>
        <v>6.4860025667298024E-2</v>
      </c>
      <c r="W37" s="2"/>
      <c r="X37" s="6">
        <f t="shared" si="26"/>
        <v>-2819.8400000000038</v>
      </c>
      <c r="Y37" s="2"/>
      <c r="Z37" s="7">
        <f t="shared" si="27"/>
        <v>-7.4349105202570709E-2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206.64</v>
      </c>
      <c r="I38" s="2"/>
      <c r="J38" s="7">
        <f t="shared" si="21"/>
        <v>3.9053212837364079E-3</v>
      </c>
      <c r="K38" s="2"/>
      <c r="L38" s="6">
        <f t="shared" si="22"/>
        <v>-206.64</v>
      </c>
      <c r="M38" s="2"/>
      <c r="N38" s="7">
        <f t="shared" si="23"/>
        <v>-1</v>
      </c>
      <c r="O38" s="11"/>
      <c r="P38" s="6">
        <v>3405.22</v>
      </c>
      <c r="Q38" s="2"/>
      <c r="R38" s="7">
        <f t="shared" si="24"/>
        <v>9.7939421550486509E-3</v>
      </c>
      <c r="S38" s="2"/>
      <c r="T38" s="6">
        <v>10766.43</v>
      </c>
      <c r="U38" s="2"/>
      <c r="V38" s="7">
        <f t="shared" si="25"/>
        <v>1.8411963980960473E-2</v>
      </c>
      <c r="W38" s="2"/>
      <c r="X38" s="6">
        <f t="shared" si="26"/>
        <v>-7361.2100000000009</v>
      </c>
      <c r="Y38" s="2"/>
      <c r="Z38" s="7">
        <f t="shared" si="27"/>
        <v>-0.68371874428199508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66</v>
      </c>
      <c r="E39" s="1"/>
      <c r="F39" s="5">
        <f t="shared" ref="F39:F55" si="28">IF(D$12=0,0,D39/D$12)</f>
        <v>3.3376874983880489E-3</v>
      </c>
      <c r="G39" s="1"/>
      <c r="H39" s="1">
        <f>SUM(OSRRefH22_2x_0)</f>
        <v>1415.5</v>
      </c>
      <c r="I39" s="1"/>
      <c r="J39" s="5">
        <f t="shared" ref="J39:J55" si="29">IF(H$12=0,0,H39/H$12)</f>
        <v>2.6751753180066232E-2</v>
      </c>
      <c r="K39" s="1"/>
      <c r="L39" s="1">
        <f t="shared" ref="L39:L55" si="30">+D39-H39</f>
        <v>-1349.5</v>
      </c>
      <c r="M39" s="1"/>
      <c r="N39" s="5">
        <f t="shared" ref="N39:N55" si="31">IF(H39=0,0,L39/H39)</f>
        <v>-0.95337336630166014</v>
      </c>
      <c r="O39" s="13"/>
      <c r="P39" s="1">
        <f>SUM(OSRRefP22_2x_0)</f>
        <v>405.52</v>
      </c>
      <c r="Q39" s="1"/>
      <c r="R39" s="5">
        <f t="shared" ref="R39:R55" si="32">IF(P$12=0,0,P39/P$12)</f>
        <v>1.1663385692305722E-3</v>
      </c>
      <c r="S39" s="1"/>
      <c r="T39" s="1">
        <f>SUM(OSRRefT22_2x_0)</f>
        <v>2511.9899999999998</v>
      </c>
      <c r="U39" s="1"/>
      <c r="V39" s="5">
        <f t="shared" ref="V39:V55" si="33">IF(T$12=0,0,T39/T$12)</f>
        <v>4.2958222363896756E-3</v>
      </c>
      <c r="W39" s="1"/>
      <c r="X39" s="1">
        <f t="shared" ref="X39:X55" si="34">+P39-T39</f>
        <v>-2106.4699999999998</v>
      </c>
      <c r="Y39" s="1"/>
      <c r="Z39" s="5">
        <f t="shared" ref="Z39:Z55" si="35">IF(T39=0,0,X39/T39)</f>
        <v>-0.8385662363305586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66</v>
      </c>
      <c r="E40" s="2"/>
      <c r="F40" s="7">
        <f t="shared" si="28"/>
        <v>3.3376874983880489E-3</v>
      </c>
      <c r="G40" s="2"/>
      <c r="H40" s="6">
        <v>1415.5</v>
      </c>
      <c r="I40" s="2"/>
      <c r="J40" s="7">
        <f t="shared" si="29"/>
        <v>2.6751753180066232E-2</v>
      </c>
      <c r="K40" s="2"/>
      <c r="L40" s="6">
        <f t="shared" si="30"/>
        <v>-1349.5</v>
      </c>
      <c r="M40" s="2"/>
      <c r="N40" s="7">
        <f t="shared" si="31"/>
        <v>-0.95337336630166014</v>
      </c>
      <c r="O40" s="11"/>
      <c r="P40" s="6">
        <v>405.52</v>
      </c>
      <c r="Q40" s="2"/>
      <c r="R40" s="7">
        <f t="shared" si="32"/>
        <v>1.1663385692305722E-3</v>
      </c>
      <c r="S40" s="2"/>
      <c r="T40" s="6">
        <v>2511.9899999999998</v>
      </c>
      <c r="U40" s="2"/>
      <c r="V40" s="7">
        <f t="shared" si="33"/>
        <v>4.2958222363896756E-3</v>
      </c>
      <c r="W40" s="2"/>
      <c r="X40" s="6">
        <f t="shared" si="34"/>
        <v>-2106.4699999999998</v>
      </c>
      <c r="Y40" s="2"/>
      <c r="Z40" s="7">
        <f t="shared" si="35"/>
        <v>-0.8385662363305586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-0.91</v>
      </c>
      <c r="E41" s="1"/>
      <c r="F41" s="5">
        <f t="shared" si="28"/>
        <v>-4.60196306595928E-5</v>
      </c>
      <c r="G41" s="1"/>
      <c r="H41" s="1">
        <f>SUM(OSRRefH22_3x_0)</f>
        <v>-1.08</v>
      </c>
      <c r="I41" s="1"/>
      <c r="J41" s="5">
        <f t="shared" si="29"/>
        <v>-2.0411086848796561E-5</v>
      </c>
      <c r="K41" s="1"/>
      <c r="L41" s="1">
        <f t="shared" si="30"/>
        <v>0.17000000000000004</v>
      </c>
      <c r="M41" s="1"/>
      <c r="N41" s="5">
        <f t="shared" si="31"/>
        <v>-0.15740740740740744</v>
      </c>
      <c r="O41" s="13"/>
      <c r="P41" s="1">
        <f>SUM(OSRRefP22_3x_0)</f>
        <v>-0.68</v>
      </c>
      <c r="Q41" s="1"/>
      <c r="R41" s="5">
        <f t="shared" si="32"/>
        <v>-1.9557857246912338E-6</v>
      </c>
      <c r="S41" s="1"/>
      <c r="T41" s="1">
        <f>SUM(OSRRefT22_3x_0)</f>
        <v>-14.11</v>
      </c>
      <c r="U41" s="1"/>
      <c r="V41" s="5">
        <f t="shared" si="33"/>
        <v>-2.4129893731845396E-5</v>
      </c>
      <c r="W41" s="1"/>
      <c r="X41" s="1">
        <f t="shared" si="34"/>
        <v>13.43</v>
      </c>
      <c r="Y41" s="1"/>
      <c r="Z41" s="5">
        <f t="shared" si="35"/>
        <v>-0.95180722891566272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>
        <v>-0.91</v>
      </c>
      <c r="E42" s="2"/>
      <c r="F42" s="7">
        <f t="shared" si="28"/>
        <v>-4.60196306595928E-5</v>
      </c>
      <c r="G42" s="2"/>
      <c r="H42" s="6">
        <v>-1.08</v>
      </c>
      <c r="I42" s="2"/>
      <c r="J42" s="7">
        <f t="shared" si="29"/>
        <v>-2.0411086848796561E-5</v>
      </c>
      <c r="K42" s="2"/>
      <c r="L42" s="6">
        <f t="shared" si="30"/>
        <v>0.17000000000000004</v>
      </c>
      <c r="M42" s="2"/>
      <c r="N42" s="7">
        <f t="shared" si="31"/>
        <v>-0.15740740740740744</v>
      </c>
      <c r="O42" s="11"/>
      <c r="P42" s="6">
        <v>-0.68</v>
      </c>
      <c r="Q42" s="2"/>
      <c r="R42" s="7">
        <f t="shared" si="32"/>
        <v>-1.9557857246912338E-6</v>
      </c>
      <c r="S42" s="2"/>
      <c r="T42" s="6">
        <v>-14.11</v>
      </c>
      <c r="U42" s="2"/>
      <c r="V42" s="7">
        <f t="shared" si="33"/>
        <v>-2.4129893731845396E-5</v>
      </c>
      <c r="W42" s="2"/>
      <c r="X42" s="6">
        <f t="shared" si="34"/>
        <v>13.43</v>
      </c>
      <c r="Y42" s="2"/>
      <c r="Z42" s="7">
        <f t="shared" si="35"/>
        <v>-0.95180722891566272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339.44</v>
      </c>
      <c r="E43" s="1"/>
      <c r="F43" s="5">
        <f t="shared" si="28"/>
        <v>1.7165827946255142E-2</v>
      </c>
      <c r="G43" s="1"/>
      <c r="H43" s="1">
        <f>SUM(OSRRefH22_4x_0)</f>
        <v>641.89</v>
      </c>
      <c r="I43" s="1"/>
      <c r="J43" s="5">
        <f t="shared" si="29"/>
        <v>1.2131178275346318E-2</v>
      </c>
      <c r="K43" s="1"/>
      <c r="L43" s="1">
        <f t="shared" si="30"/>
        <v>-302.45</v>
      </c>
      <c r="M43" s="1"/>
      <c r="N43" s="5">
        <f t="shared" si="31"/>
        <v>-0.47118665191855302</v>
      </c>
      <c r="O43" s="13"/>
      <c r="P43" s="1">
        <f>SUM(OSRRefP22_4x_0)</f>
        <v>4899.1099999999997</v>
      </c>
      <c r="Q43" s="1"/>
      <c r="R43" s="5">
        <f t="shared" si="32"/>
        <v>1.4090602061311866E-2</v>
      </c>
      <c r="S43" s="1"/>
      <c r="T43" s="1">
        <f>SUM(OSRRefT22_4x_0)</f>
        <v>6761.98</v>
      </c>
      <c r="U43" s="1"/>
      <c r="V43" s="5">
        <f t="shared" si="33"/>
        <v>1.1563845415794751E-2</v>
      </c>
      <c r="W43" s="1"/>
      <c r="X43" s="1">
        <f t="shared" si="34"/>
        <v>-1862.87</v>
      </c>
      <c r="Y43" s="1"/>
      <c r="Z43" s="5">
        <f t="shared" si="35"/>
        <v>-0.27549179382370254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339.44</v>
      </c>
      <c r="E44" s="2"/>
      <c r="F44" s="7">
        <f t="shared" si="28"/>
        <v>1.7165827946255142E-2</v>
      </c>
      <c r="G44" s="2"/>
      <c r="H44" s="6">
        <v>641.89</v>
      </c>
      <c r="I44" s="2"/>
      <c r="J44" s="7">
        <f t="shared" si="29"/>
        <v>1.2131178275346318E-2</v>
      </c>
      <c r="K44" s="2"/>
      <c r="L44" s="6">
        <f t="shared" si="30"/>
        <v>-302.45</v>
      </c>
      <c r="M44" s="2"/>
      <c r="N44" s="7">
        <f t="shared" si="31"/>
        <v>-0.47118665191855302</v>
      </c>
      <c r="O44" s="11"/>
      <c r="P44" s="6">
        <v>4899.1099999999997</v>
      </c>
      <c r="Q44" s="2"/>
      <c r="R44" s="7">
        <f t="shared" si="32"/>
        <v>1.4090602061311866E-2</v>
      </c>
      <c r="S44" s="2"/>
      <c r="T44" s="6">
        <v>6761.98</v>
      </c>
      <c r="U44" s="2"/>
      <c r="V44" s="7">
        <f t="shared" si="33"/>
        <v>1.1563845415794751E-2</v>
      </c>
      <c r="W44" s="2"/>
      <c r="X44" s="6">
        <f t="shared" si="34"/>
        <v>-1862.87</v>
      </c>
      <c r="Y44" s="2"/>
      <c r="Z44" s="7">
        <f t="shared" si="35"/>
        <v>-0.27549179382370254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297.99</v>
      </c>
      <c r="E45" s="1"/>
      <c r="F45" s="5">
        <f t="shared" si="28"/>
        <v>1.5069659055222041E-2</v>
      </c>
      <c r="G45" s="1"/>
      <c r="H45" s="1">
        <f>SUM(OSRRefH22_5x_0)</f>
        <v>696.82</v>
      </c>
      <c r="I45" s="1"/>
      <c r="J45" s="5">
        <f t="shared" si="29"/>
        <v>1.31693088314615E-2</v>
      </c>
      <c r="K45" s="1"/>
      <c r="L45" s="1">
        <f t="shared" si="30"/>
        <v>-398.83000000000004</v>
      </c>
      <c r="M45" s="1"/>
      <c r="N45" s="5">
        <f t="shared" si="31"/>
        <v>-0.57235728021583765</v>
      </c>
      <c r="O45" s="13"/>
      <c r="P45" s="1">
        <f>SUM(OSRRefP22_5x_0)</f>
        <v>2085.9299999999998</v>
      </c>
      <c r="Q45" s="1"/>
      <c r="R45" s="5">
        <f t="shared" si="32"/>
        <v>5.9994589951546835E-3</v>
      </c>
      <c r="S45" s="1"/>
      <c r="T45" s="1">
        <f>SUM(OSRRefT22_5x_0)</f>
        <v>4877.74</v>
      </c>
      <c r="U45" s="1"/>
      <c r="V45" s="5">
        <f t="shared" si="33"/>
        <v>8.3415554820390897E-3</v>
      </c>
      <c r="W45" s="1"/>
      <c r="X45" s="1">
        <f t="shared" si="34"/>
        <v>-2791.81</v>
      </c>
      <c r="Y45" s="1"/>
      <c r="Z45" s="5">
        <f t="shared" si="35"/>
        <v>-0.57235728021583765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297.99</v>
      </c>
      <c r="E46" s="2"/>
      <c r="F46" s="7">
        <f t="shared" si="28"/>
        <v>1.5069659055222041E-2</v>
      </c>
      <c r="G46" s="2"/>
      <c r="H46" s="6">
        <v>696.82</v>
      </c>
      <c r="I46" s="2"/>
      <c r="J46" s="7">
        <f t="shared" si="29"/>
        <v>1.31693088314615E-2</v>
      </c>
      <c r="K46" s="2"/>
      <c r="L46" s="6">
        <f t="shared" si="30"/>
        <v>-398.83000000000004</v>
      </c>
      <c r="M46" s="2"/>
      <c r="N46" s="7">
        <f t="shared" si="31"/>
        <v>-0.57235728021583765</v>
      </c>
      <c r="O46" s="11"/>
      <c r="P46" s="6">
        <v>2085.9299999999998</v>
      </c>
      <c r="Q46" s="2"/>
      <c r="R46" s="7">
        <f t="shared" si="32"/>
        <v>5.9994589951546835E-3</v>
      </c>
      <c r="S46" s="2"/>
      <c r="T46" s="6">
        <v>4877.74</v>
      </c>
      <c r="U46" s="2"/>
      <c r="V46" s="7">
        <f t="shared" si="33"/>
        <v>8.3415554820390897E-3</v>
      </c>
      <c r="W46" s="2"/>
      <c r="X46" s="6">
        <f t="shared" si="34"/>
        <v>-2791.81</v>
      </c>
      <c r="Y46" s="2"/>
      <c r="Z46" s="7">
        <f t="shared" si="35"/>
        <v>-0.57235728021583765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8"/>
        <v>0</v>
      </c>
      <c r="G47" s="1"/>
      <c r="H47" s="1">
        <f>SUM(OSRRefH22_6x_0)</f>
        <v>58.24</v>
      </c>
      <c r="I47" s="1"/>
      <c r="J47" s="5">
        <f t="shared" si="29"/>
        <v>1.1006867574758442E-3</v>
      </c>
      <c r="K47" s="1"/>
      <c r="L47" s="1">
        <f t="shared" si="30"/>
        <v>-58.24</v>
      </c>
      <c r="M47" s="1"/>
      <c r="N47" s="5">
        <f t="shared" si="31"/>
        <v>-1</v>
      </c>
      <c r="O47" s="13"/>
      <c r="P47" s="1">
        <f>SUM(OSRRefP22_6x_0)</f>
        <v>60</v>
      </c>
      <c r="Q47" s="1"/>
      <c r="R47" s="5">
        <f t="shared" si="32"/>
        <v>1.7256932864922651E-4</v>
      </c>
      <c r="S47" s="1"/>
      <c r="T47" s="1">
        <f>SUM(OSRRefT22_6x_0)</f>
        <v>58.24</v>
      </c>
      <c r="U47" s="1"/>
      <c r="V47" s="5">
        <f t="shared" si="33"/>
        <v>9.9597803752138632E-5</v>
      </c>
      <c r="W47" s="1"/>
      <c r="X47" s="1">
        <f t="shared" si="34"/>
        <v>1.759999999999998</v>
      </c>
      <c r="Y47" s="1"/>
      <c r="Z47" s="5">
        <f t="shared" si="35"/>
        <v>3.0219780219780185E-2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58.24</v>
      </c>
      <c r="I48" s="2"/>
      <c r="J48" s="7">
        <f t="shared" si="29"/>
        <v>1.1006867574758442E-3</v>
      </c>
      <c r="K48" s="2"/>
      <c r="L48" s="6">
        <f t="shared" si="30"/>
        <v>-58.24</v>
      </c>
      <c r="M48" s="2"/>
      <c r="N48" s="7">
        <f t="shared" si="31"/>
        <v>-1</v>
      </c>
      <c r="O48" s="11"/>
      <c r="P48" s="6">
        <v>60</v>
      </c>
      <c r="Q48" s="2"/>
      <c r="R48" s="7">
        <f t="shared" si="32"/>
        <v>1.7256932864922651E-4</v>
      </c>
      <c r="S48" s="2"/>
      <c r="T48" s="6">
        <v>58.24</v>
      </c>
      <c r="U48" s="2"/>
      <c r="V48" s="7">
        <f t="shared" si="33"/>
        <v>9.9597803752138632E-5</v>
      </c>
      <c r="W48" s="2"/>
      <c r="X48" s="6">
        <f t="shared" si="34"/>
        <v>1.759999999999998</v>
      </c>
      <c r="Y48" s="2"/>
      <c r="Z48" s="7">
        <f t="shared" si="35"/>
        <v>3.0219780219780185E-2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142.66</v>
      </c>
      <c r="E49" s="1"/>
      <c r="F49" s="5">
        <f t="shared" si="28"/>
        <v>7.2144620987884701E-3</v>
      </c>
      <c r="G49" s="1"/>
      <c r="H49" s="1">
        <f>SUM(OSRRefH22_7x_0)</f>
        <v>0</v>
      </c>
      <c r="I49" s="1"/>
      <c r="J49" s="5">
        <f t="shared" si="29"/>
        <v>0</v>
      </c>
      <c r="K49" s="1"/>
      <c r="L49" s="1">
        <f t="shared" si="30"/>
        <v>142.66</v>
      </c>
      <c r="M49" s="1"/>
      <c r="N49" s="5">
        <f t="shared" si="31"/>
        <v>0</v>
      </c>
      <c r="O49" s="13"/>
      <c r="P49" s="1">
        <f>SUM(OSRRefP22_7x_0)</f>
        <v>742.48</v>
      </c>
      <c r="Q49" s="1"/>
      <c r="R49" s="5">
        <f t="shared" si="32"/>
        <v>2.1354879189246284E-3</v>
      </c>
      <c r="S49" s="1"/>
      <c r="T49" s="1">
        <f>SUM(OSRRefT22_7x_0)</f>
        <v>768.35</v>
      </c>
      <c r="U49" s="1"/>
      <c r="V49" s="5">
        <f t="shared" si="33"/>
        <v>1.3139761763900364E-3</v>
      </c>
      <c r="W49" s="1"/>
      <c r="X49" s="1">
        <f t="shared" si="34"/>
        <v>-25.870000000000005</v>
      </c>
      <c r="Y49" s="1"/>
      <c r="Z49" s="5">
        <f t="shared" si="35"/>
        <v>-3.366955163662394E-2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142.66</v>
      </c>
      <c r="E50" s="2"/>
      <c r="F50" s="7">
        <f t="shared" si="28"/>
        <v>7.2144620987884701E-3</v>
      </c>
      <c r="G50" s="2"/>
      <c r="H50" s="6"/>
      <c r="I50" s="2"/>
      <c r="J50" s="7">
        <f t="shared" si="29"/>
        <v>0</v>
      </c>
      <c r="K50" s="2"/>
      <c r="L50" s="6">
        <f t="shared" si="30"/>
        <v>142.66</v>
      </c>
      <c r="M50" s="2"/>
      <c r="N50" s="7">
        <f t="shared" si="31"/>
        <v>0</v>
      </c>
      <c r="O50" s="11"/>
      <c r="P50" s="6">
        <v>742.48</v>
      </c>
      <c r="Q50" s="2"/>
      <c r="R50" s="7">
        <f t="shared" si="32"/>
        <v>2.1354879189246284E-3</v>
      </c>
      <c r="S50" s="2"/>
      <c r="T50" s="6">
        <v>768.35</v>
      </c>
      <c r="U50" s="2"/>
      <c r="V50" s="7">
        <f t="shared" si="33"/>
        <v>1.3139761763900364E-3</v>
      </c>
      <c r="W50" s="2"/>
      <c r="X50" s="6">
        <f t="shared" si="34"/>
        <v>-25.870000000000005</v>
      </c>
      <c r="Y50" s="2"/>
      <c r="Z50" s="7">
        <f t="shared" si="35"/>
        <v>-3.366955163662394E-2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407</v>
      </c>
      <c r="E51" s="1"/>
      <c r="F51" s="5">
        <f t="shared" si="28"/>
        <v>2.0582406240059636E-2</v>
      </c>
      <c r="G51" s="1"/>
      <c r="H51" s="1">
        <f>SUM(OSRRefH22_8x_0)</f>
        <v>415</v>
      </c>
      <c r="I51" s="1"/>
      <c r="J51" s="5">
        <f t="shared" si="29"/>
        <v>7.8431491131949749E-3</v>
      </c>
      <c r="K51" s="1"/>
      <c r="L51" s="1">
        <f t="shared" si="30"/>
        <v>-8</v>
      </c>
      <c r="M51" s="1"/>
      <c r="N51" s="5">
        <f t="shared" si="31"/>
        <v>-1.9277108433734941E-2</v>
      </c>
      <c r="O51" s="13"/>
      <c r="P51" s="1">
        <f>SUM(OSRRefP22_8x_0)</f>
        <v>2898.74</v>
      </c>
      <c r="Q51" s="1"/>
      <c r="R51" s="5">
        <f t="shared" si="32"/>
        <v>8.3372269288109792E-3</v>
      </c>
      <c r="S51" s="1"/>
      <c r="T51" s="1">
        <f>SUM(OSRRefT22_8x_0)</f>
        <v>1805.4</v>
      </c>
      <c r="U51" s="1"/>
      <c r="V51" s="5">
        <f t="shared" si="33"/>
        <v>3.0874635112313029E-3</v>
      </c>
      <c r="W51" s="1"/>
      <c r="X51" s="1">
        <f t="shared" si="34"/>
        <v>1093.3399999999997</v>
      </c>
      <c r="Y51" s="1"/>
      <c r="Z51" s="5">
        <f t="shared" si="35"/>
        <v>0.60559432812673075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>
        <v>407</v>
      </c>
      <c r="E52" s="2"/>
      <c r="F52" s="7">
        <f t="shared" si="28"/>
        <v>2.0582406240059636E-2</v>
      </c>
      <c r="G52" s="2"/>
      <c r="H52" s="6">
        <v>415</v>
      </c>
      <c r="I52" s="2"/>
      <c r="J52" s="7">
        <f t="shared" si="29"/>
        <v>7.8431491131949749E-3</v>
      </c>
      <c r="K52" s="2"/>
      <c r="L52" s="6">
        <f t="shared" si="30"/>
        <v>-8</v>
      </c>
      <c r="M52" s="2"/>
      <c r="N52" s="7">
        <f t="shared" si="31"/>
        <v>-1.9277108433734941E-2</v>
      </c>
      <c r="O52" s="11"/>
      <c r="P52" s="6">
        <v>2898.74</v>
      </c>
      <c r="Q52" s="2"/>
      <c r="R52" s="7">
        <f t="shared" si="32"/>
        <v>8.3372269288109792E-3</v>
      </c>
      <c r="S52" s="2"/>
      <c r="T52" s="6">
        <v>1805.4</v>
      </c>
      <c r="U52" s="2"/>
      <c r="V52" s="7">
        <f t="shared" si="33"/>
        <v>3.0874635112313029E-3</v>
      </c>
      <c r="W52" s="2"/>
      <c r="X52" s="6">
        <f t="shared" si="34"/>
        <v>1093.3399999999997</v>
      </c>
      <c r="Y52" s="2"/>
      <c r="Z52" s="7">
        <f t="shared" si="35"/>
        <v>0.60559432812673075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253.19</v>
      </c>
      <c r="E53" s="1"/>
      <c r="F53" s="5">
        <f t="shared" si="28"/>
        <v>1.2804077238134396E-2</v>
      </c>
      <c r="G53" s="1"/>
      <c r="H53" s="1">
        <f>SUM(OSRRefH22_9x_0)</f>
        <v>1036.58</v>
      </c>
      <c r="I53" s="1"/>
      <c r="J53" s="5">
        <f t="shared" si="29"/>
        <v>1.9590485560856977E-2</v>
      </c>
      <c r="K53" s="1"/>
      <c r="L53" s="1">
        <f t="shared" si="30"/>
        <v>-783.38999999999987</v>
      </c>
      <c r="M53" s="1"/>
      <c r="N53" s="5">
        <f t="shared" si="31"/>
        <v>-0.75574485326747565</v>
      </c>
      <c r="O53" s="13"/>
      <c r="P53" s="1">
        <f>SUM(OSRRefP22_9x_0)</f>
        <v>5294.83</v>
      </c>
      <c r="Q53" s="1"/>
      <c r="R53" s="5">
        <f t="shared" si="32"/>
        <v>1.5228754306863067E-2</v>
      </c>
      <c r="S53" s="1"/>
      <c r="T53" s="1">
        <f>SUM(OSRRefT22_9x_0)</f>
        <v>10016.699999999999</v>
      </c>
      <c r="U53" s="1"/>
      <c r="V53" s="5">
        <f t="shared" si="33"/>
        <v>1.7129830371635419E-2</v>
      </c>
      <c r="W53" s="1"/>
      <c r="X53" s="1">
        <f t="shared" si="34"/>
        <v>-4721.869999999999</v>
      </c>
      <c r="Y53" s="1"/>
      <c r="Z53" s="5">
        <f t="shared" si="35"/>
        <v>-0.47139976239679732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1071.28</v>
      </c>
      <c r="Q54" s="2"/>
      <c r="R54" s="7">
        <f t="shared" si="32"/>
        <v>3.0811678399223896E-3</v>
      </c>
      <c r="S54" s="2"/>
      <c r="T54" s="6">
        <v>114.46</v>
      </c>
      <c r="U54" s="2"/>
      <c r="V54" s="7">
        <f t="shared" si="33"/>
        <v>1.9574115071204989E-4</v>
      </c>
      <c r="W54" s="2"/>
      <c r="X54" s="6">
        <f t="shared" si="34"/>
        <v>956.81999999999994</v>
      </c>
      <c r="Y54" s="2"/>
      <c r="Z54" s="7">
        <f t="shared" si="35"/>
        <v>8.3594268740171245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253.19</v>
      </c>
      <c r="E55" s="2"/>
      <c r="F55" s="7">
        <f t="shared" si="28"/>
        <v>1.2804077238134396E-2</v>
      </c>
      <c r="G55" s="2"/>
      <c r="H55" s="6">
        <v>1036.58</v>
      </c>
      <c r="I55" s="2"/>
      <c r="J55" s="7">
        <f t="shared" si="29"/>
        <v>1.9590485560856977E-2</v>
      </c>
      <c r="K55" s="2"/>
      <c r="L55" s="6">
        <f t="shared" si="30"/>
        <v>-783.38999999999987</v>
      </c>
      <c r="M55" s="2"/>
      <c r="N55" s="7">
        <f t="shared" si="31"/>
        <v>-0.75574485326747565</v>
      </c>
      <c r="O55" s="11"/>
      <c r="P55" s="6">
        <v>4223.55</v>
      </c>
      <c r="Q55" s="2"/>
      <c r="R55" s="7">
        <f t="shared" si="32"/>
        <v>1.2147586466940677E-2</v>
      </c>
      <c r="S55" s="2"/>
      <c r="T55" s="6">
        <v>9902.24</v>
      </c>
      <c r="U55" s="2"/>
      <c r="V55" s="7">
        <f t="shared" si="33"/>
        <v>1.6934089220923373E-2</v>
      </c>
      <c r="W55" s="2"/>
      <c r="X55" s="6">
        <f t="shared" si="34"/>
        <v>-5678.69</v>
      </c>
      <c r="Y55" s="2"/>
      <c r="Z55" s="7">
        <f t="shared" si="35"/>
        <v>-0.57347529447882495</v>
      </c>
    </row>
    <row r="56" spans="1:26" s="26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1" si="36">IF(D$12=0,0,D56/D$12)</f>
        <v>0</v>
      </c>
      <c r="G56" s="1"/>
      <c r="H56" s="1">
        <f>SUM(OSRRefH22_10x_0)</f>
        <v>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0</v>
      </c>
      <c r="M56" s="1"/>
      <c r="N56" s="5">
        <f t="shared" ref="N56:N61" si="39">IF(H56=0,0,L56/H56)</f>
        <v>0</v>
      </c>
      <c r="O56" s="13"/>
      <c r="P56" s="1">
        <f>SUM(OSRRefP22_10x_0)</f>
        <v>0</v>
      </c>
      <c r="Q56" s="1"/>
      <c r="R56" s="5">
        <f t="shared" ref="R56:R61" si="40">IF(P$12=0,0,P56/P$12)</f>
        <v>0</v>
      </c>
      <c r="S56" s="1"/>
      <c r="T56" s="1">
        <f>SUM(OSRRefT22_10x_0)</f>
        <v>2954.27</v>
      </c>
      <c r="U56" s="1"/>
      <c r="V56" s="5">
        <f t="shared" ref="V56:V61" si="41">IF(T$12=0,0,T56/T$12)</f>
        <v>5.0521772611749755E-3</v>
      </c>
      <c r="W56" s="1"/>
      <c r="X56" s="1">
        <f t="shared" ref="X56:X61" si="42">+P56-T56</f>
        <v>-2954.27</v>
      </c>
      <c r="Y56" s="1"/>
      <c r="Z56" s="5">
        <f t="shared" ref="Z56:Z61" si="43">IF(T56=0,0,X56/T56)</f>
        <v>-1</v>
      </c>
    </row>
    <row r="57" spans="1:26" s="24" customFormat="1" hidden="1" outlineLevel="2" x14ac:dyDescent="0.25">
      <c r="A57" s="25"/>
      <c r="B57" s="11" t="str">
        <f>CONCATENATE("          ", "6254", " - ", "ROYALTY &amp; COMMISSIONS")</f>
        <v xml:space="preserve">          6254 - ROYALTY &amp; COMMISSIONS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2954.27</v>
      </c>
      <c r="U57" s="2"/>
      <c r="V57" s="7">
        <f t="shared" si="41"/>
        <v>5.0521772611749755E-3</v>
      </c>
      <c r="W57" s="2"/>
      <c r="X57" s="6">
        <f t="shared" si="42"/>
        <v>-2954.27</v>
      </c>
      <c r="Y57" s="2"/>
      <c r="Z57" s="7">
        <f t="shared" si="43"/>
        <v>-1</v>
      </c>
    </row>
    <row r="58" spans="1:26" s="26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1648.93</v>
      </c>
      <c r="E58" s="1"/>
      <c r="F58" s="5">
        <f t="shared" si="36"/>
        <v>8.3388076465409175E-2</v>
      </c>
      <c r="G58" s="1"/>
      <c r="H58" s="1">
        <f>SUM(OSRRefH22_11x_0)</f>
        <v>2050.63</v>
      </c>
      <c r="I58" s="1"/>
      <c r="J58" s="5">
        <f t="shared" si="37"/>
        <v>3.8755173171062675E-2</v>
      </c>
      <c r="K58" s="1"/>
      <c r="L58" s="1">
        <f t="shared" si="38"/>
        <v>-401.70000000000005</v>
      </c>
      <c r="M58" s="1"/>
      <c r="N58" s="5">
        <f t="shared" si="39"/>
        <v>-0.19589101885761936</v>
      </c>
      <c r="O58" s="13"/>
      <c r="P58" s="1">
        <f>SUM(OSRRefP22_11x_0)</f>
        <v>15582.59</v>
      </c>
      <c r="Q58" s="1"/>
      <c r="R58" s="5">
        <f t="shared" si="40"/>
        <v>4.4817951581935841E-2</v>
      </c>
      <c r="S58" s="1"/>
      <c r="T58" s="1">
        <f>SUM(OSRRefT22_11x_0)</f>
        <v>17047.510000000002</v>
      </c>
      <c r="U58" s="1"/>
      <c r="V58" s="5">
        <f t="shared" si="41"/>
        <v>2.9153409262407639E-2</v>
      </c>
      <c r="W58" s="1"/>
      <c r="X58" s="1">
        <f t="shared" si="42"/>
        <v>-1464.9200000000019</v>
      </c>
      <c r="Y58" s="1"/>
      <c r="Z58" s="5">
        <f t="shared" si="43"/>
        <v>-8.5931611126786364E-2</v>
      </c>
    </row>
    <row r="59" spans="1:26" s="24" customFormat="1" hidden="1" outlineLevel="2" x14ac:dyDescent="0.25">
      <c r="A59" s="25"/>
      <c r="B59" s="11" t="str">
        <f>CONCATENATE("          ", "6283", " - ", "PLANT SERVICE")</f>
        <v xml:space="preserve">          6283 - PLANT SERVICE</v>
      </c>
      <c r="C59" s="11"/>
      <c r="D59" s="6"/>
      <c r="E59" s="2"/>
      <c r="F59" s="7">
        <f t="shared" si="36"/>
        <v>0</v>
      </c>
      <c r="G59" s="2"/>
      <c r="H59" s="6">
        <v>57</v>
      </c>
      <c r="I59" s="2"/>
      <c r="J59" s="7">
        <f t="shared" si="37"/>
        <v>1.0772518059087074E-3</v>
      </c>
      <c r="K59" s="2"/>
      <c r="L59" s="6">
        <f t="shared" si="38"/>
        <v>-57</v>
      </c>
      <c r="M59" s="2"/>
      <c r="N59" s="7">
        <f t="shared" si="39"/>
        <v>-1</v>
      </c>
      <c r="O59" s="11"/>
      <c r="P59" s="6">
        <v>251.8</v>
      </c>
      <c r="Q59" s="2"/>
      <c r="R59" s="7">
        <f t="shared" si="40"/>
        <v>7.2421594923125399E-4</v>
      </c>
      <c r="S59" s="2"/>
      <c r="T59" s="6">
        <v>399</v>
      </c>
      <c r="U59" s="2"/>
      <c r="V59" s="7">
        <f t="shared" si="41"/>
        <v>6.8234072282114205E-4</v>
      </c>
      <c r="W59" s="2"/>
      <c r="X59" s="6">
        <f t="shared" si="42"/>
        <v>-147.19999999999999</v>
      </c>
      <c r="Y59" s="2"/>
      <c r="Z59" s="7">
        <f t="shared" si="43"/>
        <v>-0.36892230576441098</v>
      </c>
    </row>
    <row r="60" spans="1:26" s="24" customFormat="1" hidden="1" outlineLevel="2" x14ac:dyDescent="0.25">
      <c r="A60" s="25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246.12</v>
      </c>
      <c r="U60" s="2"/>
      <c r="V60" s="7">
        <f t="shared" si="41"/>
        <v>4.2089648797177814E-4</v>
      </c>
      <c r="W60" s="2"/>
      <c r="X60" s="6">
        <f t="shared" si="42"/>
        <v>-246.12</v>
      </c>
      <c r="Y60" s="2"/>
      <c r="Z60" s="7">
        <f t="shared" si="43"/>
        <v>-1</v>
      </c>
    </row>
    <row r="61" spans="1:26" s="24" customFormat="1" hidden="1" outlineLevel="2" x14ac:dyDescent="0.25">
      <c r="A61" s="25"/>
      <c r="B61" s="11" t="str">
        <f>CONCATENATE("          ", "6286", " - ", "LAUNDRY EXPENSE")</f>
        <v xml:space="preserve">          6286 - LAUNDRY EXPENSE</v>
      </c>
      <c r="C61" s="11"/>
      <c r="D61" s="6">
        <v>1648.93</v>
      </c>
      <c r="E61" s="2"/>
      <c r="F61" s="7">
        <f t="shared" si="36"/>
        <v>8.3388076465409175E-2</v>
      </c>
      <c r="G61" s="2"/>
      <c r="H61" s="6">
        <v>1993.63</v>
      </c>
      <c r="I61" s="2"/>
      <c r="J61" s="7">
        <f t="shared" si="37"/>
        <v>3.7677921365153966E-2</v>
      </c>
      <c r="K61" s="2"/>
      <c r="L61" s="6">
        <f t="shared" si="38"/>
        <v>-344.70000000000005</v>
      </c>
      <c r="M61" s="2"/>
      <c r="N61" s="7">
        <f t="shared" si="39"/>
        <v>-0.17290068869348876</v>
      </c>
      <c r="O61" s="11"/>
      <c r="P61" s="6">
        <v>15330.79</v>
      </c>
      <c r="Q61" s="2"/>
      <c r="R61" s="7">
        <f t="shared" si="40"/>
        <v>4.4093735632704592E-2</v>
      </c>
      <c r="S61" s="2"/>
      <c r="T61" s="6">
        <v>16402.390000000003</v>
      </c>
      <c r="U61" s="2"/>
      <c r="V61" s="7">
        <f t="shared" si="41"/>
        <v>2.8050172051614721E-2</v>
      </c>
      <c r="W61" s="2"/>
      <c r="X61" s="6">
        <f t="shared" si="42"/>
        <v>-1071.6000000000022</v>
      </c>
      <c r="Y61" s="2"/>
      <c r="Z61" s="7">
        <f t="shared" si="43"/>
        <v>-6.5331942479114447E-2</v>
      </c>
    </row>
    <row r="62" spans="1:26" s="26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SUM(OSRRefD22_12x_0)</f>
        <v>548.05999999999995</v>
      </c>
      <c r="E62" s="1"/>
      <c r="F62" s="5">
        <f t="shared" ref="F62:F69" si="44">IF(D$12=0,0,D62/D$12)</f>
        <v>2.7715954702523544E-2</v>
      </c>
      <c r="G62" s="1"/>
      <c r="H62" s="1">
        <f>SUM(OSRRefH22_12x_0)</f>
        <v>1455.9299999999998</v>
      </c>
      <c r="I62" s="1"/>
      <c r="J62" s="5">
        <f t="shared" ref="J62:J69" si="45">IF(H$12=0,0,H62/H$12)</f>
        <v>2.7515845996081825E-2</v>
      </c>
      <c r="K62" s="1"/>
      <c r="L62" s="1">
        <f t="shared" ref="L62:L69" si="46">+D62-H62</f>
        <v>-907.86999999999989</v>
      </c>
      <c r="M62" s="1"/>
      <c r="N62" s="5">
        <f t="shared" ref="N62:N69" si="47">IF(H62=0,0,L62/H62)</f>
        <v>-0.62356706709800613</v>
      </c>
      <c r="O62" s="13"/>
      <c r="P62" s="1">
        <f>SUM(OSRRefP22_12x_0)</f>
        <v>9361.7300000000014</v>
      </c>
      <c r="Q62" s="1"/>
      <c r="R62" s="5">
        <f t="shared" ref="R62:R69" si="48">IF(P$12=0,0,P62/P$12)</f>
        <v>2.6925791018255391E-2</v>
      </c>
      <c r="S62" s="1"/>
      <c r="T62" s="1">
        <f>SUM(OSRRefT22_12x_0)</f>
        <v>15336.539999999999</v>
      </c>
      <c r="U62" s="1"/>
      <c r="V62" s="5">
        <f t="shared" ref="V62:V69" si="49">IF(T$12=0,0,T62/T$12)</f>
        <v>2.6227433055577336E-2</v>
      </c>
      <c r="W62" s="1"/>
      <c r="X62" s="1">
        <f t="shared" ref="X62:X69" si="50">+P62-T62</f>
        <v>-5974.8099999999977</v>
      </c>
      <c r="Y62" s="1"/>
      <c r="Z62" s="5">
        <f t="shared" ref="Z62:Z69" si="51">IF(T62=0,0,X62/T62)</f>
        <v>-0.38958004869416429</v>
      </c>
    </row>
    <row r="63" spans="1:26" s="24" customFormat="1" hidden="1" outlineLevel="2" x14ac:dyDescent="0.25">
      <c r="A63" s="25"/>
      <c r="B63" s="11" t="str">
        <f>CONCATENATE("          ", "6234", " - ", "EXPENDABLE SUPPLIES &amp; EQUIPMEN")</f>
        <v xml:space="preserve">          6234 - EXPENDABLE SUPPLIES &amp; EQUIPMEN</v>
      </c>
      <c r="C63" s="11"/>
      <c r="D63" s="6"/>
      <c r="E63" s="2"/>
      <c r="F63" s="7">
        <f t="shared" si="44"/>
        <v>0</v>
      </c>
      <c r="G63" s="2"/>
      <c r="H63" s="6">
        <v>39.630000000000003</v>
      </c>
      <c r="I63" s="2"/>
      <c r="J63" s="7">
        <f t="shared" si="45"/>
        <v>7.4897349242389604E-4</v>
      </c>
      <c r="K63" s="2"/>
      <c r="L63" s="6">
        <f t="shared" si="46"/>
        <v>-39.630000000000003</v>
      </c>
      <c r="M63" s="2"/>
      <c r="N63" s="7">
        <f t="shared" si="47"/>
        <v>-1</v>
      </c>
      <c r="O63" s="11"/>
      <c r="P63" s="6">
        <v>287.29000000000002</v>
      </c>
      <c r="Q63" s="2"/>
      <c r="R63" s="7">
        <f t="shared" si="48"/>
        <v>8.2629070712727148E-4</v>
      </c>
      <c r="S63" s="2"/>
      <c r="T63" s="6">
        <v>5133.6899999999996</v>
      </c>
      <c r="U63" s="2"/>
      <c r="V63" s="7">
        <f t="shared" si="49"/>
        <v>8.7792625196482909E-3</v>
      </c>
      <c r="W63" s="2"/>
      <c r="X63" s="6">
        <f t="shared" si="50"/>
        <v>-4846.3999999999996</v>
      </c>
      <c r="Y63" s="2"/>
      <c r="Z63" s="7">
        <f t="shared" si="51"/>
        <v>-0.94403830383213638</v>
      </c>
    </row>
    <row r="64" spans="1:26" s="24" customFormat="1" hidden="1" outlineLevel="2" x14ac:dyDescent="0.25">
      <c r="A64" s="25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44"/>
        <v>0</v>
      </c>
      <c r="G64" s="2"/>
      <c r="H64" s="6">
        <v>89.03</v>
      </c>
      <c r="I64" s="2"/>
      <c r="J64" s="7">
        <f t="shared" si="45"/>
        <v>1.6825917242114423E-3</v>
      </c>
      <c r="K64" s="2"/>
      <c r="L64" s="6">
        <f t="shared" si="46"/>
        <v>-89.03</v>
      </c>
      <c r="M64" s="2"/>
      <c r="N64" s="7">
        <f t="shared" si="47"/>
        <v>-1</v>
      </c>
      <c r="O64" s="11"/>
      <c r="P64" s="6"/>
      <c r="Q64" s="2"/>
      <c r="R64" s="7">
        <f t="shared" si="48"/>
        <v>0</v>
      </c>
      <c r="S64" s="2"/>
      <c r="T64" s="6">
        <v>582.62</v>
      </c>
      <c r="U64" s="2"/>
      <c r="V64" s="7">
        <f t="shared" si="49"/>
        <v>9.9635426548885645E-4</v>
      </c>
      <c r="W64" s="2"/>
      <c r="X64" s="6">
        <f t="shared" si="50"/>
        <v>-582.62</v>
      </c>
      <c r="Y64" s="2"/>
      <c r="Z64" s="7">
        <f t="shared" si="51"/>
        <v>-1</v>
      </c>
    </row>
    <row r="65" spans="1:26" s="24" customFormat="1" hidden="1" outlineLevel="2" x14ac:dyDescent="0.25">
      <c r="A65" s="25"/>
      <c r="B65" s="11" t="str">
        <f>CONCATENATE("          ", "6239", " - ", "KITCHEN SUPPLIES")</f>
        <v xml:space="preserve">          6239 - KITCHEN SUPPLIES</v>
      </c>
      <c r="C65" s="11"/>
      <c r="D65" s="6">
        <v>160.26</v>
      </c>
      <c r="E65" s="2"/>
      <c r="F65" s="7">
        <f t="shared" si="44"/>
        <v>8.1045120983586159E-3</v>
      </c>
      <c r="G65" s="2"/>
      <c r="H65" s="6">
        <v>157</v>
      </c>
      <c r="I65" s="2"/>
      <c r="J65" s="7">
        <f t="shared" si="45"/>
        <v>2.9671672548713516E-3</v>
      </c>
      <c r="K65" s="2"/>
      <c r="L65" s="6">
        <f t="shared" si="46"/>
        <v>3.2599999999999909</v>
      </c>
      <c r="M65" s="2"/>
      <c r="N65" s="7">
        <f t="shared" si="47"/>
        <v>2.0764331210191025E-2</v>
      </c>
      <c r="O65" s="11"/>
      <c r="P65" s="6">
        <v>3509.53</v>
      </c>
      <c r="Q65" s="2"/>
      <c r="R65" s="7">
        <f t="shared" si="48"/>
        <v>1.0093953932905332E-2</v>
      </c>
      <c r="S65" s="2"/>
      <c r="T65" s="6">
        <v>779.25</v>
      </c>
      <c r="U65" s="2"/>
      <c r="V65" s="7">
        <f t="shared" si="49"/>
        <v>1.332616562051065E-3</v>
      </c>
      <c r="W65" s="2"/>
      <c r="X65" s="6">
        <f t="shared" si="50"/>
        <v>2730.28</v>
      </c>
      <c r="Y65" s="2"/>
      <c r="Z65" s="7">
        <f t="shared" si="51"/>
        <v>3.5037279435354511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6.97</v>
      </c>
      <c r="E66" s="2"/>
      <c r="F66" s="7">
        <f t="shared" si="44"/>
        <v>3.5248002823885907E-4</v>
      </c>
      <c r="G66" s="2"/>
      <c r="H66" s="6">
        <v>10.73</v>
      </c>
      <c r="I66" s="2"/>
      <c r="J66" s="7">
        <f t="shared" si="45"/>
        <v>2.0278792767369175E-4</v>
      </c>
      <c r="K66" s="2"/>
      <c r="L66" s="6">
        <f t="shared" si="46"/>
        <v>-3.7600000000000007</v>
      </c>
      <c r="M66" s="2"/>
      <c r="N66" s="7">
        <f t="shared" si="47"/>
        <v>-0.35041938490214358</v>
      </c>
      <c r="O66" s="11"/>
      <c r="P66" s="6">
        <v>649.69000000000005</v>
      </c>
      <c r="Q66" s="2"/>
      <c r="R66" s="7">
        <f t="shared" si="48"/>
        <v>1.8686094521685997E-3</v>
      </c>
      <c r="S66" s="2"/>
      <c r="T66" s="6">
        <v>1347.4</v>
      </c>
      <c r="U66" s="2"/>
      <c r="V66" s="7">
        <f t="shared" si="49"/>
        <v>2.304225288043125E-3</v>
      </c>
      <c r="W66" s="2"/>
      <c r="X66" s="6">
        <f t="shared" si="50"/>
        <v>-697.71</v>
      </c>
      <c r="Y66" s="2"/>
      <c r="Z66" s="7">
        <f t="shared" si="51"/>
        <v>-0.5178195042303696</v>
      </c>
    </row>
    <row r="67" spans="1:26" s="24" customFormat="1" hidden="1" outlineLevel="2" x14ac:dyDescent="0.25">
      <c r="A67" s="25"/>
      <c r="B67" s="11" t="str">
        <f>CONCATENATE("          ", "6243", " - ", "PAPER SUPPLIES")</f>
        <v xml:space="preserve">          6243 - PAPER SUPPLIES</v>
      </c>
      <c r="C67" s="11"/>
      <c r="D67" s="6">
        <v>265.07</v>
      </c>
      <c r="E67" s="2"/>
      <c r="F67" s="7">
        <f t="shared" si="44"/>
        <v>1.3404860987844243E-2</v>
      </c>
      <c r="G67" s="2"/>
      <c r="H67" s="6">
        <v>1159.54</v>
      </c>
      <c r="I67" s="2"/>
      <c r="J67" s="7">
        <f t="shared" si="45"/>
        <v>2.1914325596901447E-2</v>
      </c>
      <c r="K67" s="2"/>
      <c r="L67" s="6">
        <f t="shared" si="46"/>
        <v>-894.47</v>
      </c>
      <c r="M67" s="2"/>
      <c r="N67" s="7">
        <f t="shared" si="47"/>
        <v>-0.77140072787484693</v>
      </c>
      <c r="O67" s="11"/>
      <c r="P67" s="6">
        <v>3828.8</v>
      </c>
      <c r="Q67" s="2"/>
      <c r="R67" s="7">
        <f t="shared" si="48"/>
        <v>1.1012224092202641E-2</v>
      </c>
      <c r="S67" s="2"/>
      <c r="T67" s="6">
        <v>5609.18</v>
      </c>
      <c r="U67" s="2"/>
      <c r="V67" s="7">
        <f t="shared" si="49"/>
        <v>9.5924108662503605E-3</v>
      </c>
      <c r="W67" s="2"/>
      <c r="X67" s="6">
        <f t="shared" si="50"/>
        <v>-1780.38</v>
      </c>
      <c r="Y67" s="2"/>
      <c r="Z67" s="7">
        <f t="shared" si="51"/>
        <v>-0.31740468303744934</v>
      </c>
    </row>
    <row r="68" spans="1:26" s="24" customFormat="1" hidden="1" outlineLevel="2" x14ac:dyDescent="0.25">
      <c r="A68" s="25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366.09</v>
      </c>
      <c r="Q68" s="2"/>
      <c r="R68" s="7">
        <f t="shared" si="48"/>
        <v>1.0529317587532555E-3</v>
      </c>
      <c r="S68" s="2"/>
      <c r="T68" s="6">
        <v>1111.05</v>
      </c>
      <c r="U68" s="2"/>
      <c r="V68" s="7">
        <f t="shared" si="49"/>
        <v>1.9000367420812776E-3</v>
      </c>
      <c r="W68" s="2"/>
      <c r="X68" s="6">
        <f t="shared" si="50"/>
        <v>-744.96</v>
      </c>
      <c r="Y68" s="2"/>
      <c r="Z68" s="7">
        <f t="shared" si="51"/>
        <v>-0.67050087754826526</v>
      </c>
    </row>
    <row r="69" spans="1:26" s="24" customFormat="1" hidden="1" outlineLevel="2" x14ac:dyDescent="0.25">
      <c r="A69" s="25"/>
      <c r="B69" s="11" t="str">
        <f>CONCATENATE("          ", "6248", " - ", "UNIFORMS")</f>
        <v xml:space="preserve">          6248 - UNIFORMS</v>
      </c>
      <c r="C69" s="11"/>
      <c r="D69" s="6">
        <v>115.76</v>
      </c>
      <c r="E69" s="2"/>
      <c r="F69" s="7">
        <f t="shared" si="44"/>
        <v>5.8541015880818267E-3</v>
      </c>
      <c r="G69" s="2"/>
      <c r="H69" s="6"/>
      <c r="I69" s="2"/>
      <c r="J69" s="7">
        <f t="shared" si="45"/>
        <v>0</v>
      </c>
      <c r="K69" s="2"/>
      <c r="L69" s="6">
        <f t="shared" si="46"/>
        <v>115.76</v>
      </c>
      <c r="M69" s="2"/>
      <c r="N69" s="7">
        <f t="shared" si="47"/>
        <v>0</v>
      </c>
      <c r="O69" s="11"/>
      <c r="P69" s="6">
        <v>720.33</v>
      </c>
      <c r="Q69" s="2"/>
      <c r="R69" s="7">
        <f t="shared" si="48"/>
        <v>2.0717810750982891E-3</v>
      </c>
      <c r="S69" s="2"/>
      <c r="T69" s="6">
        <v>773.35</v>
      </c>
      <c r="U69" s="2"/>
      <c r="V69" s="7">
        <f t="shared" si="49"/>
        <v>1.3225268120143614E-3</v>
      </c>
      <c r="W69" s="2"/>
      <c r="X69" s="6">
        <f t="shared" si="50"/>
        <v>-53.019999999999982</v>
      </c>
      <c r="Y69" s="2"/>
      <c r="Z69" s="7">
        <f t="shared" si="51"/>
        <v>-6.8558867265791662E-2</v>
      </c>
    </row>
    <row r="70" spans="1:26" s="26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SUM(OSRRefD22_13x_0)</f>
        <v>228.36</v>
      </c>
      <c r="E70" s="1"/>
      <c r="F70" s="5">
        <f t="shared" ref="F70:F73" si="52">IF(D$12=0,0,D70/D$12)</f>
        <v>1.154839874442265E-2</v>
      </c>
      <c r="G70" s="1"/>
      <c r="H70" s="1">
        <f>SUM(OSRRefH22_13x_0)</f>
        <v>-8.16</v>
      </c>
      <c r="I70" s="1"/>
      <c r="J70" s="5">
        <f t="shared" ref="J70:J73" si="53">IF(H$12=0,0,H70/H$12)</f>
        <v>-1.5421710063535178E-4</v>
      </c>
      <c r="K70" s="1"/>
      <c r="L70" s="1">
        <f t="shared" ref="L70:L73" si="54">+D70-H70</f>
        <v>236.52</v>
      </c>
      <c r="M70" s="1"/>
      <c r="N70" s="5">
        <f t="shared" ref="N70:N73" si="55">IF(H70=0,0,L70/H70)</f>
        <v>-28.985294117647058</v>
      </c>
      <c r="O70" s="13"/>
      <c r="P70" s="1">
        <f>SUM(OSRRefP22_13x_0)</f>
        <v>1407.35</v>
      </c>
      <c r="Q70" s="1"/>
      <c r="R70" s="5">
        <f t="shared" ref="R70:R73" si="56">IF(P$12=0,0,P70/P$12)</f>
        <v>4.0477574112414818E-3</v>
      </c>
      <c r="S70" s="1"/>
      <c r="T70" s="1">
        <f>SUM(OSRRefT22_13x_0)</f>
        <v>1242.0899999999999</v>
      </c>
      <c r="U70" s="1"/>
      <c r="V70" s="5">
        <f t="shared" ref="V70:V73" si="57">IF(T$12=0,0,T70/T$12)</f>
        <v>2.1241318005235897E-3</v>
      </c>
      <c r="W70" s="1"/>
      <c r="X70" s="1">
        <f t="shared" ref="X70:X73" si="58">+P70-T70</f>
        <v>165.26</v>
      </c>
      <c r="Y70" s="1"/>
      <c r="Z70" s="5">
        <f t="shared" ref="Z70:Z73" si="59">IF(T70=0,0,X70/T70)</f>
        <v>0.1330499400204494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6">
        <v>228.36</v>
      </c>
      <c r="E71" s="2"/>
      <c r="F71" s="7">
        <f t="shared" si="52"/>
        <v>1.154839874442265E-2</v>
      </c>
      <c r="G71" s="2"/>
      <c r="H71" s="6">
        <v>-8.16</v>
      </c>
      <c r="I71" s="2"/>
      <c r="J71" s="7">
        <f t="shared" si="53"/>
        <v>-1.5421710063535178E-4</v>
      </c>
      <c r="K71" s="2"/>
      <c r="L71" s="6">
        <f t="shared" si="54"/>
        <v>236.52</v>
      </c>
      <c r="M71" s="2"/>
      <c r="N71" s="7">
        <f t="shared" si="55"/>
        <v>-28.985294117647058</v>
      </c>
      <c r="O71" s="11"/>
      <c r="P71" s="6">
        <v>1407.35</v>
      </c>
      <c r="Q71" s="2"/>
      <c r="R71" s="7">
        <f t="shared" si="56"/>
        <v>4.0477574112414818E-3</v>
      </c>
      <c r="S71" s="2"/>
      <c r="T71" s="6">
        <v>1242.0899999999999</v>
      </c>
      <c r="U71" s="2"/>
      <c r="V71" s="7">
        <f t="shared" si="57"/>
        <v>2.1241318005235897E-3</v>
      </c>
      <c r="W71" s="2"/>
      <c r="X71" s="6">
        <f t="shared" si="58"/>
        <v>165.26</v>
      </c>
      <c r="Y71" s="2"/>
      <c r="Z71" s="7">
        <f t="shared" si="59"/>
        <v>0.1330499400204494</v>
      </c>
    </row>
    <row r="72" spans="1:26" s="26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SUM(OSRRefD22_14x_0)</f>
        <v>0</v>
      </c>
      <c r="E72" s="1"/>
      <c r="F72" s="5">
        <f t="shared" si="52"/>
        <v>0</v>
      </c>
      <c r="G72" s="1"/>
      <c r="H72" s="1">
        <f>SUM(OSRRefH22_14x_0)</f>
        <v>0</v>
      </c>
      <c r="I72" s="1"/>
      <c r="J72" s="5">
        <f t="shared" si="53"/>
        <v>0</v>
      </c>
      <c r="K72" s="1"/>
      <c r="L72" s="1">
        <f t="shared" si="54"/>
        <v>0</v>
      </c>
      <c r="M72" s="1"/>
      <c r="N72" s="5">
        <f t="shared" si="55"/>
        <v>0</v>
      </c>
      <c r="O72" s="13"/>
      <c r="P72" s="1">
        <f>SUM(OSRRefP22_14x_0)</f>
        <v>175</v>
      </c>
      <c r="Q72" s="1"/>
      <c r="R72" s="5">
        <f t="shared" si="56"/>
        <v>5.0332720856024397E-4</v>
      </c>
      <c r="S72" s="1"/>
      <c r="T72" s="1">
        <f>SUM(OSRRefT22_14x_0)</f>
        <v>112.5</v>
      </c>
      <c r="U72" s="1"/>
      <c r="V72" s="5">
        <f t="shared" si="57"/>
        <v>1.9238930154731447E-4</v>
      </c>
      <c r="W72" s="1"/>
      <c r="X72" s="1">
        <f t="shared" si="58"/>
        <v>62.5</v>
      </c>
      <c r="Y72" s="1"/>
      <c r="Z72" s="5">
        <f t="shared" si="59"/>
        <v>0.55555555555555558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175</v>
      </c>
      <c r="Q73" s="2"/>
      <c r="R73" s="7">
        <f t="shared" si="56"/>
        <v>5.0332720856024397E-4</v>
      </c>
      <c r="S73" s="2"/>
      <c r="T73" s="6">
        <v>112.5</v>
      </c>
      <c r="U73" s="2"/>
      <c r="V73" s="7">
        <f t="shared" si="57"/>
        <v>1.9238930154731447E-4</v>
      </c>
      <c r="W73" s="2"/>
      <c r="X73" s="6">
        <f t="shared" si="58"/>
        <v>62.5</v>
      </c>
      <c r="Y73" s="2"/>
      <c r="Z73" s="7">
        <f t="shared" si="59"/>
        <v>0.55555555555555558</v>
      </c>
    </row>
    <row r="74" spans="1:26" s="59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1">
        <f>+D20-D22+D75</f>
        <v>-27172.34</v>
      </c>
      <c r="E77" s="14"/>
      <c r="F77" s="22">
        <f>IF(D$12=0,0,D77/D$12)</f>
        <v>-1.3741330230295381</v>
      </c>
      <c r="G77" s="14"/>
      <c r="H77" s="21">
        <f>+H20-H22+H75</f>
        <v>-23936.529999999988</v>
      </c>
      <c r="I77" s="14"/>
      <c r="J77" s="22">
        <f>IF(H$12=0,0,H77/H$12)</f>
        <v>-0.45238017841557782</v>
      </c>
      <c r="K77" s="16"/>
      <c r="L77" s="21">
        <f>+D77-H77</f>
        <v>-3235.8100000000122</v>
      </c>
      <c r="M77" s="16"/>
      <c r="N77" s="22">
        <f>IF(H77=0,0,L77/H77)</f>
        <v>0.13518291916163344</v>
      </c>
      <c r="O77" s="29"/>
      <c r="P77" s="21">
        <f>+P20-P22+P75</f>
        <v>-97158.28999999995</v>
      </c>
      <c r="Q77" s="14"/>
      <c r="R77" s="22">
        <f>IF(P$12=0,0,P77/P$12)</f>
        <v>-0.2794423479667808</v>
      </c>
      <c r="S77" s="14"/>
      <c r="T77" s="21">
        <f>+T20-T22+T75</f>
        <v>-473.09000000008382</v>
      </c>
      <c r="U77" s="14"/>
      <c r="V77" s="22">
        <f>IF(T$12=0,0,T77/T$12)</f>
        <v>-8.0904404150253456E-4</v>
      </c>
      <c r="W77" s="16"/>
      <c r="X77" s="21">
        <f>+P77-T77</f>
        <v>-96685.199999999866</v>
      </c>
      <c r="Y77" s="16"/>
      <c r="Z77" s="22">
        <f>IF(T77=0,0,X77/T77)</f>
        <v>204.36957027200478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841.72</v>
      </c>
      <c r="E79" s="4"/>
      <c r="F79" s="12">
        <f>IF(D$12=0,0,D79/D$12)</f>
        <v>4.2566641229442252E-2</v>
      </c>
      <c r="G79" s="4"/>
      <c r="H79" s="4">
        <v>2105.25</v>
      </c>
      <c r="I79" s="4"/>
      <c r="J79" s="12">
        <f>IF(H$12=0,0,H79/H$12)</f>
        <v>3.9787444989286068E-2</v>
      </c>
      <c r="K79" s="4"/>
      <c r="L79" s="4">
        <f>+D79-H79</f>
        <v>-1263.53</v>
      </c>
      <c r="M79" s="4"/>
      <c r="N79" s="12">
        <f>IF(H79=0,0,L79/H79)</f>
        <v>-0.60018050112813204</v>
      </c>
      <c r="O79" s="10"/>
      <c r="P79" s="4">
        <v>36258.76</v>
      </c>
      <c r="Q79" s="4"/>
      <c r="R79" s="12">
        <f>IF(P$12=0,0,P79/P$12)</f>
        <v>0.10428583118089048</v>
      </c>
      <c r="S79" s="4"/>
      <c r="T79" s="4">
        <v>59498.780000000006</v>
      </c>
      <c r="U79" s="4"/>
      <c r="V79" s="12">
        <f>IF(T$12=0,0,T79/T$12)</f>
        <v>0.10175047757437622</v>
      </c>
      <c r="W79" s="4"/>
      <c r="X79" s="4">
        <f>+P79-T79</f>
        <v>-23240.020000000004</v>
      </c>
      <c r="Y79" s="4"/>
      <c r="Z79" s="12">
        <f>IF(T79=0,0,X79/T79)</f>
        <v>-0.39059658029962968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4">
        <f>+D77-D79</f>
        <v>-28014.06</v>
      </c>
      <c r="E81" s="14"/>
      <c r="F81" s="31">
        <f>IF(D$12=0,0,D81/D$12)</f>
        <v>-1.4166996642589804</v>
      </c>
      <c r="G81" s="14"/>
      <c r="H81" s="34">
        <f>+H77-H79</f>
        <v>-26041.779999999988</v>
      </c>
      <c r="I81" s="14"/>
      <c r="J81" s="31">
        <f>IF(H$12=0,0,H81/H$12)</f>
        <v>-0.49216762340486392</v>
      </c>
      <c r="K81" s="16"/>
      <c r="L81" s="34">
        <f>D81-H81</f>
        <v>-1972.2800000000134</v>
      </c>
      <c r="M81" s="16"/>
      <c r="N81" s="31">
        <f>IF(H81=0,0,L81/H81)</f>
        <v>7.5735222400312663E-2</v>
      </c>
      <c r="O81" s="29"/>
      <c r="P81" s="34">
        <f>+P77-P79</f>
        <v>-133417.04999999996</v>
      </c>
      <c r="Q81" s="14"/>
      <c r="R81" s="31">
        <f>IF(P$12=0,0,P81/P$12)</f>
        <v>-0.38372817914767132</v>
      </c>
      <c r="S81" s="14"/>
      <c r="T81" s="34">
        <f>+T77-T79</f>
        <v>-59971.87000000009</v>
      </c>
      <c r="U81" s="14"/>
      <c r="V81" s="31">
        <f>IF(T$12=0,0,T81/T$12)</f>
        <v>-0.10255952161587875</v>
      </c>
      <c r="W81" s="16"/>
      <c r="X81" s="34">
        <f>P81-T81</f>
        <v>-73445.179999999877</v>
      </c>
      <c r="Y81" s="16"/>
      <c r="Z81" s="31">
        <f>IF(T81=0,0,X81/T81)</f>
        <v>1.2246604949953999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0">
        <f>SUM(D81:D83)</f>
        <v>-28014.06</v>
      </c>
      <c r="E84" s="14"/>
      <c r="F84" s="33">
        <f>IF(D$12=0,0,D84/D$12)</f>
        <v>-1.4166996642589804</v>
      </c>
      <c r="G84" s="14"/>
      <c r="H84" s="30">
        <f>SUM(H81:H83)</f>
        <v>-26041.779999999988</v>
      </c>
      <c r="I84" s="14"/>
      <c r="J84" s="33">
        <f>IF(H$12=0,0,H84/H$12)</f>
        <v>-0.49216762340486392</v>
      </c>
      <c r="K84" s="16"/>
      <c r="L84" s="30">
        <f>+D84-H84</f>
        <v>-1972.2800000000134</v>
      </c>
      <c r="M84" s="16"/>
      <c r="N84" s="33">
        <f>IF(H84=0,0,L84/H84)</f>
        <v>7.5735222400312663E-2</v>
      </c>
      <c r="O84" s="29"/>
      <c r="P84" s="30">
        <f>SUM(P81:P83)</f>
        <v>-133417.04999999996</v>
      </c>
      <c r="Q84" s="14"/>
      <c r="R84" s="33">
        <f>IF(P$12=0,0,P84/P$12)</f>
        <v>-0.38372817914767132</v>
      </c>
      <c r="S84" s="14"/>
      <c r="T84" s="30">
        <f>SUM(T81:T83)</f>
        <v>-59971.87000000009</v>
      </c>
      <c r="U84" s="14"/>
      <c r="V84" s="33">
        <f>IF(T$12=0,0,T84/T$12)</f>
        <v>-0.10255952161587875</v>
      </c>
      <c r="W84" s="16"/>
      <c r="X84" s="30">
        <f>+P84-T84</f>
        <v>-73445.179999999877</v>
      </c>
      <c r="Y84" s="16"/>
      <c r="Z84" s="33">
        <f>IF(T84=0,0,X84/T84)</f>
        <v>1.2246604949953999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43879.554180671294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5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","420", " - ", "Catering")</f>
        <v>Department 420 - Catering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28422.46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28422.46</v>
      </c>
      <c r="M12" s="4"/>
      <c r="N12" s="12">
        <f t="shared" ref="N12:N14" si="1">IF(H12=0,0,L12/H12)</f>
        <v>0</v>
      </c>
      <c r="O12" s="10"/>
      <c r="P12" s="4">
        <f>SUM(OSRRefP13x_0)</f>
        <v>135611.56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135611.56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--28397.57</f>
        <v>28397.57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28397.57</v>
      </c>
      <c r="M13" s="2"/>
      <c r="N13" s="19">
        <f t="shared" si="1"/>
        <v>0</v>
      </c>
      <c r="O13" s="11"/>
      <c r="P13" s="2">
        <f>--135238.05</f>
        <v>135238.04999999999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135238.04999999999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--24.89</f>
        <v>24.89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24.89</v>
      </c>
      <c r="M14" s="2"/>
      <c r="N14" s="19">
        <f t="shared" si="1"/>
        <v>0</v>
      </c>
      <c r="O14" s="11"/>
      <c r="P14" s="2">
        <f>--373.51</f>
        <v>373.51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373.51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127.98</v>
      </c>
      <c r="E16" s="4"/>
      <c r="F16" s="12">
        <f t="shared" ref="F16:F17" si="6">IF(D$12=0,0,D16/D$12)</f>
        <v>4.5027770291522972E-3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127.98</v>
      </c>
      <c r="M16" s="4"/>
      <c r="N16" s="12">
        <f t="shared" ref="N16:N17" si="9">IF(H16=0,0,L16/H16)</f>
        <v>0</v>
      </c>
      <c r="O16" s="10"/>
      <c r="P16" s="4">
        <f>SUM(OSRRefP16x_0)</f>
        <v>303.2</v>
      </c>
      <c r="Q16" s="4"/>
      <c r="R16" s="12">
        <f t="shared" ref="R16:R17" si="10">IF(P$12=0,0,P16/P$12)</f>
        <v>2.2357975971959913E-3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303.2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127.98</v>
      </c>
      <c r="E17" s="2"/>
      <c r="F17" s="19">
        <f t="shared" si="6"/>
        <v>4.5027770291522972E-3</v>
      </c>
      <c r="G17" s="2"/>
      <c r="H17" s="2"/>
      <c r="I17" s="2"/>
      <c r="J17" s="19">
        <f t="shared" si="7"/>
        <v>0</v>
      </c>
      <c r="K17" s="2"/>
      <c r="L17" s="2">
        <f t="shared" si="8"/>
        <v>127.98</v>
      </c>
      <c r="M17" s="2"/>
      <c r="N17" s="19">
        <f t="shared" si="9"/>
        <v>0</v>
      </c>
      <c r="O17" s="11"/>
      <c r="P17" s="2">
        <v>303.2</v>
      </c>
      <c r="Q17" s="2"/>
      <c r="R17" s="19">
        <f t="shared" si="10"/>
        <v>2.2357975971959913E-3</v>
      </c>
      <c r="S17" s="2"/>
      <c r="T17" s="2"/>
      <c r="U17" s="2"/>
      <c r="V17" s="19">
        <f t="shared" si="11"/>
        <v>0</v>
      </c>
      <c r="W17" s="2"/>
      <c r="X17" s="2">
        <f t="shared" si="12"/>
        <v>303.2</v>
      </c>
      <c r="Y17" s="2"/>
      <c r="Z17" s="19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1">
        <f>D12-D16</f>
        <v>28294.48</v>
      </c>
      <c r="E19" s="14"/>
      <c r="F19" s="22">
        <f>IF(D$12=0,0,D19/D$12)</f>
        <v>0.99549722297084775</v>
      </c>
      <c r="G19" s="14"/>
      <c r="H19" s="21">
        <f>H12-H16</f>
        <v>0</v>
      </c>
      <c r="I19" s="14"/>
      <c r="J19" s="22">
        <f>IF(H$12=0,0,H19/H$12)</f>
        <v>0</v>
      </c>
      <c r="K19" s="16"/>
      <c r="L19" s="21">
        <f>+D19-H19</f>
        <v>28294.48</v>
      </c>
      <c r="M19" s="16"/>
      <c r="N19" s="22">
        <f>IF(H19=0,0,L19/H19)</f>
        <v>0</v>
      </c>
      <c r="O19" s="29"/>
      <c r="P19" s="21">
        <f>P12-P16</f>
        <v>135308.35999999999</v>
      </c>
      <c r="Q19" s="14"/>
      <c r="R19" s="22">
        <f>IF(P$12=0,0,P19/P$12)</f>
        <v>0.99776420240280395</v>
      </c>
      <c r="S19" s="14"/>
      <c r="T19" s="21">
        <f>T12-T16</f>
        <v>0</v>
      </c>
      <c r="U19" s="14"/>
      <c r="V19" s="22">
        <f>IF(T$12=0,0,T19/T$12)</f>
        <v>0</v>
      </c>
      <c r="W19" s="16"/>
      <c r="X19" s="21">
        <f>+P19-T19</f>
        <v>135308.35999999999</v>
      </c>
      <c r="Y19" s="16"/>
      <c r="Z19" s="22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0">
        <f>SUM(OSRRefD22x_0)</f>
        <v>40639.26</v>
      </c>
      <c r="E21" s="20"/>
      <c r="F21" s="32">
        <f t="shared" ref="F21:F30" si="14">IF(D$12=0,0,D21/D$12)</f>
        <v>1.429829085870822</v>
      </c>
      <c r="G21" s="20"/>
      <c r="H21" s="20">
        <f>SUM(OSRRefH22x_0)</f>
        <v>0</v>
      </c>
      <c r="I21" s="20"/>
      <c r="J21" s="32">
        <f t="shared" ref="J21:J30" si="15">IF(H$12=0,0,H21/H$12)</f>
        <v>0</v>
      </c>
      <c r="K21" s="4"/>
      <c r="L21" s="20">
        <f t="shared" ref="L21:L30" si="16">+D21-H21</f>
        <v>40639.26</v>
      </c>
      <c r="M21" s="4"/>
      <c r="N21" s="32">
        <f t="shared" ref="N21:N30" si="17">IF(H21=0,0,L21/H21)</f>
        <v>0</v>
      </c>
      <c r="O21" s="10"/>
      <c r="P21" s="20">
        <f>SUM(OSRRefP22x_0)</f>
        <v>151540.42000000001</v>
      </c>
      <c r="Q21" s="20"/>
      <c r="R21" s="32">
        <f t="shared" ref="R21:R30" si="18">IF(P$12=0,0,P21/P$12)</f>
        <v>1.1174594555213435</v>
      </c>
      <c r="S21" s="20"/>
      <c r="T21" s="20">
        <f>SUM(OSRRefT22x_0)</f>
        <v>0</v>
      </c>
      <c r="U21" s="20"/>
      <c r="V21" s="32">
        <f t="shared" ref="V21:V30" si="19">IF(T$12=0,0,T21/T$12)</f>
        <v>0</v>
      </c>
      <c r="W21" s="4"/>
      <c r="X21" s="20">
        <f t="shared" ref="X21:X30" si="20">+P21-T21</f>
        <v>151540.42000000001</v>
      </c>
      <c r="Y21" s="4"/>
      <c r="Z21" s="32">
        <f t="shared" ref="Z21:Z30" si="21">IF(T21=0,0,X21/T21)</f>
        <v>0</v>
      </c>
    </row>
    <row r="22" spans="1:26" s="26" customFormat="1" outlineLevel="1" collapsed="1" x14ac:dyDescent="0.25">
      <c r="A22" s="27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13497.560000000001</v>
      </c>
      <c r="E22" s="1"/>
      <c r="F22" s="5">
        <f t="shared" si="14"/>
        <v>0.47489063226757999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13497.560000000001</v>
      </c>
      <c r="M22" s="1"/>
      <c r="N22" s="5">
        <f t="shared" si="17"/>
        <v>0</v>
      </c>
      <c r="O22" s="13"/>
      <c r="P22" s="1">
        <f>SUM(OSRRefP22_0x_0)</f>
        <v>35293.46</v>
      </c>
      <c r="Q22" s="1"/>
      <c r="R22" s="5">
        <f t="shared" si="18"/>
        <v>0.26025406683619007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35293.46</v>
      </c>
      <c r="Y22" s="1"/>
      <c r="Z22" s="5">
        <f t="shared" si="21"/>
        <v>0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6">
        <v>1571.92</v>
      </c>
      <c r="E23" s="2"/>
      <c r="F23" s="7">
        <f t="shared" si="14"/>
        <v>5.5305557647015779E-2</v>
      </c>
      <c r="G23" s="2"/>
      <c r="H23" s="6"/>
      <c r="I23" s="2"/>
      <c r="J23" s="7">
        <f t="shared" si="15"/>
        <v>0</v>
      </c>
      <c r="K23" s="2"/>
      <c r="L23" s="6">
        <f t="shared" si="16"/>
        <v>1571.92</v>
      </c>
      <c r="M23" s="2"/>
      <c r="N23" s="7">
        <f t="shared" si="17"/>
        <v>0</v>
      </c>
      <c r="O23" s="11"/>
      <c r="P23" s="6">
        <v>8245.5300000000007</v>
      </c>
      <c r="Q23" s="2"/>
      <c r="R23" s="7">
        <f t="shared" si="18"/>
        <v>6.0802559899760765E-2</v>
      </c>
      <c r="S23" s="2"/>
      <c r="T23" s="6"/>
      <c r="U23" s="2"/>
      <c r="V23" s="7">
        <f t="shared" si="19"/>
        <v>0</v>
      </c>
      <c r="W23" s="2"/>
      <c r="X23" s="6">
        <f t="shared" si="20"/>
        <v>8245.5300000000007</v>
      </c>
      <c r="Y23" s="2"/>
      <c r="Z23" s="7">
        <f t="shared" si="21"/>
        <v>0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6">
        <v>923.92</v>
      </c>
      <c r="E24" s="2"/>
      <c r="F24" s="7">
        <f t="shared" si="14"/>
        <v>3.2506686613333259E-2</v>
      </c>
      <c r="G24" s="2"/>
      <c r="H24" s="6"/>
      <c r="I24" s="2"/>
      <c r="J24" s="7">
        <f t="shared" si="15"/>
        <v>0</v>
      </c>
      <c r="K24" s="2"/>
      <c r="L24" s="6">
        <f t="shared" si="16"/>
        <v>923.92</v>
      </c>
      <c r="M24" s="2"/>
      <c r="N24" s="7">
        <f t="shared" si="17"/>
        <v>0</v>
      </c>
      <c r="O24" s="11"/>
      <c r="P24" s="6">
        <v>4993.8100000000004</v>
      </c>
      <c r="Q24" s="2"/>
      <c r="R24" s="7">
        <f t="shared" si="18"/>
        <v>3.6824368070096682E-2</v>
      </c>
      <c r="S24" s="2"/>
      <c r="T24" s="6"/>
      <c r="U24" s="2"/>
      <c r="V24" s="7">
        <f t="shared" si="19"/>
        <v>0</v>
      </c>
      <c r="W24" s="2"/>
      <c r="X24" s="6">
        <f t="shared" si="20"/>
        <v>4993.8100000000004</v>
      </c>
      <c r="Y24" s="2"/>
      <c r="Z24" s="7">
        <f t="shared" si="21"/>
        <v>0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6">
        <v>6448.79</v>
      </c>
      <c r="E25" s="2"/>
      <c r="F25" s="7">
        <f t="shared" si="14"/>
        <v>0.22689063508225538</v>
      </c>
      <c r="G25" s="2"/>
      <c r="H25" s="6"/>
      <c r="I25" s="2"/>
      <c r="J25" s="7">
        <f t="shared" si="15"/>
        <v>0</v>
      </c>
      <c r="K25" s="2"/>
      <c r="L25" s="6">
        <f t="shared" si="16"/>
        <v>6448.79</v>
      </c>
      <c r="M25" s="2"/>
      <c r="N25" s="7">
        <f t="shared" si="17"/>
        <v>0</v>
      </c>
      <c r="O25" s="11"/>
      <c r="P25" s="6">
        <v>6877.53</v>
      </c>
      <c r="Q25" s="2"/>
      <c r="R25" s="7">
        <f t="shared" si="18"/>
        <v>5.0714924302913411E-2</v>
      </c>
      <c r="S25" s="2"/>
      <c r="T25" s="6"/>
      <c r="U25" s="2"/>
      <c r="V25" s="7">
        <f t="shared" si="19"/>
        <v>0</v>
      </c>
      <c r="W25" s="2"/>
      <c r="X25" s="6">
        <f t="shared" si="20"/>
        <v>6877.53</v>
      </c>
      <c r="Y25" s="2"/>
      <c r="Z25" s="7">
        <f t="shared" si="21"/>
        <v>0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>
        <v>61.91</v>
      </c>
      <c r="E26" s="2"/>
      <c r="F26" s="7">
        <f t="shared" si="14"/>
        <v>2.1782069532334638E-3</v>
      </c>
      <c r="G26" s="2"/>
      <c r="H26" s="6"/>
      <c r="I26" s="2"/>
      <c r="J26" s="7">
        <f t="shared" si="15"/>
        <v>0</v>
      </c>
      <c r="K26" s="2"/>
      <c r="L26" s="6">
        <f t="shared" si="16"/>
        <v>61.91</v>
      </c>
      <c r="M26" s="2"/>
      <c r="N26" s="7">
        <f t="shared" si="17"/>
        <v>0</v>
      </c>
      <c r="O26" s="11"/>
      <c r="P26" s="6">
        <v>334.64</v>
      </c>
      <c r="Q26" s="2"/>
      <c r="R26" s="7">
        <f t="shared" si="18"/>
        <v>2.4676362398603777E-3</v>
      </c>
      <c r="S26" s="2"/>
      <c r="T26" s="6"/>
      <c r="U26" s="2"/>
      <c r="V26" s="7">
        <f t="shared" si="19"/>
        <v>0</v>
      </c>
      <c r="W26" s="2"/>
      <c r="X26" s="6">
        <f t="shared" si="20"/>
        <v>334.64</v>
      </c>
      <c r="Y26" s="2"/>
      <c r="Z26" s="7">
        <f t="shared" si="21"/>
        <v>0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6">
        <v>2079.09</v>
      </c>
      <c r="E27" s="2"/>
      <c r="F27" s="7">
        <f t="shared" si="14"/>
        <v>7.31495444095972E-2</v>
      </c>
      <c r="G27" s="2"/>
      <c r="H27" s="6"/>
      <c r="I27" s="2"/>
      <c r="J27" s="7">
        <f t="shared" si="15"/>
        <v>0</v>
      </c>
      <c r="K27" s="2"/>
      <c r="L27" s="6">
        <f t="shared" si="16"/>
        <v>2079.09</v>
      </c>
      <c r="M27" s="2"/>
      <c r="N27" s="7">
        <f t="shared" si="17"/>
        <v>0</v>
      </c>
      <c r="O27" s="11"/>
      <c r="P27" s="6">
        <v>5924.36</v>
      </c>
      <c r="Q27" s="2"/>
      <c r="R27" s="7">
        <f t="shared" si="18"/>
        <v>4.3686246216767949E-2</v>
      </c>
      <c r="S27" s="2"/>
      <c r="T27" s="6"/>
      <c r="U27" s="2"/>
      <c r="V27" s="7">
        <f t="shared" si="19"/>
        <v>0</v>
      </c>
      <c r="W27" s="2"/>
      <c r="X27" s="6">
        <f t="shared" si="20"/>
        <v>5924.36</v>
      </c>
      <c r="Y27" s="2"/>
      <c r="Z27" s="7">
        <f t="shared" si="2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6">
        <v>1091.78</v>
      </c>
      <c r="E28" s="2"/>
      <c r="F28" s="7">
        <f t="shared" si="14"/>
        <v>3.8412579347459723E-2</v>
      </c>
      <c r="G28" s="2"/>
      <c r="H28" s="6"/>
      <c r="I28" s="2"/>
      <c r="J28" s="7">
        <f t="shared" si="15"/>
        <v>0</v>
      </c>
      <c r="K28" s="2"/>
      <c r="L28" s="6">
        <f t="shared" si="16"/>
        <v>1091.78</v>
      </c>
      <c r="M28" s="2"/>
      <c r="N28" s="7">
        <f t="shared" si="17"/>
        <v>0</v>
      </c>
      <c r="O28" s="11"/>
      <c r="P28" s="6">
        <v>4610.75</v>
      </c>
      <c r="Q28" s="2"/>
      <c r="R28" s="7">
        <f t="shared" si="18"/>
        <v>3.3999682622926838E-2</v>
      </c>
      <c r="S28" s="2"/>
      <c r="T28" s="6"/>
      <c r="U28" s="2"/>
      <c r="V28" s="7">
        <f t="shared" si="19"/>
        <v>0</v>
      </c>
      <c r="W28" s="2"/>
      <c r="X28" s="6">
        <f t="shared" si="20"/>
        <v>4610.75</v>
      </c>
      <c r="Y28" s="2"/>
      <c r="Z28" s="7">
        <f t="shared" si="21"/>
        <v>0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6">
        <v>853.34</v>
      </c>
      <c r="E29" s="2"/>
      <c r="F29" s="7">
        <f t="shared" si="14"/>
        <v>3.0023439209695434E-2</v>
      </c>
      <c r="G29" s="2"/>
      <c r="H29" s="6"/>
      <c r="I29" s="2"/>
      <c r="J29" s="7">
        <f t="shared" si="15"/>
        <v>0</v>
      </c>
      <c r="K29" s="2"/>
      <c r="L29" s="6">
        <f t="shared" si="16"/>
        <v>853.34</v>
      </c>
      <c r="M29" s="2"/>
      <c r="N29" s="7">
        <f t="shared" si="17"/>
        <v>0</v>
      </c>
      <c r="O29" s="11"/>
      <c r="P29" s="6">
        <v>3840.03</v>
      </c>
      <c r="Q29" s="2"/>
      <c r="R29" s="7">
        <f t="shared" si="18"/>
        <v>2.8316391316492488E-2</v>
      </c>
      <c r="S29" s="2"/>
      <c r="T29" s="6"/>
      <c r="U29" s="2"/>
      <c r="V29" s="7">
        <f t="shared" si="19"/>
        <v>0</v>
      </c>
      <c r="W29" s="2"/>
      <c r="X29" s="6">
        <f t="shared" si="20"/>
        <v>3840.03</v>
      </c>
      <c r="Y29" s="2"/>
      <c r="Z29" s="7">
        <f t="shared" si="21"/>
        <v>0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466.81</v>
      </c>
      <c r="E30" s="2"/>
      <c r="F30" s="7">
        <f t="shared" si="14"/>
        <v>1.6423983004989717E-2</v>
      </c>
      <c r="G30" s="2"/>
      <c r="H30" s="6"/>
      <c r="I30" s="2"/>
      <c r="J30" s="7">
        <f t="shared" si="15"/>
        <v>0</v>
      </c>
      <c r="K30" s="2"/>
      <c r="L30" s="6">
        <f t="shared" si="16"/>
        <v>466.81</v>
      </c>
      <c r="M30" s="2"/>
      <c r="N30" s="7">
        <f t="shared" si="17"/>
        <v>0</v>
      </c>
      <c r="O30" s="11"/>
      <c r="P30" s="6">
        <v>466.81</v>
      </c>
      <c r="Q30" s="2"/>
      <c r="R30" s="7">
        <f t="shared" si="18"/>
        <v>3.442258167371572E-3</v>
      </c>
      <c r="S30" s="2"/>
      <c r="T30" s="6"/>
      <c r="U30" s="2"/>
      <c r="V30" s="7">
        <f t="shared" si="19"/>
        <v>0</v>
      </c>
      <c r="W30" s="2"/>
      <c r="X30" s="6">
        <f t="shared" si="20"/>
        <v>466.81</v>
      </c>
      <c r="Y30" s="2"/>
      <c r="Z30" s="7">
        <f t="shared" si="21"/>
        <v>0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26579.940000000002</v>
      </c>
      <c r="E31" s="1"/>
      <c r="F31" s="5">
        <f t="shared" ref="F31:F35" si="22">IF(D$12=0,0,D31/D$12)</f>
        <v>0.93517380268984474</v>
      </c>
      <c r="G31" s="1"/>
      <c r="H31" s="1">
        <f>SUM(OSRRefH22_1x_0)</f>
        <v>0</v>
      </c>
      <c r="I31" s="1"/>
      <c r="J31" s="5">
        <f t="shared" ref="J31:J35" si="23">IF(H$12=0,0,H31/H$12)</f>
        <v>0</v>
      </c>
      <c r="K31" s="1"/>
      <c r="L31" s="1">
        <f t="shared" ref="L31:L35" si="24">+D31-H31</f>
        <v>26579.940000000002</v>
      </c>
      <c r="M31" s="1"/>
      <c r="N31" s="5">
        <f t="shared" ref="N31:N35" si="25">IF(H31=0,0,L31/H31)</f>
        <v>0</v>
      </c>
      <c r="O31" s="13"/>
      <c r="P31" s="1">
        <f>SUM(OSRRefP22_1x_0)</f>
        <v>111881.41</v>
      </c>
      <c r="Q31" s="1"/>
      <c r="R31" s="5">
        <f t="shared" ref="R31:R35" si="26">IF(P$12=0,0,P31/P$12)</f>
        <v>0.82501381150692465</v>
      </c>
      <c r="S31" s="1"/>
      <c r="T31" s="1">
        <f>SUM(OSRRefT22_1x_0)</f>
        <v>0</v>
      </c>
      <c r="U31" s="1"/>
      <c r="V31" s="5">
        <f t="shared" ref="V31:V35" si="27">IF(T$12=0,0,T31/T$12)</f>
        <v>0</v>
      </c>
      <c r="W31" s="1"/>
      <c r="X31" s="1">
        <f t="shared" ref="X31:X35" si="28">+P31-T31</f>
        <v>111881.41</v>
      </c>
      <c r="Y31" s="1"/>
      <c r="Z31" s="5">
        <f t="shared" ref="Z31:Z35" si="29">IF(T31=0,0,X31/T31)</f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20655.550000000003</v>
      </c>
      <c r="E32" s="2"/>
      <c r="F32" s="7">
        <f t="shared" si="22"/>
        <v>0.72673336509225461</v>
      </c>
      <c r="G32" s="2"/>
      <c r="H32" s="6"/>
      <c r="I32" s="2"/>
      <c r="J32" s="7">
        <f t="shared" si="23"/>
        <v>0</v>
      </c>
      <c r="K32" s="2"/>
      <c r="L32" s="6">
        <f t="shared" si="24"/>
        <v>20655.550000000003</v>
      </c>
      <c r="M32" s="2"/>
      <c r="N32" s="7">
        <f t="shared" si="25"/>
        <v>0</v>
      </c>
      <c r="O32" s="11"/>
      <c r="P32" s="6">
        <v>80310.37000000001</v>
      </c>
      <c r="Q32" s="2"/>
      <c r="R32" s="7">
        <f t="shared" si="26"/>
        <v>0.59220887953799817</v>
      </c>
      <c r="S32" s="2"/>
      <c r="T32" s="6"/>
      <c r="U32" s="2"/>
      <c r="V32" s="7">
        <f t="shared" si="27"/>
        <v>0</v>
      </c>
      <c r="W32" s="2"/>
      <c r="X32" s="6">
        <f t="shared" si="28"/>
        <v>80310.37000000001</v>
      </c>
      <c r="Y32" s="2"/>
      <c r="Z32" s="7">
        <f t="shared" si="29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>
        <v>2058.96</v>
      </c>
      <c r="E33" s="2"/>
      <c r="F33" s="7">
        <f t="shared" si="22"/>
        <v>7.2441301702949004E-2</v>
      </c>
      <c r="G33" s="2"/>
      <c r="H33" s="6"/>
      <c r="I33" s="2"/>
      <c r="J33" s="7">
        <f t="shared" si="23"/>
        <v>0</v>
      </c>
      <c r="K33" s="2"/>
      <c r="L33" s="6">
        <f t="shared" si="24"/>
        <v>2058.96</v>
      </c>
      <c r="M33" s="2"/>
      <c r="N33" s="7">
        <f t="shared" si="25"/>
        <v>0</v>
      </c>
      <c r="O33" s="11"/>
      <c r="P33" s="6">
        <v>11445.94</v>
      </c>
      <c r="Q33" s="2"/>
      <c r="R33" s="7">
        <f t="shared" si="26"/>
        <v>8.4402391654516767E-2</v>
      </c>
      <c r="S33" s="2"/>
      <c r="T33" s="6"/>
      <c r="U33" s="2"/>
      <c r="V33" s="7">
        <f t="shared" si="27"/>
        <v>0</v>
      </c>
      <c r="W33" s="2"/>
      <c r="X33" s="6">
        <f t="shared" si="28"/>
        <v>11445.94</v>
      </c>
      <c r="Y33" s="2"/>
      <c r="Z33" s="7">
        <f t="shared" si="29"/>
        <v>0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3865.43</v>
      </c>
      <c r="E34" s="2"/>
      <c r="F34" s="7">
        <f t="shared" si="22"/>
        <v>0.13599913589464108</v>
      </c>
      <c r="G34" s="2"/>
      <c r="H34" s="6"/>
      <c r="I34" s="2"/>
      <c r="J34" s="7">
        <f t="shared" si="23"/>
        <v>0</v>
      </c>
      <c r="K34" s="2"/>
      <c r="L34" s="6">
        <f t="shared" si="24"/>
        <v>3865.43</v>
      </c>
      <c r="M34" s="2"/>
      <c r="N34" s="7">
        <f t="shared" si="25"/>
        <v>0</v>
      </c>
      <c r="O34" s="11"/>
      <c r="P34" s="6">
        <v>16317.649999999998</v>
      </c>
      <c r="Q34" s="2"/>
      <c r="R34" s="7">
        <f t="shared" si="26"/>
        <v>0.12032639400357903</v>
      </c>
      <c r="S34" s="2"/>
      <c r="T34" s="6"/>
      <c r="U34" s="2"/>
      <c r="V34" s="7">
        <f t="shared" si="27"/>
        <v>0</v>
      </c>
      <c r="W34" s="2"/>
      <c r="X34" s="6">
        <f t="shared" si="28"/>
        <v>16317.649999999998</v>
      </c>
      <c r="Y34" s="2"/>
      <c r="Z34" s="7">
        <f t="shared" si="29"/>
        <v>0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>
        <v>3807.45</v>
      </c>
      <c r="Q35" s="2"/>
      <c r="R35" s="7">
        <f t="shared" si="26"/>
        <v>2.8076146310830729E-2</v>
      </c>
      <c r="S35" s="2"/>
      <c r="T35" s="6"/>
      <c r="U35" s="2"/>
      <c r="V35" s="7">
        <f t="shared" si="27"/>
        <v>0</v>
      </c>
      <c r="W35" s="2"/>
      <c r="X35" s="6">
        <f t="shared" si="28"/>
        <v>3807.45</v>
      </c>
      <c r="Y35" s="2"/>
      <c r="Z35" s="7">
        <f t="shared" si="29"/>
        <v>0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500</v>
      </c>
      <c r="E36" s="1"/>
      <c r="F36" s="5">
        <f t="shared" ref="F36:F44" si="30">IF(D$12=0,0,D36/D$12)</f>
        <v>1.759172147660688E-2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500</v>
      </c>
      <c r="M36" s="1"/>
      <c r="N36" s="5">
        <f t="shared" ref="N36:N44" si="33">IF(H36=0,0,L36/H36)</f>
        <v>0</v>
      </c>
      <c r="O36" s="13"/>
      <c r="P36" s="1">
        <f>SUM(OSRRefP22_2x_0)</f>
        <v>500</v>
      </c>
      <c r="Q36" s="1"/>
      <c r="R36" s="5">
        <f t="shared" ref="R36:R44" si="34">IF(P$12=0,0,P36/P$12)</f>
        <v>3.6870013146371888E-3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500</v>
      </c>
      <c r="Y36" s="1"/>
      <c r="Z36" s="5">
        <f t="shared" ref="Z36:Z44" si="37">IF(T36=0,0,X36/T36)</f>
        <v>0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>
        <v>500</v>
      </c>
      <c r="E37" s="2"/>
      <c r="F37" s="7">
        <f t="shared" si="30"/>
        <v>1.759172147660688E-2</v>
      </c>
      <c r="G37" s="2"/>
      <c r="H37" s="6"/>
      <c r="I37" s="2"/>
      <c r="J37" s="7">
        <f t="shared" si="31"/>
        <v>0</v>
      </c>
      <c r="K37" s="2"/>
      <c r="L37" s="6">
        <f t="shared" si="32"/>
        <v>500</v>
      </c>
      <c r="M37" s="2"/>
      <c r="N37" s="7">
        <f t="shared" si="33"/>
        <v>0</v>
      </c>
      <c r="O37" s="11"/>
      <c r="P37" s="6">
        <v>500</v>
      </c>
      <c r="Q37" s="2"/>
      <c r="R37" s="7">
        <f t="shared" si="34"/>
        <v>3.6870013146371888E-3</v>
      </c>
      <c r="S37" s="2"/>
      <c r="T37" s="6"/>
      <c r="U37" s="2"/>
      <c r="V37" s="7">
        <f t="shared" si="35"/>
        <v>0</v>
      </c>
      <c r="W37" s="2"/>
      <c r="X37" s="6">
        <f t="shared" si="36"/>
        <v>500</v>
      </c>
      <c r="Y37" s="2"/>
      <c r="Z37" s="7">
        <f t="shared" si="37"/>
        <v>0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61.76</v>
      </c>
      <c r="E38" s="1"/>
      <c r="F38" s="5">
        <f t="shared" si="30"/>
        <v>2.1729294367904819E-3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61.76</v>
      </c>
      <c r="M38" s="1"/>
      <c r="N38" s="5">
        <f t="shared" si="33"/>
        <v>0</v>
      </c>
      <c r="O38" s="13"/>
      <c r="P38" s="1">
        <f>SUM(OSRRefP22_3x_0)</f>
        <v>307.72000000000003</v>
      </c>
      <c r="Q38" s="1"/>
      <c r="R38" s="5">
        <f t="shared" si="34"/>
        <v>2.2691280890803117E-3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307.72000000000003</v>
      </c>
      <c r="Y38" s="1"/>
      <c r="Z38" s="5">
        <f t="shared" si="37"/>
        <v>0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61.76</v>
      </c>
      <c r="E39" s="2"/>
      <c r="F39" s="7">
        <f t="shared" si="30"/>
        <v>2.1729294367904819E-3</v>
      </c>
      <c r="G39" s="2"/>
      <c r="H39" s="6"/>
      <c r="I39" s="2"/>
      <c r="J39" s="7">
        <f t="shared" si="31"/>
        <v>0</v>
      </c>
      <c r="K39" s="2"/>
      <c r="L39" s="6">
        <f t="shared" si="32"/>
        <v>61.76</v>
      </c>
      <c r="M39" s="2"/>
      <c r="N39" s="7">
        <f t="shared" si="33"/>
        <v>0</v>
      </c>
      <c r="O39" s="11"/>
      <c r="P39" s="6">
        <v>307.72000000000003</v>
      </c>
      <c r="Q39" s="2"/>
      <c r="R39" s="7">
        <f t="shared" si="34"/>
        <v>2.2691280890803117E-3</v>
      </c>
      <c r="S39" s="2"/>
      <c r="T39" s="6"/>
      <c r="U39" s="2"/>
      <c r="V39" s="7">
        <f t="shared" si="35"/>
        <v>0</v>
      </c>
      <c r="W39" s="2"/>
      <c r="X39" s="6">
        <f t="shared" si="36"/>
        <v>307.72000000000003</v>
      </c>
      <c r="Y39" s="2"/>
      <c r="Z39" s="7">
        <f t="shared" si="37"/>
        <v>0</v>
      </c>
    </row>
    <row r="40" spans="1:26" s="26" customFormat="1" outlineLevel="1" collapsed="1" x14ac:dyDescent="0.25">
      <c r="A40" s="27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3"/>
      <c r="P40" s="1">
        <f>SUM(OSRRefP22_4x_0)</f>
        <v>1151.21</v>
      </c>
      <c r="Q40" s="1"/>
      <c r="R40" s="5">
        <f t="shared" si="34"/>
        <v>8.4890255668469573E-3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1151.21</v>
      </c>
      <c r="Y40" s="1"/>
      <c r="Z40" s="5">
        <f t="shared" si="37"/>
        <v>0</v>
      </c>
    </row>
    <row r="41" spans="1:26" s="24" customFormat="1" hidden="1" outlineLevel="2" x14ac:dyDescent="0.25">
      <c r="A41" s="25"/>
      <c r="B41" s="11" t="str">
        <f>CONCATENATE("          ", "6375", " - ", "OUTSIDE REPAIRS &amp; MAINTENANCE")</f>
        <v xml:space="preserve">          6375 - OUTSIDE REPAIRS &amp; MAINTENANCE</v>
      </c>
      <c r="C41" s="11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1"/>
      <c r="P41" s="6">
        <v>1151.21</v>
      </c>
      <c r="Q41" s="2"/>
      <c r="R41" s="7">
        <f t="shared" si="34"/>
        <v>8.4890255668469573E-3</v>
      </c>
      <c r="S41" s="2"/>
      <c r="T41" s="6"/>
      <c r="U41" s="2"/>
      <c r="V41" s="7">
        <f t="shared" si="35"/>
        <v>0</v>
      </c>
      <c r="W41" s="2"/>
      <c r="X41" s="6">
        <f t="shared" si="36"/>
        <v>1151.21</v>
      </c>
      <c r="Y41" s="2"/>
      <c r="Z41" s="7">
        <f t="shared" si="37"/>
        <v>0</v>
      </c>
    </row>
    <row r="42" spans="1:26" s="26" customFormat="1" outlineLevel="1" collapsed="1" x14ac:dyDescent="0.25">
      <c r="A42" s="27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30"/>
        <v>0</v>
      </c>
      <c r="G42" s="1"/>
      <c r="H42" s="1">
        <f>SUM(OSRRefH22_5x_0)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3"/>
      <c r="P42" s="1">
        <f>SUM(OSRRefP22_5x_0)</f>
        <v>1137.47</v>
      </c>
      <c r="Q42" s="1"/>
      <c r="R42" s="5">
        <f t="shared" si="34"/>
        <v>8.3877067707207268E-3</v>
      </c>
      <c r="S42" s="1"/>
      <c r="T42" s="1">
        <f>SUM(OSRRefT22_5x_0)</f>
        <v>0</v>
      </c>
      <c r="U42" s="1"/>
      <c r="V42" s="5">
        <f t="shared" si="35"/>
        <v>0</v>
      </c>
      <c r="W42" s="1"/>
      <c r="X42" s="1">
        <f t="shared" si="36"/>
        <v>1137.47</v>
      </c>
      <c r="Y42" s="1"/>
      <c r="Z42" s="5">
        <f t="shared" si="37"/>
        <v>0</v>
      </c>
    </row>
    <row r="43" spans="1:26" s="24" customFormat="1" hidden="1" outlineLevel="2" x14ac:dyDescent="0.25">
      <c r="A43" s="25"/>
      <c r="B43" s="11" t="str">
        <f>CONCATENATE("          ", "6241", " - ", "OFFICE EXPENSE")</f>
        <v xml:space="preserve">          6241 - OFFICE EXPENSE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914.08</v>
      </c>
      <c r="Q43" s="2"/>
      <c r="R43" s="7">
        <f t="shared" si="34"/>
        <v>6.7404283233671236E-3</v>
      </c>
      <c r="S43" s="2"/>
      <c r="T43" s="6"/>
      <c r="U43" s="2"/>
      <c r="V43" s="7">
        <f t="shared" si="35"/>
        <v>0</v>
      </c>
      <c r="W43" s="2"/>
      <c r="X43" s="6">
        <f t="shared" si="36"/>
        <v>914.08</v>
      </c>
      <c r="Y43" s="2"/>
      <c r="Z43" s="7">
        <f t="shared" si="37"/>
        <v>0</v>
      </c>
    </row>
    <row r="44" spans="1:26" s="24" customFormat="1" hidden="1" outlineLevel="2" x14ac:dyDescent="0.25">
      <c r="A44" s="25"/>
      <c r="B44" s="11" t="str">
        <f>CONCATENATE("          ", "6247", " - ", "STORE SUPPLIES")</f>
        <v xml:space="preserve">          6247 - STORE SUPPLIES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223.39</v>
      </c>
      <c r="Q44" s="2"/>
      <c r="R44" s="7">
        <f t="shared" si="34"/>
        <v>1.647278447353603E-3</v>
      </c>
      <c r="S44" s="2"/>
      <c r="T44" s="6"/>
      <c r="U44" s="2"/>
      <c r="V44" s="7">
        <f t="shared" si="35"/>
        <v>0</v>
      </c>
      <c r="W44" s="2"/>
      <c r="X44" s="6">
        <f t="shared" si="36"/>
        <v>223.39</v>
      </c>
      <c r="Y44" s="2"/>
      <c r="Z44" s="7">
        <f t="shared" si="37"/>
        <v>0</v>
      </c>
    </row>
    <row r="45" spans="1:26" s="26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8">IF(D$12=0,0,D45/D$12)</f>
        <v>0</v>
      </c>
      <c r="G45" s="1"/>
      <c r="H45" s="1">
        <f>SUM(OSRRefH22_6x_0)</f>
        <v>0</v>
      </c>
      <c r="I45" s="1"/>
      <c r="J45" s="5">
        <f t="shared" ref="J45:J46" si="39">IF(H$12=0,0,H45/H$12)</f>
        <v>0</v>
      </c>
      <c r="K45" s="1"/>
      <c r="L45" s="1">
        <f t="shared" ref="L45:L46" si="40">+D45-H45</f>
        <v>0</v>
      </c>
      <c r="M45" s="1"/>
      <c r="N45" s="5">
        <f t="shared" ref="N45:N46" si="41">IF(H45=0,0,L45/H45)</f>
        <v>0</v>
      </c>
      <c r="O45" s="13"/>
      <c r="P45" s="1">
        <f>SUM(OSRRefP22_6x_0)</f>
        <v>1269.1500000000001</v>
      </c>
      <c r="Q45" s="1"/>
      <c r="R45" s="5">
        <f t="shared" ref="R45:R46" si="42">IF(P$12=0,0,P45/P$12)</f>
        <v>9.3587154369435769E-3</v>
      </c>
      <c r="S45" s="1"/>
      <c r="T45" s="1">
        <f>SUM(OSRRefT22_6x_0)</f>
        <v>0</v>
      </c>
      <c r="U45" s="1"/>
      <c r="V45" s="5">
        <f t="shared" ref="V45:V46" si="43">IF(T$12=0,0,T45/T$12)</f>
        <v>0</v>
      </c>
      <c r="W45" s="1"/>
      <c r="X45" s="1">
        <f t="shared" ref="X45:X46" si="44">+P45-T45</f>
        <v>1269.1500000000001</v>
      </c>
      <c r="Y45" s="1"/>
      <c r="Z45" s="5">
        <f t="shared" ref="Z45:Z46" si="45">IF(T45=0,0,X45/T45)</f>
        <v>0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38"/>
        <v>0</v>
      </c>
      <c r="G46" s="2"/>
      <c r="H46" s="6"/>
      <c r="I46" s="2"/>
      <c r="J46" s="7">
        <f t="shared" si="39"/>
        <v>0</v>
      </c>
      <c r="K46" s="2"/>
      <c r="L46" s="6">
        <f t="shared" si="40"/>
        <v>0</v>
      </c>
      <c r="M46" s="2"/>
      <c r="N46" s="7">
        <f t="shared" si="41"/>
        <v>0</v>
      </c>
      <c r="O46" s="11"/>
      <c r="P46" s="6">
        <v>1269.1500000000001</v>
      </c>
      <c r="Q46" s="2"/>
      <c r="R46" s="7">
        <f t="shared" si="42"/>
        <v>9.3587154369435769E-3</v>
      </c>
      <c r="S46" s="2"/>
      <c r="T46" s="6"/>
      <c r="U46" s="2"/>
      <c r="V46" s="7">
        <f t="shared" si="43"/>
        <v>0</v>
      </c>
      <c r="W46" s="2"/>
      <c r="X46" s="6">
        <f t="shared" si="44"/>
        <v>1269.1500000000001</v>
      </c>
      <c r="Y46" s="2"/>
      <c r="Z46" s="7">
        <f t="shared" si="45"/>
        <v>0</v>
      </c>
    </row>
    <row r="47" spans="1:26" s="59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+D19-D21+D48</f>
        <v>-12344.780000000002</v>
      </c>
      <c r="E50" s="14"/>
      <c r="F50" s="22">
        <f>IF(D$12=0,0,D50/D$12)</f>
        <v>-0.43433186289997427</v>
      </c>
      <c r="G50" s="14"/>
      <c r="H50" s="21">
        <f>+H19-H21+H48</f>
        <v>0</v>
      </c>
      <c r="I50" s="14"/>
      <c r="J50" s="22">
        <f>IF(H$12=0,0,H50/H$12)</f>
        <v>0</v>
      </c>
      <c r="K50" s="16"/>
      <c r="L50" s="21">
        <f>+D50-H50</f>
        <v>-12344.780000000002</v>
      </c>
      <c r="M50" s="16"/>
      <c r="N50" s="22">
        <f>IF(H50=0,0,L50/H50)</f>
        <v>0</v>
      </c>
      <c r="O50" s="29"/>
      <c r="P50" s="21">
        <f>+P19-P21+P48</f>
        <v>-16232.060000000027</v>
      </c>
      <c r="Q50" s="14"/>
      <c r="R50" s="22">
        <f>IF(P$12=0,0,P50/P$12)</f>
        <v>-0.11969525311853965</v>
      </c>
      <c r="S50" s="14"/>
      <c r="T50" s="21">
        <f>+T19-T21+T48</f>
        <v>0</v>
      </c>
      <c r="U50" s="14"/>
      <c r="V50" s="22">
        <f>IF(T$12=0,0,T50/T$12)</f>
        <v>0</v>
      </c>
      <c r="W50" s="16"/>
      <c r="X50" s="21">
        <f>+P50-T50</f>
        <v>-16232.060000000027</v>
      </c>
      <c r="Y50" s="16"/>
      <c r="Z50" s="22">
        <f>IF(T50=0,0,X50/T50)</f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>
        <v>2565.11</v>
      </c>
      <c r="E52" s="4"/>
      <c r="F52" s="12">
        <f>IF(D$12=0,0,D52/D$12)</f>
        <v>9.0249401353718159E-2</v>
      </c>
      <c r="G52" s="4"/>
      <c r="H52" s="4"/>
      <c r="I52" s="4"/>
      <c r="J52" s="12">
        <f>IF(H$12=0,0,H52/H$12)</f>
        <v>0</v>
      </c>
      <c r="K52" s="4"/>
      <c r="L52" s="4">
        <f>+D52-H52</f>
        <v>2565.11</v>
      </c>
      <c r="M52" s="4"/>
      <c r="N52" s="12">
        <f>IF(H52=0,0,L52/H52)</f>
        <v>0</v>
      </c>
      <c r="O52" s="10"/>
      <c r="P52" s="4">
        <v>14142.36</v>
      </c>
      <c r="Q52" s="4"/>
      <c r="R52" s="12">
        <f>IF(P$12=0,0,P52/P$12)</f>
        <v>0.10428579982414479</v>
      </c>
      <c r="S52" s="4"/>
      <c r="T52" s="4"/>
      <c r="U52" s="4"/>
      <c r="V52" s="12">
        <f>IF(T$12=0,0,T52/T$12)</f>
        <v>0</v>
      </c>
      <c r="W52" s="4"/>
      <c r="X52" s="4">
        <f>+P52-T52</f>
        <v>14142.36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4">
        <f>+D50-D52</f>
        <v>-14909.890000000003</v>
      </c>
      <c r="E54" s="14"/>
      <c r="F54" s="31">
        <f>IF(D$12=0,0,D54/D$12)</f>
        <v>-0.52458126425369245</v>
      </c>
      <c r="G54" s="14"/>
      <c r="H54" s="34">
        <f>+H50-H52</f>
        <v>0</v>
      </c>
      <c r="I54" s="14"/>
      <c r="J54" s="31">
        <f>IF(H$12=0,0,H54/H$12)</f>
        <v>0</v>
      </c>
      <c r="K54" s="16"/>
      <c r="L54" s="34">
        <f>D54-H54</f>
        <v>-14909.890000000003</v>
      </c>
      <c r="M54" s="16"/>
      <c r="N54" s="31">
        <f>IF(H54=0,0,L54/H54)</f>
        <v>0</v>
      </c>
      <c r="O54" s="29"/>
      <c r="P54" s="34">
        <f>+P50-P52</f>
        <v>-30374.420000000027</v>
      </c>
      <c r="Q54" s="14"/>
      <c r="R54" s="31">
        <f>IF(P$12=0,0,P54/P$12)</f>
        <v>-0.22398105294268444</v>
      </c>
      <c r="S54" s="14"/>
      <c r="T54" s="34">
        <f>+T50-T52</f>
        <v>0</v>
      </c>
      <c r="U54" s="14"/>
      <c r="V54" s="31">
        <f>IF(T$12=0,0,T54/T$12)</f>
        <v>0</v>
      </c>
      <c r="W54" s="16"/>
      <c r="X54" s="34">
        <f>P54-T54</f>
        <v>-30374.420000000027</v>
      </c>
      <c r="Y54" s="16"/>
      <c r="Z54" s="31">
        <f>IF(T54=0,0,X54/T54)</f>
        <v>0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0">
        <f>SUM(D54:D56)</f>
        <v>-14909.890000000003</v>
      </c>
      <c r="E57" s="14"/>
      <c r="F57" s="33">
        <f>IF(D$12=0,0,D57/D$12)</f>
        <v>-0.52458126425369245</v>
      </c>
      <c r="G57" s="14"/>
      <c r="H57" s="30">
        <f>SUM(H54:H56)</f>
        <v>0</v>
      </c>
      <c r="I57" s="14"/>
      <c r="J57" s="33">
        <f>IF(H$12=0,0,H57/H$12)</f>
        <v>0</v>
      </c>
      <c r="K57" s="16"/>
      <c r="L57" s="30">
        <f>+D57-H57</f>
        <v>-14909.890000000003</v>
      </c>
      <c r="M57" s="16"/>
      <c r="N57" s="33">
        <f>IF(H57=0,0,L57/H57)</f>
        <v>0</v>
      </c>
      <c r="O57" s="29"/>
      <c r="P57" s="30">
        <f>SUM(P54:P56)</f>
        <v>-30374.420000000027</v>
      </c>
      <c r="Q57" s="14"/>
      <c r="R57" s="33">
        <f>IF(P$12=0,0,P57/P$12)</f>
        <v>-0.22398105294268444</v>
      </c>
      <c r="S57" s="14"/>
      <c r="T57" s="30">
        <f>SUM(T54:T56)</f>
        <v>0</v>
      </c>
      <c r="U57" s="14"/>
      <c r="V57" s="33">
        <f>IF(T$12=0,0,T57/T$12)</f>
        <v>0</v>
      </c>
      <c r="W57" s="16"/>
      <c r="X57" s="30">
        <f>+P57-T57</f>
        <v>-30374.420000000027</v>
      </c>
      <c r="Y57" s="16"/>
      <c r="Z57" s="33">
        <f>IF(T57=0,0,X57/T57)</f>
        <v>0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61">
        <v>43879.554277430558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5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8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","413", " - ", "Beach Walk")</f>
        <v>Department 413 - Beach Walk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19889.46</v>
      </c>
      <c r="E12" s="4"/>
      <c r="F12" s="12"/>
      <c r="G12" s="4"/>
      <c r="H12" s="4">
        <f>SUM(OSRRefH13x_0)</f>
        <v>20643.150000000001</v>
      </c>
      <c r="I12" s="4"/>
      <c r="J12" s="12"/>
      <c r="K12" s="4"/>
      <c r="L12" s="4">
        <f t="shared" ref="L12:L14" si="0">+D12-H12</f>
        <v>-753.69000000000233</v>
      </c>
      <c r="M12" s="4"/>
      <c r="N12" s="12">
        <f t="shared" ref="N12:N14" si="1">IF(H12=0,0,L12/H12)</f>
        <v>-3.6510416288211937E-2</v>
      </c>
      <c r="O12" s="10"/>
      <c r="P12" s="4">
        <f>SUM(OSRRefP13x_0)</f>
        <v>200538.07</v>
      </c>
      <c r="Q12" s="4"/>
      <c r="R12" s="12"/>
      <c r="S12" s="4"/>
      <c r="T12" s="4">
        <f>SUM(OSRRefT13x_0)</f>
        <v>212710.69</v>
      </c>
      <c r="U12" s="4"/>
      <c r="V12" s="12"/>
      <c r="W12" s="4"/>
      <c r="X12" s="4">
        <f t="shared" ref="X12:X14" si="2">+P12-T12</f>
        <v>-12172.619999999995</v>
      </c>
      <c r="Y12" s="4"/>
      <c r="Z12" s="12">
        <f t="shared" ref="Z12:Z14" si="3">IF(T12=0,0,X12/T12)</f>
        <v>-5.7226178900552649E-2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--3607.42</f>
        <v>3607.42</v>
      </c>
      <c r="E13" s="2"/>
      <c r="F13" s="19"/>
      <c r="G13" s="2"/>
      <c r="H13" s="2">
        <f>--5000.7</f>
        <v>5000.7</v>
      </c>
      <c r="I13" s="2"/>
      <c r="J13" s="19"/>
      <c r="K13" s="2"/>
      <c r="L13" s="2">
        <f t="shared" si="0"/>
        <v>-1393.2799999999997</v>
      </c>
      <c r="M13" s="2"/>
      <c r="N13" s="19">
        <f t="shared" si="1"/>
        <v>-0.27861699362089304</v>
      </c>
      <c r="O13" s="11"/>
      <c r="P13" s="2">
        <f>--46312.62</f>
        <v>46312.62</v>
      </c>
      <c r="Q13" s="2"/>
      <c r="R13" s="19"/>
      <c r="S13" s="2"/>
      <c r="T13" s="2">
        <f>--59883.59</f>
        <v>59883.59</v>
      </c>
      <c r="U13" s="2"/>
      <c r="V13" s="19"/>
      <c r="W13" s="2"/>
      <c r="X13" s="2">
        <f t="shared" si="2"/>
        <v>-13570.969999999994</v>
      </c>
      <c r="Y13" s="2"/>
      <c r="Z13" s="19">
        <f t="shared" si="3"/>
        <v>-0.22662251879020603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--16282.04</f>
        <v>16282.04</v>
      </c>
      <c r="E14" s="2"/>
      <c r="F14" s="19"/>
      <c r="G14" s="2"/>
      <c r="H14" s="2">
        <f>--15642.45</f>
        <v>15642.45</v>
      </c>
      <c r="I14" s="2"/>
      <c r="J14" s="19"/>
      <c r="K14" s="2"/>
      <c r="L14" s="2">
        <f t="shared" si="0"/>
        <v>639.59000000000015</v>
      </c>
      <c r="M14" s="2"/>
      <c r="N14" s="19">
        <f t="shared" si="1"/>
        <v>4.0888096174192666E-2</v>
      </c>
      <c r="O14" s="11"/>
      <c r="P14" s="2">
        <f>--154225.45</f>
        <v>154225.45000000001</v>
      </c>
      <c r="Q14" s="2"/>
      <c r="R14" s="19"/>
      <c r="S14" s="2"/>
      <c r="T14" s="2">
        <f>--152827.1</f>
        <v>152827.1</v>
      </c>
      <c r="U14" s="2"/>
      <c r="V14" s="19"/>
      <c r="W14" s="2"/>
      <c r="X14" s="2">
        <f t="shared" si="2"/>
        <v>1398.3500000000058</v>
      </c>
      <c r="Y14" s="2"/>
      <c r="Z14" s="19">
        <f t="shared" si="3"/>
        <v>9.1498824488589117E-3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7666.01</v>
      </c>
      <c r="E16" s="4"/>
      <c r="F16" s="12">
        <f t="shared" ref="F16:F18" si="4">IF(D$12=0,0,D16/D$12)</f>
        <v>0.38543077589839042</v>
      </c>
      <c r="G16" s="4"/>
      <c r="H16" s="4">
        <f>SUM(OSRRefH16x_0)</f>
        <v>6271.7000000000007</v>
      </c>
      <c r="I16" s="4"/>
      <c r="J16" s="12">
        <f t="shared" ref="J16:J18" si="5">IF(H$12=0,0,H16/H$12)</f>
        <v>0.30381506698347882</v>
      </c>
      <c r="K16" s="4"/>
      <c r="L16" s="4">
        <f t="shared" ref="L16:L18" si="6">+D16-H16</f>
        <v>1394.3099999999995</v>
      </c>
      <c r="M16" s="4"/>
      <c r="N16" s="12">
        <f t="shared" ref="N16:N18" si="7">IF(H16=0,0,L16/H16)</f>
        <v>0.22231771290080829</v>
      </c>
      <c r="O16" s="10"/>
      <c r="P16" s="4">
        <f>SUM(OSRRefP16x_0)</f>
        <v>64035.1</v>
      </c>
      <c r="Q16" s="4"/>
      <c r="R16" s="12">
        <f t="shared" ref="R16:R18" si="8">IF(P$12=0,0,P16/P$12)</f>
        <v>0.31931642705048469</v>
      </c>
      <c r="S16" s="4"/>
      <c r="T16" s="4">
        <f>SUM(OSRRefT16x_0)</f>
        <v>64371.630000000005</v>
      </c>
      <c r="U16" s="4"/>
      <c r="V16" s="12">
        <f t="shared" ref="V16:V18" si="9">IF(T$12=0,0,T16/T$12)</f>
        <v>0.3026252700322678</v>
      </c>
      <c r="W16" s="4"/>
      <c r="X16" s="4">
        <f t="shared" ref="X16:X18" si="10">+P16-T16</f>
        <v>-336.53000000000611</v>
      </c>
      <c r="Y16" s="4"/>
      <c r="Z16" s="12">
        <f t="shared" ref="Z16:Z18" si="11">IF(T16=0,0,X16/T16)</f>
        <v>-5.2279241647291844E-3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12108.1</v>
      </c>
      <c r="E17" s="2"/>
      <c r="F17" s="19">
        <f t="shared" si="4"/>
        <v>0.60876966996590154</v>
      </c>
      <c r="G17" s="2"/>
      <c r="H17" s="2">
        <v>10363.67</v>
      </c>
      <c r="I17" s="2"/>
      <c r="J17" s="19">
        <f t="shared" si="5"/>
        <v>0.50203917522277364</v>
      </c>
      <c r="K17" s="2"/>
      <c r="L17" s="2">
        <f t="shared" si="6"/>
        <v>1744.4300000000003</v>
      </c>
      <c r="M17" s="2"/>
      <c r="N17" s="19">
        <f t="shared" si="7"/>
        <v>0.16832164667535732</v>
      </c>
      <c r="O17" s="11"/>
      <c r="P17" s="2">
        <v>70431.14</v>
      </c>
      <c r="Q17" s="2"/>
      <c r="R17" s="19">
        <f t="shared" si="8"/>
        <v>0.35121081997049236</v>
      </c>
      <c r="S17" s="2"/>
      <c r="T17" s="2">
        <v>74390.320000000007</v>
      </c>
      <c r="U17" s="2"/>
      <c r="V17" s="19">
        <f t="shared" si="9"/>
        <v>0.34972534760711843</v>
      </c>
      <c r="W17" s="2"/>
      <c r="X17" s="2">
        <f t="shared" si="10"/>
        <v>-3959.1800000000076</v>
      </c>
      <c r="Y17" s="2"/>
      <c r="Z17" s="19">
        <f t="shared" si="11"/>
        <v>-5.3221709491234975E-2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-4442.09</v>
      </c>
      <c r="E18" s="2"/>
      <c r="F18" s="19">
        <f t="shared" si="4"/>
        <v>-0.22333889406751115</v>
      </c>
      <c r="G18" s="2"/>
      <c r="H18" s="2">
        <v>-4091.97</v>
      </c>
      <c r="I18" s="2"/>
      <c r="J18" s="19">
        <f t="shared" si="5"/>
        <v>-0.19822410823929484</v>
      </c>
      <c r="K18" s="2"/>
      <c r="L18" s="2">
        <f t="shared" si="6"/>
        <v>-350.12000000000035</v>
      </c>
      <c r="M18" s="2"/>
      <c r="N18" s="19">
        <f t="shared" si="7"/>
        <v>8.5562699628785252E-2</v>
      </c>
      <c r="O18" s="11"/>
      <c r="P18" s="2">
        <v>-6396.04</v>
      </c>
      <c r="Q18" s="2"/>
      <c r="R18" s="19">
        <f t="shared" si="8"/>
        <v>-3.1894392920007654E-2</v>
      </c>
      <c r="S18" s="2"/>
      <c r="T18" s="2">
        <v>-10018.69</v>
      </c>
      <c r="U18" s="2"/>
      <c r="V18" s="19">
        <f t="shared" si="9"/>
        <v>-4.7100077574850616E-2</v>
      </c>
      <c r="W18" s="2"/>
      <c r="X18" s="2">
        <f t="shared" si="10"/>
        <v>3622.6500000000005</v>
      </c>
      <c r="Y18" s="2"/>
      <c r="Z18" s="19">
        <f t="shared" si="11"/>
        <v>-0.36158918980425586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12223.449999999999</v>
      </c>
      <c r="E20" s="14"/>
      <c r="F20" s="22">
        <f>IF(D$12=0,0,D20/D$12)</f>
        <v>0.61456922410160952</v>
      </c>
      <c r="G20" s="14"/>
      <c r="H20" s="21">
        <f>H12-H16</f>
        <v>14371.45</v>
      </c>
      <c r="I20" s="14"/>
      <c r="J20" s="22">
        <f>IF(H$12=0,0,H20/H$12)</f>
        <v>0.69618493301652118</v>
      </c>
      <c r="K20" s="16"/>
      <c r="L20" s="21">
        <f>+D20-H20</f>
        <v>-2148.0000000000018</v>
      </c>
      <c r="M20" s="16"/>
      <c r="N20" s="22">
        <f>IF(H20=0,0,L20/H20)</f>
        <v>-0.14946299781859185</v>
      </c>
      <c r="O20" s="29"/>
      <c r="P20" s="21">
        <f>P12-P16</f>
        <v>136502.97</v>
      </c>
      <c r="Q20" s="14"/>
      <c r="R20" s="22">
        <f>IF(P$12=0,0,P20/P$12)</f>
        <v>0.6806835729495152</v>
      </c>
      <c r="S20" s="14"/>
      <c r="T20" s="21">
        <f>T12-T16</f>
        <v>148339.06</v>
      </c>
      <c r="U20" s="14"/>
      <c r="V20" s="22">
        <f>IF(T$12=0,0,T20/T$12)</f>
        <v>0.6973747299677322</v>
      </c>
      <c r="W20" s="16"/>
      <c r="X20" s="21">
        <f>+P20-T20</f>
        <v>-11836.089999999997</v>
      </c>
      <c r="Y20" s="16"/>
      <c r="Z20" s="22">
        <f>IF(T20=0,0,X20/T20)</f>
        <v>-7.9790784706334231E-2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16325.31</v>
      </c>
      <c r="E22" s="20"/>
      <c r="F22" s="32">
        <f t="shared" ref="F22:F31" si="12">IF(D$12=0,0,D22/D$12)</f>
        <v>0.8208020730577904</v>
      </c>
      <c r="G22" s="20"/>
      <c r="H22" s="20">
        <f>SUM(OSRRefH22x_0)</f>
        <v>17921.550000000003</v>
      </c>
      <c r="I22" s="20"/>
      <c r="J22" s="32">
        <f t="shared" ref="J22:J31" si="13">IF(H$12=0,0,H22/H$12)</f>
        <v>0.86815965586647392</v>
      </c>
      <c r="K22" s="4"/>
      <c r="L22" s="20">
        <f t="shared" ref="L22:L31" si="14">+D22-H22</f>
        <v>-1596.2400000000034</v>
      </c>
      <c r="M22" s="4"/>
      <c r="N22" s="32">
        <f t="shared" ref="N22:N31" si="15">IF(H22=0,0,L22/H22)</f>
        <v>-8.9068188856432792E-2</v>
      </c>
      <c r="O22" s="10"/>
      <c r="P22" s="20">
        <f>SUM(OSRRefP22x_0)</f>
        <v>138233.01000000004</v>
      </c>
      <c r="Q22" s="20"/>
      <c r="R22" s="32">
        <f t="shared" ref="R22:R31" si="16">IF(P$12=0,0,P22/P$12)</f>
        <v>0.68931056332595619</v>
      </c>
      <c r="S22" s="20"/>
      <c r="T22" s="20">
        <f>SUM(OSRRefT22x_0)</f>
        <v>130545.41999999998</v>
      </c>
      <c r="U22" s="20"/>
      <c r="V22" s="32">
        <f t="shared" ref="V22:V31" si="17">IF(T$12=0,0,T22/T$12)</f>
        <v>0.6137228928174695</v>
      </c>
      <c r="W22" s="4"/>
      <c r="X22" s="20">
        <f t="shared" ref="X22:X31" si="18">+P22-T22</f>
        <v>7687.5900000000547</v>
      </c>
      <c r="Y22" s="4"/>
      <c r="Z22" s="32">
        <f t="shared" ref="Z22:Z31" si="19">IF(T22=0,0,X22/T22)</f>
        <v>5.888823981722266E-2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3201.39</v>
      </c>
      <c r="E23" s="1"/>
      <c r="F23" s="5">
        <f t="shared" si="12"/>
        <v>0.16095912106211027</v>
      </c>
      <c r="G23" s="1"/>
      <c r="H23" s="1">
        <f>SUM(OSRRefH22_0x_0)</f>
        <v>3171</v>
      </c>
      <c r="I23" s="1"/>
      <c r="J23" s="5">
        <f t="shared" si="13"/>
        <v>0.15361027750125344</v>
      </c>
      <c r="K23" s="1"/>
      <c r="L23" s="1">
        <f t="shared" si="14"/>
        <v>30.389999999999873</v>
      </c>
      <c r="M23" s="1"/>
      <c r="N23" s="5">
        <f t="shared" si="15"/>
        <v>9.5837275307473577E-3</v>
      </c>
      <c r="O23" s="13"/>
      <c r="P23" s="1">
        <f>SUM(OSRRefP22_0x_0)</f>
        <v>24136.29</v>
      </c>
      <c r="Q23" s="1"/>
      <c r="R23" s="5">
        <f t="shared" si="16"/>
        <v>0.12035764580760151</v>
      </c>
      <c r="S23" s="1"/>
      <c r="T23" s="1">
        <f>SUM(OSRRefT22_0x_0)</f>
        <v>24399.809999999998</v>
      </c>
      <c r="U23" s="1"/>
      <c r="V23" s="5">
        <f t="shared" si="17"/>
        <v>0.11470890344063102</v>
      </c>
      <c r="W23" s="1"/>
      <c r="X23" s="1">
        <f t="shared" si="18"/>
        <v>-263.5199999999968</v>
      </c>
      <c r="Y23" s="1"/>
      <c r="Z23" s="5">
        <f t="shared" si="19"/>
        <v>-1.0800084099015395E-2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448.99</v>
      </c>
      <c r="E24" s="2"/>
      <c r="F24" s="7">
        <f t="shared" si="12"/>
        <v>2.2574267979120603E-2</v>
      </c>
      <c r="G24" s="2"/>
      <c r="H24" s="6">
        <v>492.43</v>
      </c>
      <c r="I24" s="2"/>
      <c r="J24" s="7">
        <f t="shared" si="13"/>
        <v>2.3854402065576232E-2</v>
      </c>
      <c r="K24" s="2"/>
      <c r="L24" s="6">
        <f t="shared" si="14"/>
        <v>-43.44</v>
      </c>
      <c r="M24" s="2"/>
      <c r="N24" s="7">
        <f t="shared" si="15"/>
        <v>-8.8215583940864692E-2</v>
      </c>
      <c r="O24" s="11"/>
      <c r="P24" s="6">
        <v>4800.33</v>
      </c>
      <c r="Q24" s="2"/>
      <c r="R24" s="7">
        <f t="shared" si="16"/>
        <v>2.3937250418337025E-2</v>
      </c>
      <c r="S24" s="2"/>
      <c r="T24" s="6">
        <v>4459.7</v>
      </c>
      <c r="U24" s="2"/>
      <c r="V24" s="7">
        <f t="shared" si="17"/>
        <v>2.0966036074632637E-2</v>
      </c>
      <c r="W24" s="2"/>
      <c r="X24" s="6">
        <f t="shared" si="18"/>
        <v>340.63000000000011</v>
      </c>
      <c r="Y24" s="2"/>
      <c r="Z24" s="7">
        <f t="shared" si="19"/>
        <v>7.6379577101598789E-2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273.88</v>
      </c>
      <c r="E25" s="2"/>
      <c r="F25" s="7">
        <f t="shared" si="12"/>
        <v>1.3770107383508652E-2</v>
      </c>
      <c r="G25" s="2"/>
      <c r="H25" s="6">
        <v>295.27999999999997</v>
      </c>
      <c r="I25" s="2"/>
      <c r="J25" s="7">
        <f t="shared" si="13"/>
        <v>1.4304018524304671E-2</v>
      </c>
      <c r="K25" s="2"/>
      <c r="L25" s="6">
        <f t="shared" si="14"/>
        <v>-21.399999999999977</v>
      </c>
      <c r="M25" s="2"/>
      <c r="N25" s="7">
        <f t="shared" si="15"/>
        <v>-7.2473584394472976E-2</v>
      </c>
      <c r="O25" s="11"/>
      <c r="P25" s="6">
        <v>2618</v>
      </c>
      <c r="Q25" s="2"/>
      <c r="R25" s="7">
        <f t="shared" si="16"/>
        <v>1.3054877809485251E-2</v>
      </c>
      <c r="S25" s="2"/>
      <c r="T25" s="6">
        <v>2972.08</v>
      </c>
      <c r="U25" s="2"/>
      <c r="V25" s="7">
        <f t="shared" si="17"/>
        <v>1.397240543011731E-2</v>
      </c>
      <c r="W25" s="2"/>
      <c r="X25" s="6">
        <f t="shared" si="18"/>
        <v>-354.07999999999993</v>
      </c>
      <c r="Y25" s="2"/>
      <c r="Z25" s="7">
        <f t="shared" si="19"/>
        <v>-0.11913542031170088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1371.71</v>
      </c>
      <c r="E26" s="2"/>
      <c r="F26" s="7">
        <f t="shared" si="12"/>
        <v>6.8966678833915052E-2</v>
      </c>
      <c r="G26" s="2"/>
      <c r="H26" s="6">
        <v>1286.5999999999999</v>
      </c>
      <c r="I26" s="2"/>
      <c r="J26" s="7">
        <f t="shared" si="13"/>
        <v>6.2325759392340793E-2</v>
      </c>
      <c r="K26" s="2"/>
      <c r="L26" s="6">
        <f t="shared" si="14"/>
        <v>85.110000000000127</v>
      </c>
      <c r="M26" s="2"/>
      <c r="N26" s="7">
        <f t="shared" si="15"/>
        <v>6.6151095911705371E-2</v>
      </c>
      <c r="O26" s="11"/>
      <c r="P26" s="6">
        <v>9099.0300000000007</v>
      </c>
      <c r="Q26" s="2"/>
      <c r="R26" s="7">
        <f t="shared" si="16"/>
        <v>4.5373080532788615E-2</v>
      </c>
      <c r="S26" s="2"/>
      <c r="T26" s="6">
        <v>8889.11</v>
      </c>
      <c r="U26" s="2"/>
      <c r="V26" s="7">
        <f t="shared" si="17"/>
        <v>4.1789672159871234E-2</v>
      </c>
      <c r="W26" s="2"/>
      <c r="X26" s="6">
        <f t="shared" si="18"/>
        <v>209.92000000000007</v>
      </c>
      <c r="Y26" s="2"/>
      <c r="Z26" s="7">
        <f t="shared" si="19"/>
        <v>2.3615412566612412E-2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18.350000000000001</v>
      </c>
      <c r="E27" s="2"/>
      <c r="F27" s="7">
        <f t="shared" si="12"/>
        <v>9.2259920581051486E-4</v>
      </c>
      <c r="G27" s="2"/>
      <c r="H27" s="6">
        <v>21.94</v>
      </c>
      <c r="I27" s="2"/>
      <c r="J27" s="7">
        <f t="shared" si="13"/>
        <v>1.0628222921404921E-3</v>
      </c>
      <c r="K27" s="2"/>
      <c r="L27" s="6">
        <f t="shared" si="14"/>
        <v>-3.59</v>
      </c>
      <c r="M27" s="2"/>
      <c r="N27" s="7">
        <f t="shared" si="15"/>
        <v>-0.16362807657247036</v>
      </c>
      <c r="O27" s="11"/>
      <c r="P27" s="6">
        <v>225.26</v>
      </c>
      <c r="Q27" s="2"/>
      <c r="R27" s="7">
        <f t="shared" si="16"/>
        <v>1.1232779890621267E-3</v>
      </c>
      <c r="S27" s="2"/>
      <c r="T27" s="6">
        <v>221.73</v>
      </c>
      <c r="U27" s="2"/>
      <c r="V27" s="7">
        <f t="shared" si="17"/>
        <v>1.0424017711568704E-3</v>
      </c>
      <c r="W27" s="2"/>
      <c r="X27" s="6">
        <f t="shared" si="18"/>
        <v>3.5300000000000011</v>
      </c>
      <c r="Y27" s="2"/>
      <c r="Z27" s="7">
        <f t="shared" si="19"/>
        <v>1.5920263383394223E-2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489.78</v>
      </c>
      <c r="E28" s="2"/>
      <c r="F28" s="7">
        <f t="shared" si="12"/>
        <v>2.4625102943971328E-2</v>
      </c>
      <c r="G28" s="2"/>
      <c r="H28" s="6">
        <v>465.78</v>
      </c>
      <c r="I28" s="2"/>
      <c r="J28" s="7">
        <f t="shared" si="13"/>
        <v>2.2563416920382787E-2</v>
      </c>
      <c r="K28" s="2"/>
      <c r="L28" s="6">
        <f t="shared" si="14"/>
        <v>24</v>
      </c>
      <c r="M28" s="2"/>
      <c r="N28" s="7">
        <f t="shared" si="15"/>
        <v>5.1526471724848644E-2</v>
      </c>
      <c r="O28" s="11"/>
      <c r="P28" s="6">
        <v>2448.9</v>
      </c>
      <c r="Q28" s="2"/>
      <c r="R28" s="7">
        <f t="shared" si="16"/>
        <v>1.2211646397115521E-2</v>
      </c>
      <c r="S28" s="2"/>
      <c r="T28" s="6">
        <v>2388.0100000000002</v>
      </c>
      <c r="U28" s="2"/>
      <c r="V28" s="7">
        <f t="shared" si="17"/>
        <v>1.1226563178371524E-2</v>
      </c>
      <c r="W28" s="2"/>
      <c r="X28" s="6">
        <f t="shared" si="18"/>
        <v>60.889999999999873</v>
      </c>
      <c r="Y28" s="2"/>
      <c r="Z28" s="7">
        <f t="shared" si="19"/>
        <v>2.5498218181665849E-2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269.38</v>
      </c>
      <c r="E29" s="2"/>
      <c r="F29" s="7">
        <f t="shared" si="12"/>
        <v>1.3543856897070107E-2</v>
      </c>
      <c r="G29" s="2"/>
      <c r="H29" s="6">
        <v>261.52</v>
      </c>
      <c r="I29" s="2"/>
      <c r="J29" s="7">
        <f t="shared" si="13"/>
        <v>1.2668609199661871E-2</v>
      </c>
      <c r="K29" s="2"/>
      <c r="L29" s="6">
        <f t="shared" si="14"/>
        <v>7.8600000000000136</v>
      </c>
      <c r="M29" s="2"/>
      <c r="N29" s="7">
        <f t="shared" si="15"/>
        <v>3.0055062710309017E-2</v>
      </c>
      <c r="O29" s="11"/>
      <c r="P29" s="6">
        <v>2104.44</v>
      </c>
      <c r="Q29" s="2"/>
      <c r="R29" s="7">
        <f t="shared" si="16"/>
        <v>1.0493967554390046E-2</v>
      </c>
      <c r="S29" s="2"/>
      <c r="T29" s="6">
        <v>2110.52</v>
      </c>
      <c r="U29" s="2"/>
      <c r="V29" s="7">
        <f t="shared" si="17"/>
        <v>9.9220213144905877E-3</v>
      </c>
      <c r="W29" s="2"/>
      <c r="X29" s="6">
        <f t="shared" si="18"/>
        <v>-6.0799999999999272</v>
      </c>
      <c r="Y29" s="2"/>
      <c r="Z29" s="7">
        <f t="shared" si="19"/>
        <v>-2.880806625855205E-3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215.62</v>
      </c>
      <c r="E30" s="2"/>
      <c r="F30" s="7">
        <f t="shared" si="12"/>
        <v>1.0840917752417613E-2</v>
      </c>
      <c r="G30" s="2"/>
      <c r="H30" s="6">
        <v>209.34</v>
      </c>
      <c r="I30" s="2"/>
      <c r="J30" s="7">
        <f t="shared" si="13"/>
        <v>1.0140894194926645E-2</v>
      </c>
      <c r="K30" s="2"/>
      <c r="L30" s="6">
        <f t="shared" si="14"/>
        <v>6.2800000000000011</v>
      </c>
      <c r="M30" s="2"/>
      <c r="N30" s="7">
        <f t="shared" si="15"/>
        <v>2.9999044616413496E-2</v>
      </c>
      <c r="O30" s="11"/>
      <c r="P30" s="6">
        <v>1951.04</v>
      </c>
      <c r="Q30" s="2"/>
      <c r="R30" s="7">
        <f t="shared" si="16"/>
        <v>9.7290255162024841E-3</v>
      </c>
      <c r="S30" s="2"/>
      <c r="T30" s="6">
        <v>2425.5</v>
      </c>
      <c r="U30" s="2"/>
      <c r="V30" s="7">
        <f t="shared" si="17"/>
        <v>1.1402811960226352E-2</v>
      </c>
      <c r="W30" s="2"/>
      <c r="X30" s="6">
        <f t="shared" si="18"/>
        <v>-474.46000000000004</v>
      </c>
      <c r="Y30" s="2"/>
      <c r="Z30" s="7">
        <f t="shared" si="19"/>
        <v>-0.19561327561327563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113.68</v>
      </c>
      <c r="E31" s="2"/>
      <c r="F31" s="7">
        <f t="shared" si="12"/>
        <v>5.715590066296421E-3</v>
      </c>
      <c r="G31" s="2"/>
      <c r="H31" s="6">
        <v>138.11000000000001</v>
      </c>
      <c r="I31" s="2"/>
      <c r="J31" s="7">
        <f t="shared" si="13"/>
        <v>6.6903549119199353E-3</v>
      </c>
      <c r="K31" s="2"/>
      <c r="L31" s="6">
        <f t="shared" si="14"/>
        <v>-24.430000000000007</v>
      </c>
      <c r="M31" s="2"/>
      <c r="N31" s="7">
        <f t="shared" si="15"/>
        <v>-0.17688798783578311</v>
      </c>
      <c r="O31" s="11"/>
      <c r="P31" s="6">
        <v>889.29</v>
      </c>
      <c r="Q31" s="2"/>
      <c r="R31" s="7">
        <f t="shared" si="16"/>
        <v>4.4345195902204503E-3</v>
      </c>
      <c r="S31" s="2"/>
      <c r="T31" s="6">
        <v>933.16</v>
      </c>
      <c r="U31" s="2"/>
      <c r="V31" s="7">
        <f t="shared" si="17"/>
        <v>4.3869915517645115E-3</v>
      </c>
      <c r="W31" s="2"/>
      <c r="X31" s="6">
        <f t="shared" si="18"/>
        <v>-43.870000000000005</v>
      </c>
      <c r="Y31" s="2"/>
      <c r="Z31" s="7">
        <f t="shared" si="19"/>
        <v>-4.7012302284710025E-2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10063.18</v>
      </c>
      <c r="E32" s="1"/>
      <c r="F32" s="5">
        <f t="shared" ref="F32:F37" si="20">IF(D$12=0,0,D32/D$12)</f>
        <v>0.50595541558192136</v>
      </c>
      <c r="G32" s="1"/>
      <c r="H32" s="1">
        <f>SUM(OSRRefH22_1x_0)</f>
        <v>11809.21</v>
      </c>
      <c r="I32" s="1"/>
      <c r="J32" s="5">
        <f t="shared" ref="J32:J37" si="21">IF(H$12=0,0,H32/H$12)</f>
        <v>0.57206434095571645</v>
      </c>
      <c r="K32" s="1"/>
      <c r="L32" s="1">
        <f t="shared" ref="L32:L37" si="22">+D32-H32</f>
        <v>-1746.0299999999988</v>
      </c>
      <c r="M32" s="1"/>
      <c r="N32" s="5">
        <f t="shared" ref="N32:N37" si="23">IF(H32=0,0,L32/H32)</f>
        <v>-0.14785324335836172</v>
      </c>
      <c r="O32" s="13"/>
      <c r="P32" s="1">
        <f>SUM(OSRRefP22_1x_0)</f>
        <v>85098.6</v>
      </c>
      <c r="Q32" s="1"/>
      <c r="R32" s="5">
        <f t="shared" ref="R32:R37" si="24">IF(P$12=0,0,P32/P$12)</f>
        <v>0.42435134635533295</v>
      </c>
      <c r="S32" s="1"/>
      <c r="T32" s="1">
        <f>SUM(OSRRefT22_1x_0)</f>
        <v>83148.950000000012</v>
      </c>
      <c r="U32" s="1"/>
      <c r="V32" s="5">
        <f t="shared" ref="V32:V37" si="25">IF(T$12=0,0,T32/T$12)</f>
        <v>0.39090160442806149</v>
      </c>
      <c r="W32" s="1"/>
      <c r="X32" s="1">
        <f t="shared" ref="X32:X37" si="26">+P32-T32</f>
        <v>1949.6499999999942</v>
      </c>
      <c r="Y32" s="1"/>
      <c r="Z32" s="5">
        <f t="shared" ref="Z32:Z37" si="27">IF(T32=0,0,X32/T32)</f>
        <v>2.3447680337514713E-2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5142.43</v>
      </c>
      <c r="E33" s="2"/>
      <c r="F33" s="7">
        <f t="shared" si="20"/>
        <v>0.25855050866137141</v>
      </c>
      <c r="G33" s="2"/>
      <c r="H33" s="6">
        <v>5673.46</v>
      </c>
      <c r="I33" s="2"/>
      <c r="J33" s="7">
        <f t="shared" si="21"/>
        <v>0.27483499369040093</v>
      </c>
      <c r="K33" s="2"/>
      <c r="L33" s="6">
        <f t="shared" si="22"/>
        <v>-531.02999999999975</v>
      </c>
      <c r="M33" s="2"/>
      <c r="N33" s="7">
        <f t="shared" si="23"/>
        <v>-9.3598967825630167E-2</v>
      </c>
      <c r="O33" s="11"/>
      <c r="P33" s="6">
        <v>34125.08</v>
      </c>
      <c r="Q33" s="2"/>
      <c r="R33" s="7">
        <f t="shared" si="24"/>
        <v>0.17016758962525172</v>
      </c>
      <c r="S33" s="2"/>
      <c r="T33" s="6">
        <v>31652.31</v>
      </c>
      <c r="U33" s="2"/>
      <c r="V33" s="7">
        <f t="shared" si="25"/>
        <v>0.14880451001310749</v>
      </c>
      <c r="W33" s="2"/>
      <c r="X33" s="6">
        <f t="shared" si="26"/>
        <v>2472.7700000000004</v>
      </c>
      <c r="Y33" s="2"/>
      <c r="Z33" s="7">
        <f t="shared" si="27"/>
        <v>7.8122892136466518E-2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1192.5</v>
      </c>
      <c r="E34" s="2"/>
      <c r="F34" s="7">
        <f t="shared" si="20"/>
        <v>5.995637890621465E-2</v>
      </c>
      <c r="G34" s="2"/>
      <c r="H34" s="6">
        <v>1793.56</v>
      </c>
      <c r="I34" s="2"/>
      <c r="J34" s="7">
        <f t="shared" si="21"/>
        <v>8.6884026904808606E-2</v>
      </c>
      <c r="K34" s="2"/>
      <c r="L34" s="6">
        <f t="shared" si="22"/>
        <v>-601.05999999999995</v>
      </c>
      <c r="M34" s="2"/>
      <c r="N34" s="7">
        <f t="shared" si="23"/>
        <v>-0.33512121144539347</v>
      </c>
      <c r="O34" s="11"/>
      <c r="P34" s="6">
        <v>21581.96</v>
      </c>
      <c r="Q34" s="2"/>
      <c r="R34" s="7">
        <f t="shared" si="24"/>
        <v>0.10762026382322318</v>
      </c>
      <c r="S34" s="2"/>
      <c r="T34" s="6">
        <v>15196.430000000002</v>
      </c>
      <c r="U34" s="2"/>
      <c r="V34" s="7">
        <f t="shared" si="25"/>
        <v>7.1441778502058365E-2</v>
      </c>
      <c r="W34" s="2"/>
      <c r="X34" s="6">
        <f t="shared" si="26"/>
        <v>6385.529999999997</v>
      </c>
      <c r="Y34" s="2"/>
      <c r="Z34" s="7">
        <f t="shared" si="27"/>
        <v>0.42019934945246984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105.19</v>
      </c>
      <c r="I35" s="2"/>
      <c r="J35" s="7">
        <f t="shared" si="21"/>
        <v>5.0956370515158776E-3</v>
      </c>
      <c r="K35" s="2"/>
      <c r="L35" s="6">
        <f t="shared" si="22"/>
        <v>-105.19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3965.94</v>
      </c>
      <c r="U35" s="2"/>
      <c r="V35" s="7">
        <f t="shared" si="25"/>
        <v>1.8644761107210927E-2</v>
      </c>
      <c r="W35" s="2"/>
      <c r="X35" s="6">
        <f t="shared" si="26"/>
        <v>-3965.94</v>
      </c>
      <c r="Y35" s="2"/>
      <c r="Z35" s="7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3682.75</v>
      </c>
      <c r="E36" s="2"/>
      <c r="F36" s="7">
        <f t="shared" si="20"/>
        <v>0.18516088420701216</v>
      </c>
      <c r="G36" s="2"/>
      <c r="H36" s="6">
        <v>4105</v>
      </c>
      <c r="I36" s="2"/>
      <c r="J36" s="7">
        <f t="shared" si="21"/>
        <v>0.1988553103571887</v>
      </c>
      <c r="K36" s="2"/>
      <c r="L36" s="6">
        <f t="shared" si="22"/>
        <v>-422.25</v>
      </c>
      <c r="M36" s="2"/>
      <c r="N36" s="7">
        <f t="shared" si="23"/>
        <v>-0.10286236297198538</v>
      </c>
      <c r="O36" s="11"/>
      <c r="P36" s="6">
        <v>26802.06</v>
      </c>
      <c r="Q36" s="2"/>
      <c r="R36" s="7">
        <f t="shared" si="24"/>
        <v>0.13365073275114298</v>
      </c>
      <c r="S36" s="2"/>
      <c r="T36" s="6">
        <v>26064.27</v>
      </c>
      <c r="U36" s="2"/>
      <c r="V36" s="7">
        <f t="shared" si="25"/>
        <v>0.12253389803775259</v>
      </c>
      <c r="W36" s="2"/>
      <c r="X36" s="6">
        <f t="shared" si="26"/>
        <v>737.79000000000087</v>
      </c>
      <c r="Y36" s="2"/>
      <c r="Z36" s="7">
        <f t="shared" si="27"/>
        <v>2.8306566805822716E-2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45.5</v>
      </c>
      <c r="E37" s="2"/>
      <c r="F37" s="7">
        <f t="shared" si="20"/>
        <v>2.2876438073230749E-3</v>
      </c>
      <c r="G37" s="2"/>
      <c r="H37" s="6">
        <v>132</v>
      </c>
      <c r="I37" s="2"/>
      <c r="J37" s="7">
        <f t="shared" si="21"/>
        <v>6.3943729518024135E-3</v>
      </c>
      <c r="K37" s="2"/>
      <c r="L37" s="6">
        <f t="shared" si="22"/>
        <v>-86.5</v>
      </c>
      <c r="M37" s="2"/>
      <c r="N37" s="7">
        <f t="shared" si="23"/>
        <v>-0.65530303030303028</v>
      </c>
      <c r="O37" s="11"/>
      <c r="P37" s="6">
        <v>2589.5</v>
      </c>
      <c r="Q37" s="2"/>
      <c r="R37" s="7">
        <f t="shared" si="24"/>
        <v>1.2912760155715072E-2</v>
      </c>
      <c r="S37" s="2"/>
      <c r="T37" s="6">
        <v>6270</v>
      </c>
      <c r="U37" s="2"/>
      <c r="V37" s="7">
        <f t="shared" si="25"/>
        <v>2.9476656767932069E-2</v>
      </c>
      <c r="W37" s="2"/>
      <c r="X37" s="6">
        <f t="shared" si="26"/>
        <v>-3680.5</v>
      </c>
      <c r="Y37" s="2"/>
      <c r="Z37" s="7">
        <f t="shared" si="27"/>
        <v>-0.58700159489633175</v>
      </c>
    </row>
    <row r="38" spans="1:26" s="26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449.33</v>
      </c>
      <c r="E38" s="1"/>
      <c r="F38" s="5">
        <f t="shared" ref="F38:F51" si="28">IF(D$12=0,0,D38/D$12)</f>
        <v>2.259136246031818E-2</v>
      </c>
      <c r="G38" s="1"/>
      <c r="H38" s="1">
        <f>SUM(OSRRefH22_2x_0)</f>
        <v>136.35</v>
      </c>
      <c r="I38" s="1"/>
      <c r="J38" s="5">
        <f t="shared" ref="J38:J51" si="29">IF(H$12=0,0,H38/H$12)</f>
        <v>6.6050966058959016E-3</v>
      </c>
      <c r="K38" s="1"/>
      <c r="L38" s="1">
        <f t="shared" ref="L38:L51" si="30">+D38-H38</f>
        <v>312.98</v>
      </c>
      <c r="M38" s="1"/>
      <c r="N38" s="5">
        <f t="shared" ref="N38:N51" si="31">IF(H38=0,0,L38/H38)</f>
        <v>2.2954162082874956</v>
      </c>
      <c r="O38" s="13"/>
      <c r="P38" s="1">
        <f>SUM(OSRRefP22_2x_0)</f>
        <v>2264.33</v>
      </c>
      <c r="Q38" s="1"/>
      <c r="R38" s="5">
        <f t="shared" ref="R38:R51" si="32">IF(P$12=0,0,P38/P$12)</f>
        <v>1.1291272524962466E-2</v>
      </c>
      <c r="S38" s="1"/>
      <c r="T38" s="1">
        <f>SUM(OSRRefT22_2x_0)</f>
        <v>1402.93</v>
      </c>
      <c r="U38" s="1"/>
      <c r="V38" s="5">
        <f t="shared" ref="V38:V51" si="33">IF(T$12=0,0,T38/T$12)</f>
        <v>6.5954842231953645E-3</v>
      </c>
      <c r="W38" s="1"/>
      <c r="X38" s="1">
        <f t="shared" ref="X38:X51" si="34">+P38-T38</f>
        <v>861.39999999999986</v>
      </c>
      <c r="Y38" s="1"/>
      <c r="Z38" s="5">
        <f t="shared" ref="Z38:Z51" si="35">IF(T38=0,0,X38/T38)</f>
        <v>0.6140006985380595</v>
      </c>
    </row>
    <row r="39" spans="1:26" s="24" customFormat="1" hidden="1" outlineLevel="2" x14ac:dyDescent="0.25">
      <c r="A39" s="25"/>
      <c r="B39" s="11" t="str">
        <f>CONCATENATE("          ", "6362", " - ", "ADVERTISING EXPENSE")</f>
        <v xml:space="preserve">          6362 - ADVERTISING EXPENSE</v>
      </c>
      <c r="C39" s="11"/>
      <c r="D39" s="6">
        <v>449.33</v>
      </c>
      <c r="E39" s="2"/>
      <c r="F39" s="7">
        <f t="shared" si="28"/>
        <v>2.259136246031818E-2</v>
      </c>
      <c r="G39" s="2"/>
      <c r="H39" s="6">
        <v>136.35</v>
      </c>
      <c r="I39" s="2"/>
      <c r="J39" s="7">
        <f t="shared" si="29"/>
        <v>6.6050966058959016E-3</v>
      </c>
      <c r="K39" s="2"/>
      <c r="L39" s="6">
        <f t="shared" si="30"/>
        <v>312.98</v>
      </c>
      <c r="M39" s="2"/>
      <c r="N39" s="7">
        <f t="shared" si="31"/>
        <v>2.2954162082874956</v>
      </c>
      <c r="O39" s="11"/>
      <c r="P39" s="6">
        <v>2264.33</v>
      </c>
      <c r="Q39" s="2"/>
      <c r="R39" s="7">
        <f t="shared" si="32"/>
        <v>1.1291272524962466E-2</v>
      </c>
      <c r="S39" s="2"/>
      <c r="T39" s="6">
        <v>1402.93</v>
      </c>
      <c r="U39" s="2"/>
      <c r="V39" s="7">
        <f t="shared" si="33"/>
        <v>6.5954842231953645E-3</v>
      </c>
      <c r="W39" s="2"/>
      <c r="X39" s="6">
        <f t="shared" si="34"/>
        <v>861.39999999999986</v>
      </c>
      <c r="Y39" s="2"/>
      <c r="Z39" s="7">
        <f t="shared" si="35"/>
        <v>0.6140006985380595</v>
      </c>
    </row>
    <row r="40" spans="1:26" s="26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-11.05</v>
      </c>
      <c r="E40" s="1"/>
      <c r="F40" s="5">
        <f t="shared" si="28"/>
        <v>-5.5557063892131822E-4</v>
      </c>
      <c r="G40" s="1"/>
      <c r="H40" s="1">
        <f>SUM(OSRRefH22_3x_0)</f>
        <v>5.98</v>
      </c>
      <c r="I40" s="1"/>
      <c r="J40" s="5">
        <f t="shared" si="29"/>
        <v>2.8968447160438208E-4</v>
      </c>
      <c r="K40" s="1"/>
      <c r="L40" s="1">
        <f t="shared" si="30"/>
        <v>-17.03</v>
      </c>
      <c r="M40" s="1"/>
      <c r="N40" s="5">
        <f t="shared" si="31"/>
        <v>-2.8478260869565215</v>
      </c>
      <c r="O40" s="13"/>
      <c r="P40" s="1">
        <f>SUM(OSRRefP22_3x_0)</f>
        <v>-48.52</v>
      </c>
      <c r="Q40" s="1"/>
      <c r="R40" s="5">
        <f t="shared" si="32"/>
        <v>-2.4194907231330192E-4</v>
      </c>
      <c r="S40" s="1"/>
      <c r="T40" s="1">
        <f>SUM(OSRRefT22_3x_0)</f>
        <v>49.97</v>
      </c>
      <c r="U40" s="1"/>
      <c r="V40" s="5">
        <f t="shared" si="33"/>
        <v>2.3492002212018587E-4</v>
      </c>
      <c r="W40" s="1"/>
      <c r="X40" s="1">
        <f t="shared" si="34"/>
        <v>-98.490000000000009</v>
      </c>
      <c r="Y40" s="1"/>
      <c r="Z40" s="5">
        <f t="shared" si="35"/>
        <v>-1.9709825895537325</v>
      </c>
    </row>
    <row r="41" spans="1:26" s="24" customFormat="1" hidden="1" outlineLevel="2" x14ac:dyDescent="0.25">
      <c r="A41" s="25"/>
      <c r="B41" s="11" t="str">
        <f>CONCATENATE("          ", "6272", " - ", "CASH (OVER/SHORT)")</f>
        <v xml:space="preserve">          6272 - CASH (OVER/SHORT)</v>
      </c>
      <c r="C41" s="11"/>
      <c r="D41" s="6">
        <v>-11.05</v>
      </c>
      <c r="E41" s="2"/>
      <c r="F41" s="7">
        <f t="shared" si="28"/>
        <v>-5.5557063892131822E-4</v>
      </c>
      <c r="G41" s="2"/>
      <c r="H41" s="6">
        <v>5.98</v>
      </c>
      <c r="I41" s="2"/>
      <c r="J41" s="7">
        <f t="shared" si="29"/>
        <v>2.8968447160438208E-4</v>
      </c>
      <c r="K41" s="2"/>
      <c r="L41" s="6">
        <f t="shared" si="30"/>
        <v>-17.03</v>
      </c>
      <c r="M41" s="2"/>
      <c r="N41" s="7">
        <f t="shared" si="31"/>
        <v>-2.8478260869565215</v>
      </c>
      <c r="O41" s="11"/>
      <c r="P41" s="6">
        <v>-48.52</v>
      </c>
      <c r="Q41" s="2"/>
      <c r="R41" s="7">
        <f t="shared" si="32"/>
        <v>-2.4194907231330192E-4</v>
      </c>
      <c r="S41" s="2"/>
      <c r="T41" s="6">
        <v>49.97</v>
      </c>
      <c r="U41" s="2"/>
      <c r="V41" s="7">
        <f t="shared" si="33"/>
        <v>2.3492002212018587E-4</v>
      </c>
      <c r="W41" s="2"/>
      <c r="X41" s="6">
        <f t="shared" si="34"/>
        <v>-98.490000000000009</v>
      </c>
      <c r="Y41" s="2"/>
      <c r="Z41" s="7">
        <f t="shared" si="35"/>
        <v>-1.9709825895537325</v>
      </c>
    </row>
    <row r="42" spans="1:26" s="26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665.05</v>
      </c>
      <c r="E42" s="1"/>
      <c r="F42" s="5">
        <f t="shared" si="28"/>
        <v>3.3437308001323315E-2</v>
      </c>
      <c r="G42" s="1"/>
      <c r="H42" s="1">
        <f>SUM(OSRRefH22_4x_0)</f>
        <v>796.21</v>
      </c>
      <c r="I42" s="1"/>
      <c r="J42" s="5">
        <f t="shared" si="29"/>
        <v>3.8570179454201513E-2</v>
      </c>
      <c r="K42" s="1"/>
      <c r="L42" s="1">
        <f t="shared" si="30"/>
        <v>-131.16000000000008</v>
      </c>
      <c r="M42" s="1"/>
      <c r="N42" s="5">
        <f t="shared" si="31"/>
        <v>-0.16473041031888583</v>
      </c>
      <c r="O42" s="13"/>
      <c r="P42" s="1">
        <f>SUM(OSRRefP22_4x_0)</f>
        <v>7903.13</v>
      </c>
      <c r="Q42" s="1"/>
      <c r="R42" s="5">
        <f t="shared" si="32"/>
        <v>3.9409624317218173E-2</v>
      </c>
      <c r="S42" s="1"/>
      <c r="T42" s="1">
        <f>SUM(OSRRefT22_4x_0)</f>
        <v>8294.17</v>
      </c>
      <c r="U42" s="1"/>
      <c r="V42" s="5">
        <f t="shared" si="33"/>
        <v>3.8992727633952014E-2</v>
      </c>
      <c r="W42" s="1"/>
      <c r="X42" s="1">
        <f t="shared" si="34"/>
        <v>-391.03999999999996</v>
      </c>
      <c r="Y42" s="1"/>
      <c r="Z42" s="5">
        <f t="shared" si="35"/>
        <v>-4.7146369076110084E-2</v>
      </c>
    </row>
    <row r="43" spans="1:26" s="24" customFormat="1" hidden="1" outlineLevel="2" x14ac:dyDescent="0.25">
      <c r="A43" s="25"/>
      <c r="B43" s="11" t="str">
        <f>CONCATENATE("          ", "6381", " - ", "BANK/CREDIT CARD FEES")</f>
        <v xml:space="preserve">          6381 - BANK/CREDIT CARD FEES</v>
      </c>
      <c r="C43" s="11"/>
      <c r="D43" s="6">
        <v>665.05</v>
      </c>
      <c r="E43" s="2"/>
      <c r="F43" s="7">
        <f t="shared" si="28"/>
        <v>3.3437308001323315E-2</v>
      </c>
      <c r="G43" s="2"/>
      <c r="H43" s="6">
        <v>796.21</v>
      </c>
      <c r="I43" s="2"/>
      <c r="J43" s="7">
        <f t="shared" si="29"/>
        <v>3.8570179454201513E-2</v>
      </c>
      <c r="K43" s="2"/>
      <c r="L43" s="6">
        <f t="shared" si="30"/>
        <v>-131.16000000000008</v>
      </c>
      <c r="M43" s="2"/>
      <c r="N43" s="7">
        <f t="shared" si="31"/>
        <v>-0.16473041031888583</v>
      </c>
      <c r="O43" s="11"/>
      <c r="P43" s="6">
        <v>7903.13</v>
      </c>
      <c r="Q43" s="2"/>
      <c r="R43" s="7">
        <f t="shared" si="32"/>
        <v>3.9409624317218173E-2</v>
      </c>
      <c r="S43" s="2"/>
      <c r="T43" s="6">
        <v>8294.17</v>
      </c>
      <c r="U43" s="2"/>
      <c r="V43" s="7">
        <f t="shared" si="33"/>
        <v>3.8992727633952014E-2</v>
      </c>
      <c r="W43" s="2"/>
      <c r="X43" s="6">
        <f t="shared" si="34"/>
        <v>-391.03999999999996</v>
      </c>
      <c r="Y43" s="2"/>
      <c r="Z43" s="7">
        <f t="shared" si="35"/>
        <v>-4.7146369076110084E-2</v>
      </c>
    </row>
    <row r="44" spans="1:26" s="26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630.21</v>
      </c>
      <c r="E44" s="1"/>
      <c r="F44" s="5">
        <f t="shared" si="28"/>
        <v>3.168562645743022E-2</v>
      </c>
      <c r="G44" s="1"/>
      <c r="H44" s="1">
        <f>SUM(OSRRefH22_5x_0)</f>
        <v>635.67999999999995</v>
      </c>
      <c r="I44" s="1"/>
      <c r="J44" s="5">
        <f t="shared" si="29"/>
        <v>3.0793749984861802E-2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3"/>
      <c r="P44" s="1">
        <f>SUM(OSRRefP22_5x_0)</f>
        <v>4411.47</v>
      </c>
      <c r="Q44" s="1"/>
      <c r="R44" s="5">
        <f t="shared" si="32"/>
        <v>2.1998167230790643E-2</v>
      </c>
      <c r="S44" s="1"/>
      <c r="T44" s="1">
        <f>SUM(OSRRefT22_5x_0)</f>
        <v>4449.76</v>
      </c>
      <c r="U44" s="1"/>
      <c r="V44" s="5">
        <f t="shared" si="33"/>
        <v>2.0919305936152058E-2</v>
      </c>
      <c r="W44" s="1"/>
      <c r="X44" s="1">
        <f t="shared" si="34"/>
        <v>-38.289999999999964</v>
      </c>
      <c r="Y44" s="1"/>
      <c r="Z44" s="5">
        <f t="shared" si="35"/>
        <v>-8.6049584696702656E-3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630.21</v>
      </c>
      <c r="E45" s="2"/>
      <c r="F45" s="7">
        <f t="shared" si="28"/>
        <v>3.168562645743022E-2</v>
      </c>
      <c r="G45" s="2"/>
      <c r="H45" s="6">
        <v>635.67999999999995</v>
      </c>
      <c r="I45" s="2"/>
      <c r="J45" s="7">
        <f t="shared" si="29"/>
        <v>3.0793749984861802E-2</v>
      </c>
      <c r="K45" s="2"/>
      <c r="L45" s="6">
        <f t="shared" si="30"/>
        <v>-5.4699999999999136</v>
      </c>
      <c r="M45" s="2"/>
      <c r="N45" s="7">
        <f t="shared" si="31"/>
        <v>-8.6049584696701389E-3</v>
      </c>
      <c r="O45" s="11"/>
      <c r="P45" s="6">
        <v>4411.47</v>
      </c>
      <c r="Q45" s="2"/>
      <c r="R45" s="7">
        <f t="shared" si="32"/>
        <v>2.1998167230790643E-2</v>
      </c>
      <c r="S45" s="2"/>
      <c r="T45" s="6">
        <v>4449.76</v>
      </c>
      <c r="U45" s="2"/>
      <c r="V45" s="7">
        <f t="shared" si="33"/>
        <v>2.0919305936152058E-2</v>
      </c>
      <c r="W45" s="2"/>
      <c r="X45" s="6">
        <f t="shared" si="34"/>
        <v>-38.289999999999964</v>
      </c>
      <c r="Y45" s="2"/>
      <c r="Z45" s="7">
        <f t="shared" si="35"/>
        <v>-8.6049584696702656E-3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23.4</v>
      </c>
      <c r="E46" s="1"/>
      <c r="F46" s="5">
        <f t="shared" si="28"/>
        <v>1.1765025294804383E-3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23.4</v>
      </c>
      <c r="M46" s="1"/>
      <c r="N46" s="5">
        <f t="shared" si="31"/>
        <v>0</v>
      </c>
      <c r="O46" s="13"/>
      <c r="P46" s="1">
        <f>SUM(OSRRefP22_6x_0)</f>
        <v>874.75</v>
      </c>
      <c r="Q46" s="1"/>
      <c r="R46" s="5">
        <f t="shared" si="32"/>
        <v>4.3620146538759447E-3</v>
      </c>
      <c r="S46" s="1"/>
      <c r="T46" s="1">
        <f>SUM(OSRRefT22_6x_0)</f>
        <v>724.2</v>
      </c>
      <c r="U46" s="1"/>
      <c r="V46" s="5">
        <f t="shared" si="33"/>
        <v>3.4046243750137806E-3</v>
      </c>
      <c r="W46" s="1"/>
      <c r="X46" s="1">
        <f t="shared" si="34"/>
        <v>150.54999999999995</v>
      </c>
      <c r="Y46" s="1"/>
      <c r="Z46" s="5">
        <f t="shared" si="35"/>
        <v>0.20788456227561439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23.4</v>
      </c>
      <c r="E47" s="2"/>
      <c r="F47" s="7">
        <f t="shared" si="28"/>
        <v>1.1765025294804383E-3</v>
      </c>
      <c r="G47" s="2"/>
      <c r="H47" s="6"/>
      <c r="I47" s="2"/>
      <c r="J47" s="7">
        <f t="shared" si="29"/>
        <v>0</v>
      </c>
      <c r="K47" s="2"/>
      <c r="L47" s="6">
        <f t="shared" si="30"/>
        <v>23.4</v>
      </c>
      <c r="M47" s="2"/>
      <c r="N47" s="7">
        <f t="shared" si="31"/>
        <v>0</v>
      </c>
      <c r="O47" s="11"/>
      <c r="P47" s="6">
        <v>874.75</v>
      </c>
      <c r="Q47" s="2"/>
      <c r="R47" s="7">
        <f t="shared" si="32"/>
        <v>4.3620146538759447E-3</v>
      </c>
      <c r="S47" s="2"/>
      <c r="T47" s="6">
        <v>724.2</v>
      </c>
      <c r="U47" s="2"/>
      <c r="V47" s="7">
        <f t="shared" si="33"/>
        <v>3.4046243750137806E-3</v>
      </c>
      <c r="W47" s="2"/>
      <c r="X47" s="6">
        <f t="shared" si="34"/>
        <v>150.54999999999995</v>
      </c>
      <c r="Y47" s="2"/>
      <c r="Z47" s="7">
        <f t="shared" si="35"/>
        <v>0.20788456227561439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482.56</v>
      </c>
      <c r="I48" s="1"/>
      <c r="J48" s="5">
        <f t="shared" si="29"/>
        <v>2.3376277360771004E-2</v>
      </c>
      <c r="K48" s="1"/>
      <c r="L48" s="1">
        <f t="shared" si="30"/>
        <v>-482.56</v>
      </c>
      <c r="M48" s="1"/>
      <c r="N48" s="5">
        <f t="shared" si="31"/>
        <v>-1</v>
      </c>
      <c r="O48" s="13"/>
      <c r="P48" s="1">
        <f>SUM(OSRRefP22_7x_0)</f>
        <v>8449.36</v>
      </c>
      <c r="Q48" s="1"/>
      <c r="R48" s="5">
        <f t="shared" si="32"/>
        <v>4.2133446282793093E-2</v>
      </c>
      <c r="S48" s="1"/>
      <c r="T48" s="1">
        <f>SUM(OSRRefT22_7x_0)</f>
        <v>2823.57</v>
      </c>
      <c r="U48" s="1"/>
      <c r="V48" s="5">
        <f t="shared" si="33"/>
        <v>1.3274227073401906E-2</v>
      </c>
      <c r="W48" s="1"/>
      <c r="X48" s="1">
        <f t="shared" si="34"/>
        <v>5625.7900000000009</v>
      </c>
      <c r="Y48" s="1"/>
      <c r="Z48" s="5">
        <f t="shared" si="35"/>
        <v>1.9924386503610678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874.62</v>
      </c>
      <c r="Q49" s="2"/>
      <c r="R49" s="7">
        <f t="shared" si="32"/>
        <v>4.3613663979113794E-3</v>
      </c>
      <c r="S49" s="2"/>
      <c r="T49" s="6"/>
      <c r="U49" s="2"/>
      <c r="V49" s="7">
        <f t="shared" si="33"/>
        <v>0</v>
      </c>
      <c r="W49" s="2"/>
      <c r="X49" s="6">
        <f t="shared" si="34"/>
        <v>874.62</v>
      </c>
      <c r="Y49" s="2"/>
      <c r="Z49" s="7">
        <f t="shared" si="35"/>
        <v>0</v>
      </c>
    </row>
    <row r="50" spans="1:26" s="24" customFormat="1" hidden="1" outlineLevel="2" x14ac:dyDescent="0.25">
      <c r="A50" s="25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866.22</v>
      </c>
      <c r="Q50" s="2"/>
      <c r="R50" s="7">
        <f t="shared" si="32"/>
        <v>4.3194790894317469E-3</v>
      </c>
      <c r="S50" s="2"/>
      <c r="T50" s="6">
        <v>311.89999999999998</v>
      </c>
      <c r="U50" s="2"/>
      <c r="V50" s="7">
        <f t="shared" si="33"/>
        <v>1.4663108845164293E-3</v>
      </c>
      <c r="W50" s="2"/>
      <c r="X50" s="6">
        <f t="shared" si="34"/>
        <v>554.32000000000005</v>
      </c>
      <c r="Y50" s="2"/>
      <c r="Z50" s="7">
        <f t="shared" si="35"/>
        <v>1.7772362936838733</v>
      </c>
    </row>
    <row r="51" spans="1:26" s="24" customFormat="1" hidden="1" outlineLevel="2" x14ac:dyDescent="0.25">
      <c r="A51" s="25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28"/>
        <v>0</v>
      </c>
      <c r="G51" s="2"/>
      <c r="H51" s="6">
        <v>482.56</v>
      </c>
      <c r="I51" s="2"/>
      <c r="J51" s="7">
        <f t="shared" si="29"/>
        <v>2.3376277360771004E-2</v>
      </c>
      <c r="K51" s="2"/>
      <c r="L51" s="6">
        <f t="shared" si="30"/>
        <v>-482.56</v>
      </c>
      <c r="M51" s="2"/>
      <c r="N51" s="7">
        <f t="shared" si="31"/>
        <v>-1</v>
      </c>
      <c r="O51" s="11"/>
      <c r="P51" s="6">
        <v>6708.52</v>
      </c>
      <c r="Q51" s="2"/>
      <c r="R51" s="7">
        <f t="shared" si="32"/>
        <v>3.3452600795449962E-2</v>
      </c>
      <c r="S51" s="2"/>
      <c r="T51" s="6">
        <v>2511.67</v>
      </c>
      <c r="U51" s="2"/>
      <c r="V51" s="7">
        <f t="shared" si="33"/>
        <v>1.1807916188885477E-2</v>
      </c>
      <c r="W51" s="2"/>
      <c r="X51" s="6">
        <f t="shared" si="34"/>
        <v>4196.8500000000004</v>
      </c>
      <c r="Y51" s="2"/>
      <c r="Z51" s="7">
        <f t="shared" si="35"/>
        <v>1.6709400518380202</v>
      </c>
    </row>
    <row r="52" spans="1:26" s="26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414.65</v>
      </c>
      <c r="E52" s="1"/>
      <c r="F52" s="5">
        <f t="shared" ref="F52:F54" si="36">IF(D$12=0,0,D52/D$12)</f>
        <v>2.0847725378165118E-2</v>
      </c>
      <c r="G52" s="1"/>
      <c r="H52" s="1">
        <f>SUM(OSRRefH22_8x_0)</f>
        <v>131.5</v>
      </c>
      <c r="I52" s="1"/>
      <c r="J52" s="5">
        <f t="shared" ref="J52:J54" si="37">IF(H$12=0,0,H52/H$12)</f>
        <v>6.3701518421364952E-3</v>
      </c>
      <c r="K52" s="1"/>
      <c r="L52" s="1">
        <f t="shared" ref="L52:L54" si="38">+D52-H52</f>
        <v>283.14999999999998</v>
      </c>
      <c r="M52" s="1"/>
      <c r="N52" s="5">
        <f t="shared" ref="N52:N54" si="39">IF(H52=0,0,L52/H52)</f>
        <v>2.153231939163498</v>
      </c>
      <c r="O52" s="13"/>
      <c r="P52" s="1">
        <f>SUM(OSRRefP22_8x_0)</f>
        <v>846.22</v>
      </c>
      <c r="Q52" s="1"/>
      <c r="R52" s="5">
        <f t="shared" ref="R52:R54" si="40">IF(P$12=0,0,P52/P$12)</f>
        <v>4.219747402575481E-3</v>
      </c>
      <c r="S52" s="1"/>
      <c r="T52" s="1">
        <f>SUM(OSRRefT22_8x_0)</f>
        <v>1003.47</v>
      </c>
      <c r="U52" s="1"/>
      <c r="V52" s="5">
        <f t="shared" ref="V52:V54" si="41">IF(T$12=0,0,T52/T$12)</f>
        <v>4.7175344125864101E-3</v>
      </c>
      <c r="W52" s="1"/>
      <c r="X52" s="1">
        <f t="shared" ref="X52:X54" si="42">+P52-T52</f>
        <v>-157.25</v>
      </c>
      <c r="Y52" s="1"/>
      <c r="Z52" s="5">
        <f t="shared" ref="Z52:Z54" si="43">IF(T52=0,0,X52/T52)</f>
        <v>-0.15670622938403739</v>
      </c>
    </row>
    <row r="53" spans="1:26" s="24" customFormat="1" hidden="1" outlineLevel="2" x14ac:dyDescent="0.25">
      <c r="A53" s="25"/>
      <c r="B53" s="11" t="str">
        <f>CONCATENATE("          ", "6285", " - ", "JANITORIAL SERVICES")</f>
        <v xml:space="preserve">          6285 - JANITORIAL SERVICES</v>
      </c>
      <c r="C53" s="11"/>
      <c r="D53" s="6">
        <v>348</v>
      </c>
      <c r="E53" s="2"/>
      <c r="F53" s="7">
        <f t="shared" si="36"/>
        <v>1.7496704284580878E-2</v>
      </c>
      <c r="G53" s="2"/>
      <c r="H53" s="6"/>
      <c r="I53" s="2"/>
      <c r="J53" s="7">
        <f t="shared" si="37"/>
        <v>0</v>
      </c>
      <c r="K53" s="2"/>
      <c r="L53" s="6">
        <f t="shared" si="38"/>
        <v>348</v>
      </c>
      <c r="M53" s="2"/>
      <c r="N53" s="7">
        <f t="shared" si="39"/>
        <v>0</v>
      </c>
      <c r="O53" s="11"/>
      <c r="P53" s="6">
        <v>348</v>
      </c>
      <c r="Q53" s="2"/>
      <c r="R53" s="7">
        <f t="shared" si="40"/>
        <v>1.7353313512990325E-3</v>
      </c>
      <c r="S53" s="2"/>
      <c r="T53" s="6">
        <v>338</v>
      </c>
      <c r="U53" s="2"/>
      <c r="V53" s="7">
        <f t="shared" si="41"/>
        <v>1.5890127571867685E-3</v>
      </c>
      <c r="W53" s="2"/>
      <c r="X53" s="6">
        <f t="shared" si="42"/>
        <v>10</v>
      </c>
      <c r="Y53" s="2"/>
      <c r="Z53" s="7">
        <f t="shared" si="43"/>
        <v>2.9585798816568046E-2</v>
      </c>
    </row>
    <row r="54" spans="1:26" s="24" customFormat="1" hidden="1" outlineLevel="2" x14ac:dyDescent="0.25">
      <c r="A54" s="25"/>
      <c r="B54" s="11" t="str">
        <f>CONCATENATE("          ", "6286", " - ", "LAUNDRY EXPENSE")</f>
        <v xml:space="preserve">          6286 - LAUNDRY EXPENSE</v>
      </c>
      <c r="C54" s="11"/>
      <c r="D54" s="6">
        <v>66.650000000000006</v>
      </c>
      <c r="E54" s="2"/>
      <c r="F54" s="7">
        <f t="shared" si="36"/>
        <v>3.3510210935842407E-3</v>
      </c>
      <c r="G54" s="2"/>
      <c r="H54" s="6">
        <v>131.5</v>
      </c>
      <c r="I54" s="2"/>
      <c r="J54" s="7">
        <f t="shared" si="37"/>
        <v>6.3701518421364952E-3</v>
      </c>
      <c r="K54" s="2"/>
      <c r="L54" s="6">
        <f t="shared" si="38"/>
        <v>-64.849999999999994</v>
      </c>
      <c r="M54" s="2"/>
      <c r="N54" s="7">
        <f t="shared" si="39"/>
        <v>-0.4931558935361216</v>
      </c>
      <c r="O54" s="11"/>
      <c r="P54" s="6">
        <v>498.22</v>
      </c>
      <c r="Q54" s="2"/>
      <c r="R54" s="7">
        <f t="shared" si="40"/>
        <v>2.4844160512764485E-3</v>
      </c>
      <c r="S54" s="2"/>
      <c r="T54" s="6">
        <v>665.47</v>
      </c>
      <c r="U54" s="2"/>
      <c r="V54" s="7">
        <f t="shared" si="41"/>
        <v>3.1285216553996417E-3</v>
      </c>
      <c r="W54" s="2"/>
      <c r="X54" s="6">
        <f t="shared" si="42"/>
        <v>-167.25</v>
      </c>
      <c r="Y54" s="2"/>
      <c r="Z54" s="7">
        <f t="shared" si="43"/>
        <v>-0.25132613040407531</v>
      </c>
    </row>
    <row r="55" spans="1:26" s="26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818.15</v>
      </c>
      <c r="E55" s="1"/>
      <c r="F55" s="5">
        <f t="shared" ref="F55:F61" si="44">IF(D$12=0,0,D55/D$12)</f>
        <v>4.1134852328821393E-2</v>
      </c>
      <c r="G55" s="1"/>
      <c r="H55" s="1">
        <f>SUM(OSRRefH22_9x_0)</f>
        <v>777.06</v>
      </c>
      <c r="I55" s="1"/>
      <c r="J55" s="5">
        <f t="shared" ref="J55:J61" si="45">IF(H$12=0,0,H55/H$12)</f>
        <v>3.7642510953996844E-2</v>
      </c>
      <c r="K55" s="1"/>
      <c r="L55" s="1">
        <f t="shared" ref="L55:L61" si="46">+D55-H55</f>
        <v>41.090000000000032</v>
      </c>
      <c r="M55" s="1"/>
      <c r="N55" s="5">
        <f t="shared" ref="N55:N61" si="47">IF(H55=0,0,L55/H55)</f>
        <v>5.2878799577896214E-2</v>
      </c>
      <c r="O55" s="13"/>
      <c r="P55" s="1">
        <f>SUM(OSRRefP22_9x_0)</f>
        <v>3800.38</v>
      </c>
      <c r="Q55" s="1"/>
      <c r="R55" s="5">
        <f t="shared" ref="R55:R61" si="48">IF(P$12=0,0,P55/P$12)</f>
        <v>1.8950915404740854E-2</v>
      </c>
      <c r="S55" s="1"/>
      <c r="T55" s="1">
        <f>SUM(OSRRefT22_9x_0)</f>
        <v>3846.5899999999997</v>
      </c>
      <c r="U55" s="1"/>
      <c r="V55" s="5">
        <f t="shared" ref="V55:V61" si="49">IF(T$12=0,0,T55/T$12)</f>
        <v>1.8083670359961692E-2</v>
      </c>
      <c r="W55" s="1"/>
      <c r="X55" s="1">
        <f t="shared" ref="X55:X61" si="50">+P55-T55</f>
        <v>-46.209999999999582</v>
      </c>
      <c r="Y55" s="1"/>
      <c r="Z55" s="5">
        <f t="shared" ref="Z55:Z61" si="51">IF(T55=0,0,X55/T55)</f>
        <v>-1.2013237698844843E-2</v>
      </c>
    </row>
    <row r="56" spans="1:26" s="24" customFormat="1" hidden="1" outlineLevel="2" x14ac:dyDescent="0.25">
      <c r="A56" s="25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540.89</v>
      </c>
      <c r="Q56" s="2"/>
      <c r="R56" s="7">
        <f t="shared" si="48"/>
        <v>2.6971936051842921E-3</v>
      </c>
      <c r="S56" s="2"/>
      <c r="T56" s="6">
        <v>373.33</v>
      </c>
      <c r="U56" s="2"/>
      <c r="V56" s="7">
        <f t="shared" si="49"/>
        <v>1.7551069013033618E-3</v>
      </c>
      <c r="W56" s="2"/>
      <c r="X56" s="6">
        <f t="shared" si="50"/>
        <v>167.56</v>
      </c>
      <c r="Y56" s="2"/>
      <c r="Z56" s="7">
        <f t="shared" si="51"/>
        <v>0.44882543594139235</v>
      </c>
    </row>
    <row r="57" spans="1:26" s="24" customFormat="1" hidden="1" outlineLevel="2" x14ac:dyDescent="0.25">
      <c r="A57" s="25"/>
      <c r="B57" s="11" t="str">
        <f>CONCATENATE("          ", "6241", " - ", "OFFICE EXPENSE")</f>
        <v xml:space="preserve">          6241 - OFFICE EXPENSE</v>
      </c>
      <c r="C57" s="11"/>
      <c r="D57" s="6">
        <v>238.85</v>
      </c>
      <c r="E57" s="2"/>
      <c r="F57" s="7">
        <f t="shared" si="44"/>
        <v>1.2008873041299261E-2</v>
      </c>
      <c r="G57" s="2"/>
      <c r="H57" s="6">
        <v>184.57</v>
      </c>
      <c r="I57" s="2"/>
      <c r="J57" s="7">
        <f t="shared" si="45"/>
        <v>8.9409804220770567E-3</v>
      </c>
      <c r="K57" s="2"/>
      <c r="L57" s="6">
        <f t="shared" si="46"/>
        <v>54.28</v>
      </c>
      <c r="M57" s="2"/>
      <c r="N57" s="7">
        <f t="shared" si="47"/>
        <v>0.29408896353686947</v>
      </c>
      <c r="O57" s="11"/>
      <c r="P57" s="6">
        <v>1149.17</v>
      </c>
      <c r="Q57" s="2"/>
      <c r="R57" s="7">
        <f t="shared" si="48"/>
        <v>5.7304331292307746E-3</v>
      </c>
      <c r="S57" s="2"/>
      <c r="T57" s="6">
        <v>771.47</v>
      </c>
      <c r="U57" s="2"/>
      <c r="V57" s="7">
        <f t="shared" si="49"/>
        <v>3.6268510999611725E-3</v>
      </c>
      <c r="W57" s="2"/>
      <c r="X57" s="6">
        <f t="shared" si="50"/>
        <v>377.70000000000005</v>
      </c>
      <c r="Y57" s="2"/>
      <c r="Z57" s="7">
        <f t="shared" si="51"/>
        <v>0.48958481859307562</v>
      </c>
    </row>
    <row r="58" spans="1:26" s="24" customFormat="1" hidden="1" outlineLevel="2" x14ac:dyDescent="0.25">
      <c r="A58" s="25"/>
      <c r="B58" s="11" t="str">
        <f>CONCATENATE("          ", "6243", " - ", "PAPER SUPPLIES")</f>
        <v xml:space="preserve">          6243 - PAPER SUPPLIES</v>
      </c>
      <c r="C58" s="11"/>
      <c r="D58" s="6">
        <v>334.91</v>
      </c>
      <c r="E58" s="2"/>
      <c r="F58" s="7">
        <f t="shared" si="44"/>
        <v>1.6838566758474088E-2</v>
      </c>
      <c r="G58" s="2"/>
      <c r="H58" s="6">
        <v>325.45999999999998</v>
      </c>
      <c r="I58" s="2"/>
      <c r="J58" s="7">
        <f t="shared" si="45"/>
        <v>1.5766004703739494E-2</v>
      </c>
      <c r="K58" s="2"/>
      <c r="L58" s="6">
        <f t="shared" si="46"/>
        <v>9.4500000000000455</v>
      </c>
      <c r="M58" s="2"/>
      <c r="N58" s="7">
        <f t="shared" si="47"/>
        <v>2.9035826215203238E-2</v>
      </c>
      <c r="O58" s="11"/>
      <c r="P58" s="6">
        <v>1127.71</v>
      </c>
      <c r="Q58" s="2"/>
      <c r="R58" s="7">
        <f t="shared" si="48"/>
        <v>5.6234210292340006E-3</v>
      </c>
      <c r="S58" s="2"/>
      <c r="T58" s="6">
        <v>1490.31</v>
      </c>
      <c r="U58" s="2"/>
      <c r="V58" s="7">
        <f t="shared" si="49"/>
        <v>7.0062769294763697E-3</v>
      </c>
      <c r="W58" s="2"/>
      <c r="X58" s="6">
        <f t="shared" si="50"/>
        <v>-362.59999999999991</v>
      </c>
      <c r="Y58" s="2"/>
      <c r="Z58" s="7">
        <f t="shared" si="51"/>
        <v>-0.24330508417711746</v>
      </c>
    </row>
    <row r="59" spans="1:26" s="24" customFormat="1" hidden="1" outlineLevel="2" x14ac:dyDescent="0.25">
      <c r="A59" s="25"/>
      <c r="B59" s="11" t="str">
        <f>CONCATENATE("          ", "6245", " - ", "PRINTING")</f>
        <v xml:space="preserve">          6245 - PRINTING</v>
      </c>
      <c r="C59" s="11"/>
      <c r="D59" s="6">
        <v>244.39</v>
      </c>
      <c r="E59" s="2"/>
      <c r="F59" s="7">
        <f t="shared" si="44"/>
        <v>1.2287412529048048E-2</v>
      </c>
      <c r="G59" s="2"/>
      <c r="H59" s="6">
        <v>7.06</v>
      </c>
      <c r="I59" s="2"/>
      <c r="J59" s="7">
        <f t="shared" si="45"/>
        <v>3.4200206848276541E-4</v>
      </c>
      <c r="K59" s="2"/>
      <c r="L59" s="6">
        <f t="shared" si="46"/>
        <v>237.32999999999998</v>
      </c>
      <c r="M59" s="2"/>
      <c r="N59" s="7">
        <f t="shared" si="47"/>
        <v>33.616147308781869</v>
      </c>
      <c r="O59" s="11"/>
      <c r="P59" s="6">
        <v>244.39</v>
      </c>
      <c r="Q59" s="2"/>
      <c r="R59" s="7">
        <f t="shared" si="48"/>
        <v>1.2186713475401453E-3</v>
      </c>
      <c r="S59" s="2"/>
      <c r="T59" s="6">
        <v>7.06</v>
      </c>
      <c r="U59" s="2"/>
      <c r="V59" s="7">
        <f t="shared" si="49"/>
        <v>3.3190621496268002E-5</v>
      </c>
      <c r="W59" s="2"/>
      <c r="X59" s="6">
        <f t="shared" si="50"/>
        <v>237.32999999999998</v>
      </c>
      <c r="Y59" s="2"/>
      <c r="Z59" s="7">
        <f t="shared" si="51"/>
        <v>33.616147308781869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42.98</v>
      </c>
      <c r="Q60" s="2"/>
      <c r="R60" s="7">
        <f t="shared" si="48"/>
        <v>2.1432339505411614E-4</v>
      </c>
      <c r="S60" s="2"/>
      <c r="T60" s="6">
        <v>298.83</v>
      </c>
      <c r="U60" s="2"/>
      <c r="V60" s="7">
        <f t="shared" si="49"/>
        <v>1.4048659237577575E-3</v>
      </c>
      <c r="W60" s="2"/>
      <c r="X60" s="6">
        <f t="shared" si="50"/>
        <v>-255.85</v>
      </c>
      <c r="Y60" s="2"/>
      <c r="Z60" s="7">
        <f t="shared" si="51"/>
        <v>-0.85617240571562425</v>
      </c>
    </row>
    <row r="61" spans="1:26" s="24" customFormat="1" hidden="1" outlineLevel="2" x14ac:dyDescent="0.25">
      <c r="A61" s="25"/>
      <c r="B61" s="11" t="str">
        <f>CONCATENATE("          ", "6248", " - ", "UNIFORMS")</f>
        <v xml:space="preserve">          6248 - UNIFORMS</v>
      </c>
      <c r="C61" s="11"/>
      <c r="D61" s="6"/>
      <c r="E61" s="2"/>
      <c r="F61" s="7">
        <f t="shared" si="44"/>
        <v>0</v>
      </c>
      <c r="G61" s="2"/>
      <c r="H61" s="6">
        <v>259.97000000000003</v>
      </c>
      <c r="I61" s="2"/>
      <c r="J61" s="7">
        <f t="shared" si="45"/>
        <v>1.2593523759697528E-2</v>
      </c>
      <c r="K61" s="2"/>
      <c r="L61" s="6">
        <f t="shared" si="46"/>
        <v>-259.97000000000003</v>
      </c>
      <c r="M61" s="2"/>
      <c r="N61" s="7">
        <f t="shared" si="47"/>
        <v>-1</v>
      </c>
      <c r="O61" s="11"/>
      <c r="P61" s="6">
        <v>695.24</v>
      </c>
      <c r="Q61" s="2"/>
      <c r="R61" s="7">
        <f t="shared" si="48"/>
        <v>3.466872898497527E-3</v>
      </c>
      <c r="S61" s="2"/>
      <c r="T61" s="6">
        <v>905.59</v>
      </c>
      <c r="U61" s="2"/>
      <c r="V61" s="7">
        <f t="shared" si="49"/>
        <v>4.2573788839667627E-3</v>
      </c>
      <c r="W61" s="2"/>
      <c r="X61" s="6">
        <f t="shared" si="50"/>
        <v>-210.35000000000002</v>
      </c>
      <c r="Y61" s="2"/>
      <c r="Z61" s="7">
        <f t="shared" si="51"/>
        <v>-0.23227950838679756</v>
      </c>
    </row>
    <row r="62" spans="1:26" s="26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SUM(OSRRefD22_10x_0)</f>
        <v>71</v>
      </c>
      <c r="E62" s="1"/>
      <c r="F62" s="5">
        <f t="shared" ref="F62:F63" si="52">IF(D$12=0,0,D62/D$12)</f>
        <v>3.5697298971415011E-3</v>
      </c>
      <c r="G62" s="1"/>
      <c r="H62" s="1">
        <f>SUM(OSRRefH22_10x_0)</f>
        <v>-24</v>
      </c>
      <c r="I62" s="1"/>
      <c r="J62" s="5">
        <f t="shared" ref="J62:J63" si="53">IF(H$12=0,0,H62/H$12)</f>
        <v>-1.1626132639640753E-3</v>
      </c>
      <c r="K62" s="1"/>
      <c r="L62" s="1">
        <f t="shared" ref="L62:L63" si="54">+D62-H62</f>
        <v>95</v>
      </c>
      <c r="M62" s="1"/>
      <c r="N62" s="5">
        <f t="shared" ref="N62:N63" si="55">IF(H62=0,0,L62/H62)</f>
        <v>-3.9583333333333335</v>
      </c>
      <c r="O62" s="13"/>
      <c r="P62" s="1">
        <f>SUM(OSRRefP22_10x_0)</f>
        <v>497</v>
      </c>
      <c r="Q62" s="1"/>
      <c r="R62" s="5">
        <f t="shared" ref="R62:R63" si="56">IF(P$12=0,0,P62/P$12)</f>
        <v>2.4783324183782159E-3</v>
      </c>
      <c r="S62" s="1"/>
      <c r="T62" s="1">
        <f>SUM(OSRRefT22_10x_0)</f>
        <v>402</v>
      </c>
      <c r="U62" s="1"/>
      <c r="V62" s="5">
        <f t="shared" ref="V62:V63" si="57">IF(T$12=0,0,T62/T$12)</f>
        <v>1.8898909123937306E-3</v>
      </c>
      <c r="W62" s="1"/>
      <c r="X62" s="1">
        <f t="shared" ref="X62:X63" si="58">+P62-T62</f>
        <v>95</v>
      </c>
      <c r="Y62" s="1"/>
      <c r="Z62" s="5">
        <f t="shared" ref="Z62:Z63" si="59">IF(T62=0,0,X62/T62)</f>
        <v>0.23631840796019901</v>
      </c>
    </row>
    <row r="63" spans="1:26" s="24" customFormat="1" hidden="1" outlineLevel="2" x14ac:dyDescent="0.25">
      <c r="A63" s="25"/>
      <c r="B63" s="11" t="str">
        <f>CONCATENATE("          ", "6309", " - ", "TELEPHONE")</f>
        <v xml:space="preserve">          6309 - TELEPHONE</v>
      </c>
      <c r="C63" s="11"/>
      <c r="D63" s="6">
        <v>71</v>
      </c>
      <c r="E63" s="2"/>
      <c r="F63" s="7">
        <f t="shared" si="52"/>
        <v>3.5697298971415011E-3</v>
      </c>
      <c r="G63" s="2"/>
      <c r="H63" s="6">
        <v>-24</v>
      </c>
      <c r="I63" s="2"/>
      <c r="J63" s="7">
        <f t="shared" si="53"/>
        <v>-1.1626132639640753E-3</v>
      </c>
      <c r="K63" s="2"/>
      <c r="L63" s="6">
        <f t="shared" si="54"/>
        <v>95</v>
      </c>
      <c r="M63" s="2"/>
      <c r="N63" s="7">
        <f t="shared" si="55"/>
        <v>-3.9583333333333335</v>
      </c>
      <c r="O63" s="11"/>
      <c r="P63" s="6">
        <v>497</v>
      </c>
      <c r="Q63" s="2"/>
      <c r="R63" s="7">
        <f t="shared" si="56"/>
        <v>2.4783324183782159E-3</v>
      </c>
      <c r="S63" s="2"/>
      <c r="T63" s="6">
        <v>402</v>
      </c>
      <c r="U63" s="2"/>
      <c r="V63" s="7">
        <f t="shared" si="57"/>
        <v>1.8898909123937306E-3</v>
      </c>
      <c r="W63" s="2"/>
      <c r="X63" s="6">
        <f t="shared" si="58"/>
        <v>95</v>
      </c>
      <c r="Y63" s="2"/>
      <c r="Z63" s="7">
        <f t="shared" si="59"/>
        <v>0.23631840796019901</v>
      </c>
    </row>
    <row r="64" spans="1:26" s="59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collapsed="1" x14ac:dyDescent="0.25">
      <c r="A65" s="10"/>
      <c r="B65" s="29" t="s">
        <v>0</v>
      </c>
      <c r="C65" s="10"/>
      <c r="D65" s="4">
        <f>SUM(OSRRefD25x_0)</f>
        <v>59</v>
      </c>
      <c r="E65" s="4"/>
      <c r="F65" s="12">
        <f t="shared" ref="F65:F66" si="60">IF(D$12=0,0,D65/D$12)</f>
        <v>2.9663952666387121E-3</v>
      </c>
      <c r="G65" s="4"/>
      <c r="H65" s="4">
        <f>SUM(OSRRefH25x_0)</f>
        <v>45</v>
      </c>
      <c r="I65" s="4"/>
      <c r="J65" s="12">
        <f t="shared" ref="J65:J66" si="61">IF(H$12=0,0,H65/H$12)</f>
        <v>2.179899869932641E-3</v>
      </c>
      <c r="K65" s="4"/>
      <c r="L65" s="4">
        <f t="shared" ref="L65:L66" si="62">+D65-H65</f>
        <v>14</v>
      </c>
      <c r="M65" s="4"/>
      <c r="N65" s="12">
        <f t="shared" ref="N65:N66" si="63">IF(H65=0,0,L65/H65)</f>
        <v>0.31111111111111112</v>
      </c>
      <c r="O65" s="10"/>
      <c r="P65" s="4">
        <f>SUM(OSRRefP25x_0)</f>
        <v>451</v>
      </c>
      <c r="Q65" s="4"/>
      <c r="R65" s="12">
        <f t="shared" ref="R65:R66" si="64">IF(P$12=0,0,P65/P$12)</f>
        <v>2.2489495386088039E-3</v>
      </c>
      <c r="S65" s="4"/>
      <c r="T65" s="4">
        <f>SUM(OSRRefT25x_0)</f>
        <v>6121</v>
      </c>
      <c r="U65" s="4"/>
      <c r="V65" s="12">
        <f t="shared" ref="V65:V66" si="65">IF(T$12=0,0,T65/T$12)</f>
        <v>2.8776174812840859E-2</v>
      </c>
      <c r="W65" s="4"/>
      <c r="X65" s="4">
        <f t="shared" ref="X65:X66" si="66">+P65-T65</f>
        <v>-5670</v>
      </c>
      <c r="Y65" s="4"/>
      <c r="Z65" s="12">
        <f t="shared" ref="Z65:Z66" si="67">IF(T65=0,0,X65/T65)</f>
        <v>-0.92631922888416929</v>
      </c>
    </row>
    <row r="66" spans="1:26" s="24" customFormat="1" hidden="1" outlineLevel="1" x14ac:dyDescent="0.25">
      <c r="A66" s="44"/>
      <c r="B66" s="11" t="str">
        <f>CONCATENATE("          ", "9150", " - ", "MISC. INCOME")</f>
        <v xml:space="preserve">          9150 - MISC. INCOME</v>
      </c>
      <c r="C66" s="11"/>
      <c r="D66" s="2">
        <f>--59</f>
        <v>59</v>
      </c>
      <c r="E66" s="2"/>
      <c r="F66" s="19">
        <f t="shared" si="60"/>
        <v>2.9663952666387121E-3</v>
      </c>
      <c r="G66" s="2"/>
      <c r="H66" s="2">
        <f>--45</f>
        <v>45</v>
      </c>
      <c r="I66" s="2"/>
      <c r="J66" s="19">
        <f t="shared" si="61"/>
        <v>2.179899869932641E-3</v>
      </c>
      <c r="K66" s="2"/>
      <c r="L66" s="2">
        <f t="shared" si="62"/>
        <v>14</v>
      </c>
      <c r="M66" s="2"/>
      <c r="N66" s="19">
        <f t="shared" si="63"/>
        <v>0.31111111111111112</v>
      </c>
      <c r="O66" s="11"/>
      <c r="P66" s="2">
        <f>--451</f>
        <v>451</v>
      </c>
      <c r="Q66" s="2"/>
      <c r="R66" s="19">
        <f t="shared" si="64"/>
        <v>2.2489495386088039E-3</v>
      </c>
      <c r="S66" s="2"/>
      <c r="T66" s="2">
        <f>--6121</f>
        <v>6121</v>
      </c>
      <c r="U66" s="2"/>
      <c r="V66" s="19">
        <f t="shared" si="65"/>
        <v>2.8776174812840859E-2</v>
      </c>
      <c r="W66" s="2"/>
      <c r="X66" s="2">
        <f t="shared" si="66"/>
        <v>-5670</v>
      </c>
      <c r="Y66" s="2"/>
      <c r="Z66" s="19">
        <f t="shared" si="67"/>
        <v>-0.92631922888416929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1">
        <f>+D20-D22+D65</f>
        <v>-4042.8600000000006</v>
      </c>
      <c r="E68" s="14"/>
      <c r="F68" s="22">
        <f>IF(D$12=0,0,D68/D$12)</f>
        <v>-0.20326645368954213</v>
      </c>
      <c r="G68" s="14"/>
      <c r="H68" s="21">
        <f>+H20-H22+H65</f>
        <v>-3505.1000000000022</v>
      </c>
      <c r="I68" s="14"/>
      <c r="J68" s="22">
        <f>IF(H$12=0,0,H68/H$12)</f>
        <v>-0.1697948229800201</v>
      </c>
      <c r="K68" s="16"/>
      <c r="L68" s="21">
        <f>+D68-H68</f>
        <v>-537.7599999999984</v>
      </c>
      <c r="M68" s="16"/>
      <c r="N68" s="22">
        <f>IF(H68=0,0,L68/H68)</f>
        <v>0.15342215628655331</v>
      </c>
      <c r="O68" s="29"/>
      <c r="P68" s="21">
        <f>+P20-P22+P65</f>
        <v>-1279.0400000000373</v>
      </c>
      <c r="Q68" s="14"/>
      <c r="R68" s="22">
        <f>IF(P$12=0,0,P68/P$12)</f>
        <v>-6.3780408378321246E-3</v>
      </c>
      <c r="S68" s="14"/>
      <c r="T68" s="21">
        <f>+T20-T22+T65</f>
        <v>23914.640000000014</v>
      </c>
      <c r="U68" s="14"/>
      <c r="V68" s="22">
        <f>IF(T$12=0,0,T68/T$12)</f>
        <v>0.11242801196310356</v>
      </c>
      <c r="W68" s="16"/>
      <c r="X68" s="21">
        <f>+P68-T68</f>
        <v>-25193.680000000051</v>
      </c>
      <c r="Y68" s="16"/>
      <c r="Z68" s="22">
        <f>IF(T68=0,0,X68/T68)</f>
        <v>-1.0534835565160101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1401.84</v>
      </c>
      <c r="E70" s="4"/>
      <c r="F70" s="12">
        <f>IF(D$12=0,0,D70/D$12)</f>
        <v>7.0481551535335807E-2</v>
      </c>
      <c r="G70" s="4"/>
      <c r="H70" s="4">
        <v>916.42</v>
      </c>
      <c r="I70" s="4"/>
      <c r="J70" s="12">
        <f>IF(H$12=0,0,H70/H$12)</f>
        <v>4.4393418640081575E-2</v>
      </c>
      <c r="K70" s="4"/>
      <c r="L70" s="4">
        <f>+D70-H70</f>
        <v>485.41999999999996</v>
      </c>
      <c r="M70" s="4"/>
      <c r="N70" s="12">
        <f>IF(H70=0,0,L70/H70)</f>
        <v>0.52969162611029874</v>
      </c>
      <c r="O70" s="10"/>
      <c r="P70" s="4">
        <v>20913.28</v>
      </c>
      <c r="Q70" s="4"/>
      <c r="R70" s="12">
        <f>IF(P$12=0,0,P70/P$12)</f>
        <v>0.10428583460487077</v>
      </c>
      <c r="S70" s="4"/>
      <c r="T70" s="4">
        <v>21643.42</v>
      </c>
      <c r="U70" s="4"/>
      <c r="V70" s="12">
        <f>IF(T$12=0,0,T70/T$12)</f>
        <v>0.10175050440577292</v>
      </c>
      <c r="W70" s="4"/>
      <c r="X70" s="4">
        <f>+P70-T70</f>
        <v>-730.13999999999942</v>
      </c>
      <c r="Y70" s="4"/>
      <c r="Z70" s="12">
        <f>IF(T70=0,0,X70/T70)</f>
        <v>-3.3734964252414797E-2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4">
        <f>+D68-D70</f>
        <v>-5444.7000000000007</v>
      </c>
      <c r="E72" s="14"/>
      <c r="F72" s="31">
        <f>IF(D$12=0,0,D72/D$12)</f>
        <v>-0.27374800522487797</v>
      </c>
      <c r="G72" s="14"/>
      <c r="H72" s="34">
        <f>+H68-H70</f>
        <v>-4421.5200000000023</v>
      </c>
      <c r="I72" s="14"/>
      <c r="J72" s="31">
        <f>IF(H$12=0,0,H72/H$12)</f>
        <v>-0.21418824162010167</v>
      </c>
      <c r="K72" s="16"/>
      <c r="L72" s="34">
        <f>D72-H72</f>
        <v>-1023.1799999999985</v>
      </c>
      <c r="M72" s="16"/>
      <c r="N72" s="31">
        <f>IF(H72=0,0,L72/H72)</f>
        <v>0.23140910817999194</v>
      </c>
      <c r="O72" s="29"/>
      <c r="P72" s="34">
        <f>+P68-P70</f>
        <v>-22192.320000000036</v>
      </c>
      <c r="Q72" s="14"/>
      <c r="R72" s="31">
        <f>IF(P$12=0,0,P72/P$12)</f>
        <v>-0.1106638754427029</v>
      </c>
      <c r="S72" s="14"/>
      <c r="T72" s="34">
        <f>+T68-T70</f>
        <v>2271.2200000000157</v>
      </c>
      <c r="U72" s="14"/>
      <c r="V72" s="31">
        <f>IF(T$12=0,0,T72/T$12)</f>
        <v>1.0677507557330643E-2</v>
      </c>
      <c r="W72" s="16"/>
      <c r="X72" s="34">
        <f>P72-T72</f>
        <v>-24463.540000000052</v>
      </c>
      <c r="Y72" s="16"/>
      <c r="Z72" s="31">
        <f>IF(T72=0,0,X72/T72)</f>
        <v>-10.771100994179289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0">
        <f>SUM(D72:D74)</f>
        <v>-5444.7000000000007</v>
      </c>
      <c r="E75" s="14"/>
      <c r="F75" s="33">
        <f>IF(D$12=0,0,D75/D$12)</f>
        <v>-0.27374800522487797</v>
      </c>
      <c r="G75" s="14"/>
      <c r="H75" s="30">
        <f>SUM(H72:H74)</f>
        <v>-4421.5200000000023</v>
      </c>
      <c r="I75" s="14"/>
      <c r="J75" s="33">
        <f>IF(H$12=0,0,H75/H$12)</f>
        <v>-0.21418824162010167</v>
      </c>
      <c r="K75" s="16"/>
      <c r="L75" s="30">
        <f>+D75-H75</f>
        <v>-1023.1799999999985</v>
      </c>
      <c r="M75" s="16"/>
      <c r="N75" s="33">
        <f>IF(H75=0,0,L75/H75)</f>
        <v>0.23140910817999194</v>
      </c>
      <c r="O75" s="29"/>
      <c r="P75" s="30">
        <f>SUM(P72:P74)</f>
        <v>-22192.320000000036</v>
      </c>
      <c r="Q75" s="14"/>
      <c r="R75" s="33">
        <f>IF(P$12=0,0,P75/P$12)</f>
        <v>-0.1106638754427029</v>
      </c>
      <c r="S75" s="14"/>
      <c r="T75" s="30">
        <f>SUM(T72:T74)</f>
        <v>2271.2200000000157</v>
      </c>
      <c r="U75" s="14"/>
      <c r="V75" s="33">
        <f>IF(T$12=0,0,T75/T$12)</f>
        <v>1.0677507557330643E-2</v>
      </c>
      <c r="W75" s="16"/>
      <c r="X75" s="30">
        <f>+P75-T75</f>
        <v>-24463.540000000052</v>
      </c>
      <c r="Y75" s="16"/>
      <c r="Z75" s="33">
        <f>IF(T75=0,0,X75/T75)</f>
        <v>-10.771100994179289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61">
        <v>43879.554198113423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5" t="s">
        <v>313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8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","414", " - ", "Starbucks UDP")</f>
        <v>Department 414 - Starbucks UDP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52257.599999999999</v>
      </c>
      <c r="E12" s="4"/>
      <c r="F12" s="12"/>
      <c r="G12" s="4"/>
      <c r="H12" s="4">
        <f>SUM(OSRRefH13x_0)</f>
        <v>50817.66</v>
      </c>
      <c r="I12" s="4"/>
      <c r="J12" s="12"/>
      <c r="K12" s="4"/>
      <c r="L12" s="4">
        <f t="shared" ref="L12:L14" si="0">+D12-H12</f>
        <v>1439.9399999999951</v>
      </c>
      <c r="M12" s="4"/>
      <c r="N12" s="12">
        <f t="shared" ref="N12:N14" si="1">IF(H12=0,0,L12/H12)</f>
        <v>2.8335425125832141E-2</v>
      </c>
      <c r="O12" s="10"/>
      <c r="P12" s="4">
        <f>SUM(OSRRefP13x_0)</f>
        <v>458772.75</v>
      </c>
      <c r="Q12" s="4"/>
      <c r="R12" s="12"/>
      <c r="S12" s="4"/>
      <c r="T12" s="4">
        <f>SUM(OSRRefT13x_0)</f>
        <v>484812.27</v>
      </c>
      <c r="U12" s="4"/>
      <c r="V12" s="12"/>
      <c r="W12" s="4"/>
      <c r="X12" s="4">
        <f t="shared" ref="X12:X14" si="2">+P12-T12</f>
        <v>-26039.520000000019</v>
      </c>
      <c r="Y12" s="4"/>
      <c r="Z12" s="12">
        <f t="shared" ref="Z12:Z14" si="3">IF(T12=0,0,X12/T12)</f>
        <v>-5.3710521806719161E-2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--7736.89</f>
        <v>7736.89</v>
      </c>
      <c r="E13" s="2"/>
      <c r="F13" s="19"/>
      <c r="G13" s="2"/>
      <c r="H13" s="2">
        <f>--9176.5</f>
        <v>9176.5</v>
      </c>
      <c r="I13" s="2"/>
      <c r="J13" s="19"/>
      <c r="K13" s="2"/>
      <c r="L13" s="2">
        <f t="shared" si="0"/>
        <v>-1439.6099999999997</v>
      </c>
      <c r="M13" s="2"/>
      <c r="N13" s="19">
        <f t="shared" si="1"/>
        <v>-0.15688007410232657</v>
      </c>
      <c r="O13" s="11"/>
      <c r="P13" s="2">
        <f>--95636.1</f>
        <v>95636.1</v>
      </c>
      <c r="Q13" s="2"/>
      <c r="R13" s="19"/>
      <c r="S13" s="2"/>
      <c r="T13" s="2">
        <f>--130787.25</f>
        <v>130787.25</v>
      </c>
      <c r="U13" s="2"/>
      <c r="V13" s="19"/>
      <c r="W13" s="2"/>
      <c r="X13" s="2">
        <f t="shared" si="2"/>
        <v>-35151.149999999994</v>
      </c>
      <c r="Y13" s="2"/>
      <c r="Z13" s="19">
        <f t="shared" si="3"/>
        <v>-0.2687658774077748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--44520.71</f>
        <v>44520.71</v>
      </c>
      <c r="E14" s="2"/>
      <c r="F14" s="19"/>
      <c r="G14" s="2"/>
      <c r="H14" s="2">
        <f>--41641.16</f>
        <v>41641.160000000003</v>
      </c>
      <c r="I14" s="2"/>
      <c r="J14" s="19"/>
      <c r="K14" s="2"/>
      <c r="L14" s="2">
        <f t="shared" si="0"/>
        <v>2879.5499999999956</v>
      </c>
      <c r="M14" s="2"/>
      <c r="N14" s="19">
        <f t="shared" si="1"/>
        <v>6.9151531801707619E-2</v>
      </c>
      <c r="O14" s="11"/>
      <c r="P14" s="2">
        <f>--363136.65</f>
        <v>363136.65</v>
      </c>
      <c r="Q14" s="2"/>
      <c r="R14" s="19"/>
      <c r="S14" s="2"/>
      <c r="T14" s="2">
        <f>--354025.02</f>
        <v>354025.02</v>
      </c>
      <c r="U14" s="2"/>
      <c r="V14" s="19"/>
      <c r="W14" s="2"/>
      <c r="X14" s="2">
        <f t="shared" si="2"/>
        <v>9111.6300000000047</v>
      </c>
      <c r="Y14" s="2"/>
      <c r="Z14" s="19">
        <f t="shared" si="3"/>
        <v>2.573724874021617E-2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23216.75</v>
      </c>
      <c r="E16" s="4"/>
      <c r="F16" s="12">
        <f t="shared" ref="F16:F18" si="4">IF(D$12=0,0,D16/D$12)</f>
        <v>0.44427509108722946</v>
      </c>
      <c r="G16" s="4"/>
      <c r="H16" s="4">
        <f>SUM(OSRRefH16x_0)</f>
        <v>16825.28</v>
      </c>
      <c r="I16" s="4"/>
      <c r="J16" s="12">
        <f t="shared" ref="J16:J18" si="5">IF(H$12=0,0,H16/H$12)</f>
        <v>0.33109119939800452</v>
      </c>
      <c r="K16" s="4"/>
      <c r="L16" s="4">
        <f t="shared" ref="L16:L18" si="6">+D16-H16</f>
        <v>6391.4700000000012</v>
      </c>
      <c r="M16" s="4"/>
      <c r="N16" s="12">
        <f t="shared" ref="N16:N18" si="7">IF(H16=0,0,L16/H16)</f>
        <v>0.37987302440137705</v>
      </c>
      <c r="O16" s="10"/>
      <c r="P16" s="4">
        <f>SUM(OSRRefP16x_0)</f>
        <v>151253.26</v>
      </c>
      <c r="Q16" s="4"/>
      <c r="R16" s="12">
        <f t="shared" ref="R16:R18" si="8">IF(P$12=0,0,P16/P$12)</f>
        <v>0.32969102894624847</v>
      </c>
      <c r="S16" s="4"/>
      <c r="T16" s="4">
        <f>SUM(OSRRefT16x_0)</f>
        <v>163026.99</v>
      </c>
      <c r="U16" s="4"/>
      <c r="V16" s="12">
        <f t="shared" ref="V16:V18" si="9">IF(T$12=0,0,T16/T$12)</f>
        <v>0.33626828380395568</v>
      </c>
      <c r="W16" s="4"/>
      <c r="X16" s="4">
        <f t="shared" ref="X16:X18" si="10">+P16-T16</f>
        <v>-11773.729999999981</v>
      </c>
      <c r="Y16" s="4"/>
      <c r="Z16" s="12">
        <f t="shared" ref="Z16:Z18" si="11">IF(T16=0,0,X16/T16)</f>
        <v>-7.2219514081686614E-2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16815.75</v>
      </c>
      <c r="E17" s="2"/>
      <c r="F17" s="19">
        <f t="shared" si="4"/>
        <v>0.3217857306879765</v>
      </c>
      <c r="G17" s="2"/>
      <c r="H17" s="2">
        <v>17327.28</v>
      </c>
      <c r="I17" s="2"/>
      <c r="J17" s="19">
        <f t="shared" si="5"/>
        <v>0.34096965503724486</v>
      </c>
      <c r="K17" s="2"/>
      <c r="L17" s="2">
        <f t="shared" si="6"/>
        <v>-511.52999999999884</v>
      </c>
      <c r="M17" s="2"/>
      <c r="N17" s="19">
        <f t="shared" si="7"/>
        <v>-2.9521656024488488E-2</v>
      </c>
      <c r="O17" s="11"/>
      <c r="P17" s="2">
        <v>145432.26</v>
      </c>
      <c r="Q17" s="2"/>
      <c r="R17" s="19">
        <f t="shared" si="8"/>
        <v>0.31700282983241707</v>
      </c>
      <c r="S17" s="2"/>
      <c r="T17" s="2">
        <v>166919.99</v>
      </c>
      <c r="U17" s="2"/>
      <c r="V17" s="19">
        <f t="shared" si="9"/>
        <v>0.34429819608319728</v>
      </c>
      <c r="W17" s="2"/>
      <c r="X17" s="2">
        <f t="shared" si="10"/>
        <v>-21487.729999999981</v>
      </c>
      <c r="Y17" s="2"/>
      <c r="Z17" s="19">
        <f t="shared" si="11"/>
        <v>-0.12873071703395131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6401</v>
      </c>
      <c r="E18" s="2"/>
      <c r="F18" s="19">
        <f t="shared" si="4"/>
        <v>0.12248936039925294</v>
      </c>
      <c r="G18" s="2"/>
      <c r="H18" s="2">
        <v>-502</v>
      </c>
      <c r="I18" s="2"/>
      <c r="J18" s="19">
        <f t="shared" si="5"/>
        <v>-9.8784556392403737E-3</v>
      </c>
      <c r="K18" s="2"/>
      <c r="L18" s="2">
        <f t="shared" si="6"/>
        <v>6903</v>
      </c>
      <c r="M18" s="2"/>
      <c r="N18" s="19">
        <f t="shared" si="7"/>
        <v>-13.750996015936256</v>
      </c>
      <c r="O18" s="11"/>
      <c r="P18" s="2">
        <v>5821</v>
      </c>
      <c r="Q18" s="2"/>
      <c r="R18" s="19">
        <f t="shared" si="8"/>
        <v>1.2688199113831412E-2</v>
      </c>
      <c r="S18" s="2"/>
      <c r="T18" s="2">
        <v>-3893</v>
      </c>
      <c r="U18" s="2"/>
      <c r="V18" s="19">
        <f t="shared" si="9"/>
        <v>-8.0299122792416126E-3</v>
      </c>
      <c r="W18" s="2"/>
      <c r="X18" s="2">
        <f t="shared" si="10"/>
        <v>9714</v>
      </c>
      <c r="Y18" s="2"/>
      <c r="Z18" s="19">
        <f t="shared" si="11"/>
        <v>-2.4952478808117133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29040.85</v>
      </c>
      <c r="E20" s="14"/>
      <c r="F20" s="22">
        <f>IF(D$12=0,0,D20/D$12)</f>
        <v>0.5557249089127706</v>
      </c>
      <c r="G20" s="14"/>
      <c r="H20" s="21">
        <f>H12-H16</f>
        <v>33992.380000000005</v>
      </c>
      <c r="I20" s="14"/>
      <c r="J20" s="22">
        <f>IF(H$12=0,0,H20/H$12)</f>
        <v>0.66890880060199553</v>
      </c>
      <c r="K20" s="16"/>
      <c r="L20" s="21">
        <f>+D20-H20</f>
        <v>-4951.5300000000061</v>
      </c>
      <c r="M20" s="16"/>
      <c r="N20" s="22">
        <f>IF(H20=0,0,L20/H20)</f>
        <v>-0.14566588158875624</v>
      </c>
      <c r="O20" s="29"/>
      <c r="P20" s="21">
        <f>P12-P16</f>
        <v>307519.49</v>
      </c>
      <c r="Q20" s="14"/>
      <c r="R20" s="22">
        <f>IF(P$12=0,0,P20/P$12)</f>
        <v>0.67030897105375153</v>
      </c>
      <c r="S20" s="14"/>
      <c r="T20" s="21">
        <f>T12-T16</f>
        <v>321785.28000000003</v>
      </c>
      <c r="U20" s="14"/>
      <c r="V20" s="22">
        <f>IF(T$12=0,0,T20/T$12)</f>
        <v>0.66373171619604432</v>
      </c>
      <c r="W20" s="16"/>
      <c r="X20" s="21">
        <f>+P20-T20</f>
        <v>-14265.790000000037</v>
      </c>
      <c r="Y20" s="16"/>
      <c r="Z20" s="22">
        <f>IF(T20=0,0,X20/T20)</f>
        <v>-4.4333258500824015E-2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35920.370000000003</v>
      </c>
      <c r="E22" s="20"/>
      <c r="F22" s="32">
        <f t="shared" ref="F22:F31" si="12">IF(D$12=0,0,D22/D$12)</f>
        <v>0.68737121490462638</v>
      </c>
      <c r="G22" s="20"/>
      <c r="H22" s="20">
        <f>SUM(OSRRefH22x_0)</f>
        <v>38174.9</v>
      </c>
      <c r="I22" s="20"/>
      <c r="J22" s="32">
        <f t="shared" ref="J22:J31" si="13">IF(H$12=0,0,H22/H$12)</f>
        <v>0.75121325932756444</v>
      </c>
      <c r="K22" s="4"/>
      <c r="L22" s="20">
        <f t="shared" ref="L22:L31" si="14">+D22-H22</f>
        <v>-2254.5299999999988</v>
      </c>
      <c r="M22" s="4"/>
      <c r="N22" s="32">
        <f t="shared" ref="N22:N31" si="15">IF(H22=0,0,L22/H22)</f>
        <v>-5.9057915017459085E-2</v>
      </c>
      <c r="O22" s="10"/>
      <c r="P22" s="20">
        <f>SUM(OSRRefP22x_0)</f>
        <v>238996.00000000003</v>
      </c>
      <c r="Q22" s="20"/>
      <c r="R22" s="32">
        <f t="shared" ref="R22:R31" si="16">IF(P$12=0,0,P22/P$12)</f>
        <v>0.52094637268669519</v>
      </c>
      <c r="S22" s="20"/>
      <c r="T22" s="20">
        <f>SUM(OSRRefT22x_0)</f>
        <v>249174.7</v>
      </c>
      <c r="U22" s="20"/>
      <c r="V22" s="32">
        <f t="shared" ref="V22:V31" si="17">IF(T$12=0,0,T22/T$12)</f>
        <v>0.51396120811876322</v>
      </c>
      <c r="W22" s="4"/>
      <c r="X22" s="20">
        <f t="shared" ref="X22:X31" si="18">+P22-T22</f>
        <v>-10178.699999999983</v>
      </c>
      <c r="Y22" s="4"/>
      <c r="Z22" s="32">
        <f t="shared" ref="Z22:Z31" si="19">IF(T22=0,0,X22/T22)</f>
        <v>-4.0849652874067797E-2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3437.9199999999996</v>
      </c>
      <c r="E23" s="1"/>
      <c r="F23" s="5">
        <f t="shared" si="12"/>
        <v>6.5787942806405181E-2</v>
      </c>
      <c r="G23" s="1"/>
      <c r="H23" s="1">
        <f>SUM(OSRRefH22_0x_0)</f>
        <v>5801.44</v>
      </c>
      <c r="I23" s="1"/>
      <c r="J23" s="5">
        <f t="shared" si="13"/>
        <v>0.11416188781616468</v>
      </c>
      <c r="K23" s="1"/>
      <c r="L23" s="1">
        <f t="shared" si="14"/>
        <v>-2363.52</v>
      </c>
      <c r="M23" s="1"/>
      <c r="N23" s="5">
        <f t="shared" si="15"/>
        <v>-0.4074023001185913</v>
      </c>
      <c r="O23" s="13"/>
      <c r="P23" s="1">
        <f>SUM(OSRRefP22_0x_0)</f>
        <v>18361.809999999998</v>
      </c>
      <c r="Q23" s="1"/>
      <c r="R23" s="5">
        <f t="shared" si="16"/>
        <v>4.0023759039742438E-2</v>
      </c>
      <c r="S23" s="1"/>
      <c r="T23" s="1">
        <f>SUM(OSRRefT22_0x_0)</f>
        <v>25433.89</v>
      </c>
      <c r="U23" s="1"/>
      <c r="V23" s="5">
        <f t="shared" si="17"/>
        <v>5.2461316624680308E-2</v>
      </c>
      <c r="W23" s="1"/>
      <c r="X23" s="1">
        <f t="shared" si="18"/>
        <v>-7072.0800000000017</v>
      </c>
      <c r="Y23" s="1"/>
      <c r="Z23" s="5">
        <f t="shared" si="19"/>
        <v>-0.27805734789290987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630.79999999999995</v>
      </c>
      <c r="E24" s="2"/>
      <c r="F24" s="7">
        <f t="shared" si="12"/>
        <v>1.2070971495055264E-2</v>
      </c>
      <c r="G24" s="2"/>
      <c r="H24" s="6">
        <v>364.86</v>
      </c>
      <c r="I24" s="2"/>
      <c r="J24" s="7">
        <f t="shared" si="13"/>
        <v>7.1797874990702053E-3</v>
      </c>
      <c r="K24" s="2"/>
      <c r="L24" s="6">
        <f t="shared" si="14"/>
        <v>265.93999999999994</v>
      </c>
      <c r="M24" s="2"/>
      <c r="N24" s="7">
        <f t="shared" si="15"/>
        <v>0.72888231102340606</v>
      </c>
      <c r="O24" s="11"/>
      <c r="P24" s="6">
        <v>4333.08</v>
      </c>
      <c r="Q24" s="2"/>
      <c r="R24" s="7">
        <f t="shared" si="16"/>
        <v>9.4449376079987317E-3</v>
      </c>
      <c r="S24" s="2"/>
      <c r="T24" s="6">
        <v>4504.05</v>
      </c>
      <c r="U24" s="2"/>
      <c r="V24" s="7">
        <f t="shared" si="17"/>
        <v>9.2902970463185682E-3</v>
      </c>
      <c r="W24" s="2"/>
      <c r="X24" s="6">
        <f t="shared" si="18"/>
        <v>-170.97000000000025</v>
      </c>
      <c r="Y24" s="2"/>
      <c r="Z24" s="7">
        <f t="shared" si="19"/>
        <v>-3.7959170080261152E-2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585.5</v>
      </c>
      <c r="E25" s="2"/>
      <c r="F25" s="7">
        <f t="shared" si="12"/>
        <v>1.1204111937785127E-2</v>
      </c>
      <c r="G25" s="2"/>
      <c r="H25" s="6">
        <v>531.73</v>
      </c>
      <c r="I25" s="2"/>
      <c r="J25" s="7">
        <f t="shared" si="13"/>
        <v>1.0463488480185825E-2</v>
      </c>
      <c r="K25" s="2"/>
      <c r="L25" s="6">
        <f t="shared" si="14"/>
        <v>53.769999999999982</v>
      </c>
      <c r="M25" s="2"/>
      <c r="N25" s="7">
        <f t="shared" si="15"/>
        <v>0.10112275026799311</v>
      </c>
      <c r="O25" s="11"/>
      <c r="P25" s="6">
        <v>3864.07</v>
      </c>
      <c r="Q25" s="2"/>
      <c r="R25" s="7">
        <f t="shared" si="16"/>
        <v>8.4226231832644823E-3</v>
      </c>
      <c r="S25" s="2"/>
      <c r="T25" s="6">
        <v>4985.71</v>
      </c>
      <c r="U25" s="2"/>
      <c r="V25" s="7">
        <f t="shared" si="17"/>
        <v>1.0283795003785692E-2</v>
      </c>
      <c r="W25" s="2"/>
      <c r="X25" s="6">
        <f t="shared" si="18"/>
        <v>-1121.6399999999999</v>
      </c>
      <c r="Y25" s="2"/>
      <c r="Z25" s="7">
        <f t="shared" si="19"/>
        <v>-0.22497096702375385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1033.82</v>
      </c>
      <c r="E26" s="2"/>
      <c r="F26" s="7">
        <f t="shared" si="12"/>
        <v>1.9783151158874499E-2</v>
      </c>
      <c r="G26" s="2"/>
      <c r="H26" s="6">
        <v>667.44</v>
      </c>
      <c r="I26" s="2"/>
      <c r="J26" s="7">
        <f t="shared" si="13"/>
        <v>1.3134016796523099E-2</v>
      </c>
      <c r="K26" s="2"/>
      <c r="L26" s="6">
        <f t="shared" si="14"/>
        <v>366.37999999999988</v>
      </c>
      <c r="M26" s="2"/>
      <c r="N26" s="7">
        <f t="shared" si="15"/>
        <v>0.54893323744456413</v>
      </c>
      <c r="O26" s="11"/>
      <c r="P26" s="6">
        <v>4936.16</v>
      </c>
      <c r="Q26" s="2"/>
      <c r="R26" s="7">
        <f t="shared" si="16"/>
        <v>1.0759488221565033E-2</v>
      </c>
      <c r="S26" s="2"/>
      <c r="T26" s="6">
        <v>4549.88</v>
      </c>
      <c r="U26" s="2"/>
      <c r="V26" s="7">
        <f t="shared" si="17"/>
        <v>9.3848284821669223E-3</v>
      </c>
      <c r="W26" s="2"/>
      <c r="X26" s="6">
        <f t="shared" si="18"/>
        <v>386.27999999999975</v>
      </c>
      <c r="Y26" s="2"/>
      <c r="Z26" s="7">
        <f t="shared" si="19"/>
        <v>8.4898942389689341E-2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39.229999999999997</v>
      </c>
      <c r="E27" s="2"/>
      <c r="F27" s="7">
        <f t="shared" si="12"/>
        <v>7.5070420379045341E-4</v>
      </c>
      <c r="G27" s="2"/>
      <c r="H27" s="6">
        <v>39.5</v>
      </c>
      <c r="I27" s="2"/>
      <c r="J27" s="7">
        <f t="shared" si="13"/>
        <v>7.7728884013943177E-4</v>
      </c>
      <c r="K27" s="2"/>
      <c r="L27" s="6">
        <f t="shared" si="14"/>
        <v>-0.27000000000000313</v>
      </c>
      <c r="M27" s="2"/>
      <c r="N27" s="7">
        <f t="shared" si="15"/>
        <v>-6.8354430379747623E-3</v>
      </c>
      <c r="O27" s="11"/>
      <c r="P27" s="6">
        <v>343.07</v>
      </c>
      <c r="Q27" s="2"/>
      <c r="R27" s="7">
        <f t="shared" si="16"/>
        <v>7.4779942793027699E-4</v>
      </c>
      <c r="S27" s="2"/>
      <c r="T27" s="6">
        <v>370.37</v>
      </c>
      <c r="U27" s="2"/>
      <c r="V27" s="7">
        <f t="shared" si="17"/>
        <v>7.6394518645330487E-4</v>
      </c>
      <c r="W27" s="2"/>
      <c r="X27" s="6">
        <f t="shared" si="18"/>
        <v>-27.300000000000011</v>
      </c>
      <c r="Y27" s="2"/>
      <c r="Z27" s="7">
        <f t="shared" si="19"/>
        <v>-7.3710073710073737E-2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305.10000000000002</v>
      </c>
      <c r="E28" s="2"/>
      <c r="F28" s="7">
        <f t="shared" si="12"/>
        <v>5.8383852300909348E-3</v>
      </c>
      <c r="G28" s="2"/>
      <c r="H28" s="6">
        <v>656.29</v>
      </c>
      <c r="I28" s="2"/>
      <c r="J28" s="7">
        <f t="shared" si="13"/>
        <v>1.2914604883420448E-2</v>
      </c>
      <c r="K28" s="2"/>
      <c r="L28" s="6">
        <f t="shared" si="14"/>
        <v>-351.18999999999994</v>
      </c>
      <c r="M28" s="2"/>
      <c r="N28" s="7">
        <f t="shared" si="15"/>
        <v>-0.53511405019122638</v>
      </c>
      <c r="O28" s="11"/>
      <c r="P28" s="6">
        <v>305.10000000000002</v>
      </c>
      <c r="Q28" s="2"/>
      <c r="R28" s="7">
        <f t="shared" si="16"/>
        <v>6.6503513994673835E-4</v>
      </c>
      <c r="S28" s="2"/>
      <c r="T28" s="6">
        <v>3726.13</v>
      </c>
      <c r="U28" s="2"/>
      <c r="V28" s="7">
        <f t="shared" si="17"/>
        <v>7.6857171952351786E-3</v>
      </c>
      <c r="W28" s="2"/>
      <c r="X28" s="6">
        <f t="shared" si="18"/>
        <v>-3421.03</v>
      </c>
      <c r="Y28" s="2"/>
      <c r="Z28" s="7">
        <f t="shared" si="19"/>
        <v>-0.91811879886101666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304.61</v>
      </c>
      <c r="E29" s="2"/>
      <c r="F29" s="7">
        <f t="shared" si="12"/>
        <v>5.829008603533266E-3</v>
      </c>
      <c r="G29" s="2"/>
      <c r="H29" s="6">
        <v>983.18</v>
      </c>
      <c r="I29" s="2"/>
      <c r="J29" s="7">
        <f t="shared" si="13"/>
        <v>1.9347211186032571E-2</v>
      </c>
      <c r="K29" s="2"/>
      <c r="L29" s="6">
        <f t="shared" si="14"/>
        <v>-678.56999999999994</v>
      </c>
      <c r="M29" s="2"/>
      <c r="N29" s="7">
        <f t="shared" si="15"/>
        <v>-0.69017880754287109</v>
      </c>
      <c r="O29" s="11"/>
      <c r="P29" s="6">
        <v>1555.86</v>
      </c>
      <c r="Q29" s="2"/>
      <c r="R29" s="7">
        <f t="shared" si="16"/>
        <v>3.3913522544658545E-3</v>
      </c>
      <c r="S29" s="2"/>
      <c r="T29" s="6">
        <v>1777.73</v>
      </c>
      <c r="U29" s="2"/>
      <c r="V29" s="7">
        <f t="shared" si="17"/>
        <v>3.6668420128888237E-3</v>
      </c>
      <c r="W29" s="2"/>
      <c r="X29" s="6">
        <f t="shared" si="18"/>
        <v>-221.87000000000012</v>
      </c>
      <c r="Y29" s="2"/>
      <c r="Z29" s="7">
        <f t="shared" si="19"/>
        <v>-0.12480522914053321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364.93</v>
      </c>
      <c r="E30" s="2"/>
      <c r="F30" s="7">
        <f t="shared" si="12"/>
        <v>6.9832904687547846E-3</v>
      </c>
      <c r="G30" s="2"/>
      <c r="H30" s="6">
        <v>2409.54</v>
      </c>
      <c r="I30" s="2"/>
      <c r="J30" s="7">
        <f t="shared" si="13"/>
        <v>4.7415406376444723E-2</v>
      </c>
      <c r="K30" s="2"/>
      <c r="L30" s="6">
        <f t="shared" si="14"/>
        <v>-2044.61</v>
      </c>
      <c r="M30" s="2"/>
      <c r="N30" s="7">
        <f t="shared" si="15"/>
        <v>-0.84854785560729429</v>
      </c>
      <c r="O30" s="11"/>
      <c r="P30" s="6">
        <v>1863.96</v>
      </c>
      <c r="Q30" s="2"/>
      <c r="R30" s="7">
        <f t="shared" si="16"/>
        <v>4.062926579662807E-3</v>
      </c>
      <c r="S30" s="2"/>
      <c r="T30" s="6">
        <v>4493.59</v>
      </c>
      <c r="U30" s="2"/>
      <c r="V30" s="7">
        <f t="shared" si="17"/>
        <v>9.2687216847873923E-3</v>
      </c>
      <c r="W30" s="2"/>
      <c r="X30" s="6">
        <f t="shared" si="18"/>
        <v>-2629.63</v>
      </c>
      <c r="Y30" s="2"/>
      <c r="Z30" s="7">
        <f t="shared" si="19"/>
        <v>-0.58519580113005409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173.93</v>
      </c>
      <c r="E31" s="2"/>
      <c r="F31" s="7">
        <f t="shared" si="12"/>
        <v>3.3283197085208663E-3</v>
      </c>
      <c r="G31" s="2"/>
      <c r="H31" s="6">
        <v>148.9</v>
      </c>
      <c r="I31" s="2"/>
      <c r="J31" s="7">
        <f t="shared" si="13"/>
        <v>2.9300837543483897E-3</v>
      </c>
      <c r="K31" s="2"/>
      <c r="L31" s="6">
        <f t="shared" si="14"/>
        <v>25.03</v>
      </c>
      <c r="M31" s="2"/>
      <c r="N31" s="7">
        <f t="shared" si="15"/>
        <v>0.16809939556749495</v>
      </c>
      <c r="O31" s="11"/>
      <c r="P31" s="6">
        <v>1160.51</v>
      </c>
      <c r="Q31" s="2"/>
      <c r="R31" s="7">
        <f t="shared" si="16"/>
        <v>2.5295966249085193E-3</v>
      </c>
      <c r="S31" s="2"/>
      <c r="T31" s="6">
        <v>1026.43</v>
      </c>
      <c r="U31" s="2"/>
      <c r="V31" s="7">
        <f t="shared" si="17"/>
        <v>2.1171700130444308E-3</v>
      </c>
      <c r="W31" s="2"/>
      <c r="X31" s="6">
        <f t="shared" si="18"/>
        <v>134.07999999999993</v>
      </c>
      <c r="Y31" s="2"/>
      <c r="Z31" s="7">
        <f t="shared" si="19"/>
        <v>0.13062751478425214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21196.300000000003</v>
      </c>
      <c r="E32" s="1"/>
      <c r="F32" s="5">
        <f t="shared" ref="F32:F38" si="20">IF(D$12=0,0,D32/D$12)</f>
        <v>0.40561181531490165</v>
      </c>
      <c r="G32" s="1"/>
      <c r="H32" s="1">
        <f>SUM(OSRRefH22_1x_0)</f>
        <v>19371.14</v>
      </c>
      <c r="I32" s="1"/>
      <c r="J32" s="5">
        <f t="shared" ref="J32:J38" si="21">IF(H$12=0,0,H32/H$12)</f>
        <v>0.38118913779186209</v>
      </c>
      <c r="K32" s="1"/>
      <c r="L32" s="1">
        <f t="shared" ref="L32:L38" si="22">+D32-H32</f>
        <v>1825.1600000000035</v>
      </c>
      <c r="M32" s="1"/>
      <c r="N32" s="5">
        <f t="shared" ref="N32:N38" si="23">IF(H32=0,0,L32/H32)</f>
        <v>9.4220577622174201E-2</v>
      </c>
      <c r="O32" s="13"/>
      <c r="P32" s="1">
        <f>SUM(OSRRefP22_1x_0)</f>
        <v>136533.72</v>
      </c>
      <c r="Q32" s="1"/>
      <c r="R32" s="5">
        <f t="shared" ref="R32:R38" si="24">IF(P$12=0,0,P32/P$12)</f>
        <v>0.29760642932693804</v>
      </c>
      <c r="S32" s="1"/>
      <c r="T32" s="1">
        <f>SUM(OSRRefT22_1x_0)</f>
        <v>134798.31</v>
      </c>
      <c r="U32" s="1"/>
      <c r="V32" s="5">
        <f t="shared" ref="V32:V38" si="25">IF(T$12=0,0,T32/T$12)</f>
        <v>0.27804228222194127</v>
      </c>
      <c r="W32" s="1"/>
      <c r="X32" s="1">
        <f t="shared" ref="X32:X38" si="26">+P32-T32</f>
        <v>1735.4100000000035</v>
      </c>
      <c r="Y32" s="1"/>
      <c r="Z32" s="5">
        <f t="shared" ref="Z32:Z38" si="27">IF(T32=0,0,X32/T32)</f>
        <v>1.2874122828394537E-2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3639.92</v>
      </c>
      <c r="E33" s="2"/>
      <c r="F33" s="7">
        <f t="shared" si="20"/>
        <v>6.9653409264872485E-2</v>
      </c>
      <c r="G33" s="2"/>
      <c r="H33" s="6">
        <v>5484.32</v>
      </c>
      <c r="I33" s="2"/>
      <c r="J33" s="7">
        <f t="shared" si="21"/>
        <v>0.10792153751274654</v>
      </c>
      <c r="K33" s="2"/>
      <c r="L33" s="6">
        <f t="shared" si="22"/>
        <v>-1844.3999999999996</v>
      </c>
      <c r="M33" s="2"/>
      <c r="N33" s="7">
        <f t="shared" si="23"/>
        <v>-0.33630422732444493</v>
      </c>
      <c r="O33" s="11"/>
      <c r="P33" s="6">
        <v>3639.92</v>
      </c>
      <c r="Q33" s="2"/>
      <c r="R33" s="7">
        <f t="shared" si="24"/>
        <v>7.9340370586526779E-3</v>
      </c>
      <c r="S33" s="2"/>
      <c r="T33" s="6">
        <v>33278.15</v>
      </c>
      <c r="U33" s="2"/>
      <c r="V33" s="7">
        <f t="shared" si="25"/>
        <v>6.8641311409053246E-2</v>
      </c>
      <c r="W33" s="2"/>
      <c r="X33" s="6">
        <f t="shared" si="26"/>
        <v>-29638.230000000003</v>
      </c>
      <c r="Y33" s="2"/>
      <c r="Z33" s="7">
        <f t="shared" si="27"/>
        <v>-0.89062132360122193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5339.84</v>
      </c>
      <c r="E34" s="2"/>
      <c r="F34" s="7">
        <f t="shared" si="20"/>
        <v>0.10218303175040569</v>
      </c>
      <c r="G34" s="2"/>
      <c r="H34" s="6"/>
      <c r="I34" s="2"/>
      <c r="J34" s="7">
        <f t="shared" si="21"/>
        <v>0</v>
      </c>
      <c r="K34" s="2"/>
      <c r="L34" s="6">
        <f t="shared" si="22"/>
        <v>5339.84</v>
      </c>
      <c r="M34" s="2"/>
      <c r="N34" s="7">
        <f t="shared" si="23"/>
        <v>0</v>
      </c>
      <c r="O34" s="11"/>
      <c r="P34" s="6">
        <v>40214.839999999997</v>
      </c>
      <c r="Q34" s="2"/>
      <c r="R34" s="7">
        <f t="shared" si="24"/>
        <v>8.7657429522568622E-2</v>
      </c>
      <c r="S34" s="2"/>
      <c r="T34" s="6"/>
      <c r="U34" s="2"/>
      <c r="V34" s="7">
        <f t="shared" si="25"/>
        <v>0</v>
      </c>
      <c r="W34" s="2"/>
      <c r="X34" s="6">
        <f t="shared" si="26"/>
        <v>40214.839999999997</v>
      </c>
      <c r="Y34" s="2"/>
      <c r="Z34" s="7">
        <f t="shared" si="27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1997.5</v>
      </c>
      <c r="Q35" s="2"/>
      <c r="R35" s="7">
        <f t="shared" si="24"/>
        <v>4.3540075124339885E-3</v>
      </c>
      <c r="S35" s="2"/>
      <c r="T35" s="6">
        <v>7630.01</v>
      </c>
      <c r="U35" s="2"/>
      <c r="V35" s="7">
        <f t="shared" si="25"/>
        <v>1.573807115071572E-2</v>
      </c>
      <c r="W35" s="2"/>
      <c r="X35" s="6">
        <f t="shared" si="26"/>
        <v>-5632.51</v>
      </c>
      <c r="Y35" s="2"/>
      <c r="Z35" s="7">
        <f t="shared" si="27"/>
        <v>-0.7382047992073405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29.25</v>
      </c>
      <c r="Q36" s="2"/>
      <c r="R36" s="7">
        <f t="shared" si="24"/>
        <v>6.3757056189584052E-5</v>
      </c>
      <c r="S36" s="2"/>
      <c r="T36" s="6"/>
      <c r="U36" s="2"/>
      <c r="V36" s="7">
        <f t="shared" si="25"/>
        <v>0</v>
      </c>
      <c r="W36" s="2"/>
      <c r="X36" s="6">
        <f t="shared" si="26"/>
        <v>29.25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12216.54</v>
      </c>
      <c r="E37" s="2"/>
      <c r="F37" s="7">
        <f t="shared" si="20"/>
        <v>0.23377537429962342</v>
      </c>
      <c r="G37" s="2"/>
      <c r="H37" s="6">
        <v>13430.82</v>
      </c>
      <c r="I37" s="2"/>
      <c r="J37" s="7">
        <f t="shared" si="21"/>
        <v>0.26429434177016414</v>
      </c>
      <c r="K37" s="2"/>
      <c r="L37" s="6">
        <f t="shared" si="22"/>
        <v>-1214.2799999999988</v>
      </c>
      <c r="M37" s="2"/>
      <c r="N37" s="7">
        <f t="shared" si="23"/>
        <v>-9.0409967522459458E-2</v>
      </c>
      <c r="O37" s="11"/>
      <c r="P37" s="6">
        <v>90652.21</v>
      </c>
      <c r="Q37" s="2"/>
      <c r="R37" s="7">
        <f t="shared" si="24"/>
        <v>0.19759719817709315</v>
      </c>
      <c r="S37" s="2"/>
      <c r="T37" s="6">
        <v>90939.900000000009</v>
      </c>
      <c r="U37" s="2"/>
      <c r="V37" s="7">
        <f t="shared" si="25"/>
        <v>0.18757755450372576</v>
      </c>
      <c r="W37" s="2"/>
      <c r="X37" s="6">
        <f t="shared" si="26"/>
        <v>-287.69000000000233</v>
      </c>
      <c r="Y37" s="2"/>
      <c r="Z37" s="7">
        <f t="shared" si="27"/>
        <v>-3.1635178837892092E-3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456</v>
      </c>
      <c r="I38" s="2"/>
      <c r="J38" s="7">
        <f t="shared" si="21"/>
        <v>8.9732585089514153E-3</v>
      </c>
      <c r="K38" s="2"/>
      <c r="L38" s="6">
        <f t="shared" si="22"/>
        <v>-456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2950.25</v>
      </c>
      <c r="U38" s="2"/>
      <c r="V38" s="7">
        <f t="shared" si="25"/>
        <v>6.0853451584465881E-3</v>
      </c>
      <c r="W38" s="2"/>
      <c r="X38" s="6">
        <f t="shared" si="26"/>
        <v>-2950.25</v>
      </c>
      <c r="Y38" s="2"/>
      <c r="Z38" s="7">
        <f t="shared" si="27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77.64</v>
      </c>
      <c r="E39" s="1"/>
      <c r="F39" s="5">
        <f t="shared" ref="F39:F55" si="28">IF(D$12=0,0,D39/D$12)</f>
        <v>1.4857169100762377E-3</v>
      </c>
      <c r="G39" s="1"/>
      <c r="H39" s="1">
        <f>SUM(OSRRefH22_2x_0)</f>
        <v>1009.76</v>
      </c>
      <c r="I39" s="1"/>
      <c r="J39" s="5">
        <f t="shared" ref="J39:J55" si="29">IF(H$12=0,0,H39/H$12)</f>
        <v>1.9870257701751711E-2</v>
      </c>
      <c r="K39" s="1"/>
      <c r="L39" s="1">
        <f t="shared" ref="L39:L55" si="30">+D39-H39</f>
        <v>-932.12</v>
      </c>
      <c r="M39" s="1"/>
      <c r="N39" s="5">
        <f t="shared" ref="N39:N55" si="31">IF(H39=0,0,L39/H39)</f>
        <v>-0.92311044208524795</v>
      </c>
      <c r="O39" s="13"/>
      <c r="P39" s="1">
        <f>SUM(OSRRefP22_2x_0)</f>
        <v>688.21</v>
      </c>
      <c r="Q39" s="1"/>
      <c r="R39" s="5">
        <f t="shared" ref="R39:R55" si="32">IF(P$12=0,0,P39/P$12)</f>
        <v>1.5001108936832017E-3</v>
      </c>
      <c r="S39" s="1"/>
      <c r="T39" s="1">
        <f>SUM(OSRRefT22_2x_0)</f>
        <v>1611.92</v>
      </c>
      <c r="U39" s="1"/>
      <c r="V39" s="5">
        <f t="shared" ref="V39:V55" si="33">IF(T$12=0,0,T39/T$12)</f>
        <v>3.3248333421924325E-3</v>
      </c>
      <c r="W39" s="1"/>
      <c r="X39" s="1">
        <f t="shared" ref="X39:X55" si="34">+P39-T39</f>
        <v>-923.71</v>
      </c>
      <c r="Y39" s="1"/>
      <c r="Z39" s="5">
        <f t="shared" ref="Z39:Z55" si="35">IF(T39=0,0,X39/T39)</f>
        <v>-0.57304953099409395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77.64</v>
      </c>
      <c r="E40" s="2"/>
      <c r="F40" s="7">
        <f t="shared" si="28"/>
        <v>1.4857169100762377E-3</v>
      </c>
      <c r="G40" s="2"/>
      <c r="H40" s="6">
        <v>1009.76</v>
      </c>
      <c r="I40" s="2"/>
      <c r="J40" s="7">
        <f t="shared" si="29"/>
        <v>1.9870257701751711E-2</v>
      </c>
      <c r="K40" s="2"/>
      <c r="L40" s="6">
        <f t="shared" si="30"/>
        <v>-932.12</v>
      </c>
      <c r="M40" s="2"/>
      <c r="N40" s="7">
        <f t="shared" si="31"/>
        <v>-0.92311044208524795</v>
      </c>
      <c r="O40" s="11"/>
      <c r="P40" s="6">
        <v>688.21</v>
      </c>
      <c r="Q40" s="2"/>
      <c r="R40" s="7">
        <f t="shared" si="32"/>
        <v>1.5001108936832017E-3</v>
      </c>
      <c r="S40" s="2"/>
      <c r="T40" s="6">
        <v>1611.92</v>
      </c>
      <c r="U40" s="2"/>
      <c r="V40" s="7">
        <f t="shared" si="33"/>
        <v>3.3248333421924325E-3</v>
      </c>
      <c r="W40" s="2"/>
      <c r="X40" s="6">
        <f t="shared" si="34"/>
        <v>-923.71</v>
      </c>
      <c r="Y40" s="2"/>
      <c r="Z40" s="7">
        <f t="shared" si="35"/>
        <v>-0.57304953099409395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28.97</v>
      </c>
      <c r="E41" s="1"/>
      <c r="F41" s="5">
        <f t="shared" si="28"/>
        <v>5.5436912525642207E-4</v>
      </c>
      <c r="G41" s="1"/>
      <c r="H41" s="1">
        <f>SUM(OSRRefH22_3x_0)</f>
        <v>1939.03</v>
      </c>
      <c r="I41" s="1"/>
      <c r="J41" s="5">
        <f t="shared" si="29"/>
        <v>3.815661720748259E-2</v>
      </c>
      <c r="K41" s="1"/>
      <c r="L41" s="1">
        <f t="shared" si="30"/>
        <v>-1910.06</v>
      </c>
      <c r="M41" s="1"/>
      <c r="N41" s="5">
        <f t="shared" si="31"/>
        <v>-0.98505954007931795</v>
      </c>
      <c r="O41" s="13"/>
      <c r="P41" s="1">
        <f>SUM(OSRRefP22_3x_0)</f>
        <v>38.89</v>
      </c>
      <c r="Q41" s="1"/>
      <c r="R41" s="5">
        <f t="shared" si="32"/>
        <v>8.4769638126937577E-5</v>
      </c>
      <c r="S41" s="1"/>
      <c r="T41" s="1">
        <f>SUM(OSRRefT22_3x_0)</f>
        <v>2089.4299999999998</v>
      </c>
      <c r="U41" s="1"/>
      <c r="V41" s="5">
        <f t="shared" si="33"/>
        <v>4.3097712852853331E-3</v>
      </c>
      <c r="W41" s="1"/>
      <c r="X41" s="1">
        <f t="shared" si="34"/>
        <v>-2050.54</v>
      </c>
      <c r="Y41" s="1"/>
      <c r="Z41" s="5">
        <f t="shared" si="35"/>
        <v>-0.98138726829805267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>
        <v>28.97</v>
      </c>
      <c r="E42" s="2"/>
      <c r="F42" s="7">
        <f t="shared" si="28"/>
        <v>5.5436912525642207E-4</v>
      </c>
      <c r="G42" s="2"/>
      <c r="H42" s="6">
        <v>1939.03</v>
      </c>
      <c r="I42" s="2"/>
      <c r="J42" s="7">
        <f t="shared" si="29"/>
        <v>3.815661720748259E-2</v>
      </c>
      <c r="K42" s="2"/>
      <c r="L42" s="6">
        <f t="shared" si="30"/>
        <v>-1910.06</v>
      </c>
      <c r="M42" s="2"/>
      <c r="N42" s="7">
        <f t="shared" si="31"/>
        <v>-0.98505954007931795</v>
      </c>
      <c r="O42" s="11"/>
      <c r="P42" s="6">
        <v>38.89</v>
      </c>
      <c r="Q42" s="2"/>
      <c r="R42" s="7">
        <f t="shared" si="32"/>
        <v>8.4769638126937577E-5</v>
      </c>
      <c r="S42" s="2"/>
      <c r="T42" s="6">
        <v>2089.4299999999998</v>
      </c>
      <c r="U42" s="2"/>
      <c r="V42" s="7">
        <f t="shared" si="33"/>
        <v>4.3097712852853331E-3</v>
      </c>
      <c r="W42" s="2"/>
      <c r="X42" s="6">
        <f t="shared" si="34"/>
        <v>-2050.54</v>
      </c>
      <c r="Y42" s="2"/>
      <c r="Z42" s="7">
        <f t="shared" si="35"/>
        <v>-0.98138726829805267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1407.35</v>
      </c>
      <c r="E43" s="1"/>
      <c r="F43" s="5">
        <f t="shared" si="28"/>
        <v>2.6931010991702642E-2</v>
      </c>
      <c r="G43" s="1"/>
      <c r="H43" s="1">
        <f>SUM(OSRRefH22_4x_0)</f>
        <v>1712.85</v>
      </c>
      <c r="I43" s="1"/>
      <c r="J43" s="5">
        <f t="shared" si="29"/>
        <v>3.3705802274248749E-2</v>
      </c>
      <c r="K43" s="1"/>
      <c r="L43" s="1">
        <f t="shared" si="30"/>
        <v>-305.5</v>
      </c>
      <c r="M43" s="1"/>
      <c r="N43" s="5">
        <f t="shared" si="31"/>
        <v>-0.17835770791371108</v>
      </c>
      <c r="O43" s="13"/>
      <c r="P43" s="1">
        <f>SUM(OSRRefP22_4x_0)</f>
        <v>14494.36</v>
      </c>
      <c r="Q43" s="1"/>
      <c r="R43" s="5">
        <f t="shared" si="32"/>
        <v>3.1593768374429392E-2</v>
      </c>
      <c r="S43" s="1"/>
      <c r="T43" s="1">
        <f>SUM(OSRRefT22_4x_0)</f>
        <v>16203.6</v>
      </c>
      <c r="U43" s="1"/>
      <c r="V43" s="5">
        <f t="shared" si="33"/>
        <v>3.3422421425101309E-2</v>
      </c>
      <c r="W43" s="1"/>
      <c r="X43" s="1">
        <f t="shared" si="34"/>
        <v>-1709.2399999999998</v>
      </c>
      <c r="Y43" s="1"/>
      <c r="Z43" s="5">
        <f t="shared" si="35"/>
        <v>-0.10548520081957094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1407.35</v>
      </c>
      <c r="E44" s="2"/>
      <c r="F44" s="7">
        <f t="shared" si="28"/>
        <v>2.6931010991702642E-2</v>
      </c>
      <c r="G44" s="2"/>
      <c r="H44" s="6">
        <v>1712.85</v>
      </c>
      <c r="I44" s="2"/>
      <c r="J44" s="7">
        <f t="shared" si="29"/>
        <v>3.3705802274248749E-2</v>
      </c>
      <c r="K44" s="2"/>
      <c r="L44" s="6">
        <f t="shared" si="30"/>
        <v>-305.5</v>
      </c>
      <c r="M44" s="2"/>
      <c r="N44" s="7">
        <f t="shared" si="31"/>
        <v>-0.17835770791371108</v>
      </c>
      <c r="O44" s="11"/>
      <c r="P44" s="6">
        <v>14494.36</v>
      </c>
      <c r="Q44" s="2"/>
      <c r="R44" s="7">
        <f t="shared" si="32"/>
        <v>3.1593768374429392E-2</v>
      </c>
      <c r="S44" s="2"/>
      <c r="T44" s="6">
        <v>16203.6</v>
      </c>
      <c r="U44" s="2"/>
      <c r="V44" s="7">
        <f t="shared" si="33"/>
        <v>3.3422421425101309E-2</v>
      </c>
      <c r="W44" s="2"/>
      <c r="X44" s="6">
        <f t="shared" si="34"/>
        <v>-1709.2399999999998</v>
      </c>
      <c r="Y44" s="2"/>
      <c r="Z44" s="7">
        <f t="shared" si="35"/>
        <v>-0.10548520081957094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2067.34</v>
      </c>
      <c r="E45" s="1"/>
      <c r="F45" s="5">
        <f t="shared" si="28"/>
        <v>3.9560561525978997E-2</v>
      </c>
      <c r="G45" s="1"/>
      <c r="H45" s="1">
        <f>SUM(OSRRefH22_5x_0)</f>
        <v>1147.5899999999999</v>
      </c>
      <c r="I45" s="1"/>
      <c r="J45" s="5">
        <f t="shared" si="29"/>
        <v>2.2582503798876215E-2</v>
      </c>
      <c r="K45" s="1"/>
      <c r="L45" s="1">
        <f t="shared" si="30"/>
        <v>919.75000000000023</v>
      </c>
      <c r="M45" s="1"/>
      <c r="N45" s="5">
        <f t="shared" si="31"/>
        <v>0.80146219468625579</v>
      </c>
      <c r="O45" s="13"/>
      <c r="P45" s="1">
        <f>SUM(OSRRefP22_5x_0)</f>
        <v>12372.63</v>
      </c>
      <c r="Q45" s="1"/>
      <c r="R45" s="5">
        <f t="shared" si="32"/>
        <v>2.6968973200784046E-2</v>
      </c>
      <c r="S45" s="1"/>
      <c r="T45" s="1">
        <f>SUM(OSRRefT22_5x_0)</f>
        <v>8033.13</v>
      </c>
      <c r="U45" s="1"/>
      <c r="V45" s="5">
        <f t="shared" si="33"/>
        <v>1.6569568257833078E-2</v>
      </c>
      <c r="W45" s="1"/>
      <c r="X45" s="1">
        <f t="shared" si="34"/>
        <v>4339.4999999999991</v>
      </c>
      <c r="Y45" s="1"/>
      <c r="Z45" s="5">
        <f t="shared" si="35"/>
        <v>0.54020039511373508</v>
      </c>
    </row>
    <row r="46" spans="1:26" s="24" customFormat="1" hidden="1" outlineLevel="2" x14ac:dyDescent="0.25">
      <c r="A46" s="25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2067.34</v>
      </c>
      <c r="E46" s="2"/>
      <c r="F46" s="7">
        <f t="shared" si="28"/>
        <v>3.9560561525978997E-2</v>
      </c>
      <c r="G46" s="2"/>
      <c r="H46" s="6">
        <v>1147.5899999999999</v>
      </c>
      <c r="I46" s="2"/>
      <c r="J46" s="7">
        <f t="shared" si="29"/>
        <v>2.2582503798876215E-2</v>
      </c>
      <c r="K46" s="2"/>
      <c r="L46" s="6">
        <f t="shared" si="30"/>
        <v>919.75000000000023</v>
      </c>
      <c r="M46" s="2"/>
      <c r="N46" s="7">
        <f t="shared" si="31"/>
        <v>0.80146219468625579</v>
      </c>
      <c r="O46" s="11"/>
      <c r="P46" s="6">
        <v>12372.63</v>
      </c>
      <c r="Q46" s="2"/>
      <c r="R46" s="7">
        <f t="shared" si="32"/>
        <v>2.6968973200784046E-2</v>
      </c>
      <c r="S46" s="2"/>
      <c r="T46" s="6">
        <v>8033.13</v>
      </c>
      <c r="U46" s="2"/>
      <c r="V46" s="7">
        <f t="shared" si="33"/>
        <v>1.6569568257833078E-2</v>
      </c>
      <c r="W46" s="2"/>
      <c r="X46" s="6">
        <f t="shared" si="34"/>
        <v>4339.4999999999991</v>
      </c>
      <c r="Y46" s="2"/>
      <c r="Z46" s="7">
        <f t="shared" si="35"/>
        <v>0.54020039511373508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84.16</v>
      </c>
      <c r="E47" s="1"/>
      <c r="F47" s="5">
        <f t="shared" si="28"/>
        <v>1.6104834512109243E-3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84.16</v>
      </c>
      <c r="M47" s="1"/>
      <c r="N47" s="5">
        <f t="shared" si="31"/>
        <v>0</v>
      </c>
      <c r="O47" s="13"/>
      <c r="P47" s="1">
        <f>SUM(OSRRefP22_6x_0)</f>
        <v>236.02</v>
      </c>
      <c r="Q47" s="1"/>
      <c r="R47" s="5">
        <f t="shared" si="32"/>
        <v>5.1445950091848311E-4</v>
      </c>
      <c r="S47" s="1"/>
      <c r="T47" s="1">
        <f>SUM(OSRRefT22_6x_0)</f>
        <v>152.24</v>
      </c>
      <c r="U47" s="1"/>
      <c r="V47" s="5">
        <f t="shared" si="33"/>
        <v>3.140184550197131E-4</v>
      </c>
      <c r="W47" s="1"/>
      <c r="X47" s="1">
        <f t="shared" si="34"/>
        <v>83.78</v>
      </c>
      <c r="Y47" s="1"/>
      <c r="Z47" s="5">
        <f t="shared" si="35"/>
        <v>0.55031529164477144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>
        <v>84.16</v>
      </c>
      <c r="E48" s="2"/>
      <c r="F48" s="7">
        <f t="shared" si="28"/>
        <v>1.6104834512109243E-3</v>
      </c>
      <c r="G48" s="2"/>
      <c r="H48" s="6"/>
      <c r="I48" s="2"/>
      <c r="J48" s="7">
        <f t="shared" si="29"/>
        <v>0</v>
      </c>
      <c r="K48" s="2"/>
      <c r="L48" s="6">
        <f t="shared" si="30"/>
        <v>84.16</v>
      </c>
      <c r="M48" s="2"/>
      <c r="N48" s="7">
        <f t="shared" si="31"/>
        <v>0</v>
      </c>
      <c r="O48" s="11"/>
      <c r="P48" s="6">
        <v>236.02</v>
      </c>
      <c r="Q48" s="2"/>
      <c r="R48" s="7">
        <f t="shared" si="32"/>
        <v>5.1445950091848311E-4</v>
      </c>
      <c r="S48" s="2"/>
      <c r="T48" s="6">
        <v>152.24</v>
      </c>
      <c r="U48" s="2"/>
      <c r="V48" s="7">
        <f t="shared" si="33"/>
        <v>3.140184550197131E-4</v>
      </c>
      <c r="W48" s="2"/>
      <c r="X48" s="6">
        <f t="shared" si="34"/>
        <v>83.78</v>
      </c>
      <c r="Y48" s="2"/>
      <c r="Z48" s="7">
        <f t="shared" si="35"/>
        <v>0.55031529164477144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118.91</v>
      </c>
      <c r="E49" s="1"/>
      <c r="F49" s="5">
        <f t="shared" si="28"/>
        <v>2.2754584979026975E-3</v>
      </c>
      <c r="G49" s="1"/>
      <c r="H49" s="1">
        <f>SUM(OSRRefH22_7x_0)</f>
        <v>118.91</v>
      </c>
      <c r="I49" s="1"/>
      <c r="J49" s="5">
        <f t="shared" si="29"/>
        <v>2.3399345817969579E-3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SUM(OSRRefP22_7x_0)</f>
        <v>832.37</v>
      </c>
      <c r="Q49" s="1"/>
      <c r="R49" s="5">
        <f t="shared" si="32"/>
        <v>1.8143405422401395E-3</v>
      </c>
      <c r="S49" s="1"/>
      <c r="T49" s="1">
        <f>SUM(OSRRefT22_7x_0)</f>
        <v>832.37</v>
      </c>
      <c r="U49" s="1"/>
      <c r="V49" s="5">
        <f t="shared" si="33"/>
        <v>1.7168913649813359E-3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118.91</v>
      </c>
      <c r="E50" s="2"/>
      <c r="F50" s="7">
        <f t="shared" si="28"/>
        <v>2.2754584979026975E-3</v>
      </c>
      <c r="G50" s="2"/>
      <c r="H50" s="6">
        <v>118.91</v>
      </c>
      <c r="I50" s="2"/>
      <c r="J50" s="7">
        <f t="shared" si="29"/>
        <v>2.3399345817969579E-3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832.37</v>
      </c>
      <c r="Q50" s="2"/>
      <c r="R50" s="7">
        <f t="shared" si="32"/>
        <v>1.8143405422401395E-3</v>
      </c>
      <c r="S50" s="2"/>
      <c r="T50" s="6">
        <v>832.37</v>
      </c>
      <c r="U50" s="2"/>
      <c r="V50" s="7">
        <f t="shared" si="33"/>
        <v>1.7168913649813359E-3</v>
      </c>
      <c r="W50" s="2"/>
      <c r="X50" s="6">
        <f t="shared" si="34"/>
        <v>0</v>
      </c>
      <c r="Y50" s="2"/>
      <c r="Z50" s="7">
        <f t="shared" si="35"/>
        <v>0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1098.72</v>
      </c>
      <c r="E51" s="1"/>
      <c r="F51" s="5">
        <f t="shared" si="28"/>
        <v>2.1025075778451367E-2</v>
      </c>
      <c r="G51" s="1"/>
      <c r="H51" s="1">
        <f>SUM(OSRRefH22_8x_0)</f>
        <v>1143.0899999999999</v>
      </c>
      <c r="I51" s="1"/>
      <c r="J51" s="5">
        <f t="shared" si="29"/>
        <v>2.2493951905695773E-2</v>
      </c>
      <c r="K51" s="1"/>
      <c r="L51" s="1">
        <f t="shared" si="30"/>
        <v>-44.369999999999891</v>
      </c>
      <c r="M51" s="1"/>
      <c r="N51" s="5">
        <f t="shared" si="31"/>
        <v>-3.8815841272340668E-2</v>
      </c>
      <c r="O51" s="13"/>
      <c r="P51" s="1">
        <f>SUM(OSRRefP22_8x_0)</f>
        <v>7237.23</v>
      </c>
      <c r="Q51" s="1"/>
      <c r="R51" s="5">
        <f t="shared" si="32"/>
        <v>1.5775195889468151E-2</v>
      </c>
      <c r="S51" s="1"/>
      <c r="T51" s="1">
        <f>SUM(OSRRefT22_8x_0)</f>
        <v>7926.04</v>
      </c>
      <c r="U51" s="1"/>
      <c r="V51" s="5">
        <f t="shared" si="33"/>
        <v>1.6348678633896784E-2</v>
      </c>
      <c r="W51" s="1"/>
      <c r="X51" s="1">
        <f t="shared" si="34"/>
        <v>-688.8100000000004</v>
      </c>
      <c r="Y51" s="1"/>
      <c r="Z51" s="5">
        <f t="shared" si="35"/>
        <v>-8.6904683801747207E-2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>
        <v>1098.72</v>
      </c>
      <c r="E52" s="2"/>
      <c r="F52" s="7">
        <f t="shared" si="28"/>
        <v>2.1025075778451367E-2</v>
      </c>
      <c r="G52" s="2"/>
      <c r="H52" s="6">
        <v>1143.0899999999999</v>
      </c>
      <c r="I52" s="2"/>
      <c r="J52" s="7">
        <f t="shared" si="29"/>
        <v>2.2493951905695773E-2</v>
      </c>
      <c r="K52" s="2"/>
      <c r="L52" s="6">
        <f t="shared" si="30"/>
        <v>-44.369999999999891</v>
      </c>
      <c r="M52" s="2"/>
      <c r="N52" s="7">
        <f t="shared" si="31"/>
        <v>-3.8815841272340668E-2</v>
      </c>
      <c r="O52" s="11"/>
      <c r="P52" s="6">
        <v>7237.23</v>
      </c>
      <c r="Q52" s="2"/>
      <c r="R52" s="7">
        <f t="shared" si="32"/>
        <v>1.5775195889468151E-2</v>
      </c>
      <c r="S52" s="2"/>
      <c r="T52" s="6">
        <v>7926.04</v>
      </c>
      <c r="U52" s="2"/>
      <c r="V52" s="7">
        <f t="shared" si="33"/>
        <v>1.6348678633896784E-2</v>
      </c>
      <c r="W52" s="2"/>
      <c r="X52" s="6">
        <f t="shared" si="34"/>
        <v>-688.8100000000004</v>
      </c>
      <c r="Y52" s="2"/>
      <c r="Z52" s="7">
        <f t="shared" si="35"/>
        <v>-8.6904683801747207E-2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1017.43</v>
      </c>
      <c r="E53" s="1"/>
      <c r="F53" s="5">
        <f t="shared" si="28"/>
        <v>1.9469512568506781E-2</v>
      </c>
      <c r="G53" s="1"/>
      <c r="H53" s="1">
        <f>SUM(OSRRefH22_9x_0)</f>
        <v>727.9</v>
      </c>
      <c r="I53" s="1"/>
      <c r="J53" s="5">
        <f t="shared" si="29"/>
        <v>1.4323760676898542E-2</v>
      </c>
      <c r="K53" s="1"/>
      <c r="L53" s="1">
        <f t="shared" si="30"/>
        <v>289.52999999999997</v>
      </c>
      <c r="M53" s="1"/>
      <c r="N53" s="5">
        <f t="shared" si="31"/>
        <v>0.39776068141228188</v>
      </c>
      <c r="O53" s="13"/>
      <c r="P53" s="1">
        <f>SUM(OSRRefP22_9x_0)</f>
        <v>5422.34</v>
      </c>
      <c r="Q53" s="1"/>
      <c r="R53" s="5">
        <f t="shared" si="32"/>
        <v>1.1819228583214676E-2</v>
      </c>
      <c r="S53" s="1"/>
      <c r="T53" s="1">
        <f>SUM(OSRRefT22_9x_0)</f>
        <v>6129.34</v>
      </c>
      <c r="U53" s="1"/>
      <c r="V53" s="5">
        <f t="shared" si="33"/>
        <v>1.2642708073374464E-2</v>
      </c>
      <c r="W53" s="1"/>
      <c r="X53" s="1">
        <f t="shared" si="34"/>
        <v>-707</v>
      </c>
      <c r="Y53" s="1"/>
      <c r="Z53" s="5">
        <f t="shared" si="35"/>
        <v>-0.11534683995340445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>
        <v>348.08</v>
      </c>
      <c r="I54" s="2"/>
      <c r="J54" s="7">
        <f t="shared" si="29"/>
        <v>6.8495873284995798E-3</v>
      </c>
      <c r="K54" s="2"/>
      <c r="L54" s="6">
        <f t="shared" si="30"/>
        <v>-348.08</v>
      </c>
      <c r="M54" s="2"/>
      <c r="N54" s="7">
        <f t="shared" si="31"/>
        <v>-1</v>
      </c>
      <c r="O54" s="11"/>
      <c r="P54" s="6">
        <v>240.39</v>
      </c>
      <c r="Q54" s="2"/>
      <c r="R54" s="7">
        <f t="shared" si="32"/>
        <v>5.2398491409962771E-4</v>
      </c>
      <c r="S54" s="2"/>
      <c r="T54" s="6">
        <v>570.02</v>
      </c>
      <c r="U54" s="2"/>
      <c r="V54" s="7">
        <f t="shared" si="33"/>
        <v>1.1757540707457753E-3</v>
      </c>
      <c r="W54" s="2"/>
      <c r="X54" s="6">
        <f t="shared" si="34"/>
        <v>-329.63</v>
      </c>
      <c r="Y54" s="2"/>
      <c r="Z54" s="7">
        <f t="shared" si="35"/>
        <v>-0.57827795515946812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1017.43</v>
      </c>
      <c r="E55" s="2"/>
      <c r="F55" s="7">
        <f t="shared" si="28"/>
        <v>1.9469512568506781E-2</v>
      </c>
      <c r="G55" s="2"/>
      <c r="H55" s="6">
        <v>379.82</v>
      </c>
      <c r="I55" s="2"/>
      <c r="J55" s="7">
        <f t="shared" si="29"/>
        <v>7.4741733483989613E-3</v>
      </c>
      <c r="K55" s="2"/>
      <c r="L55" s="6">
        <f t="shared" si="30"/>
        <v>637.6099999999999</v>
      </c>
      <c r="M55" s="2"/>
      <c r="N55" s="7">
        <f t="shared" si="31"/>
        <v>1.6787162340055815</v>
      </c>
      <c r="O55" s="11"/>
      <c r="P55" s="6">
        <v>5181.95</v>
      </c>
      <c r="Q55" s="2"/>
      <c r="R55" s="7">
        <f t="shared" si="32"/>
        <v>1.1295243669115046E-2</v>
      </c>
      <c r="S55" s="2"/>
      <c r="T55" s="6">
        <v>5559.32</v>
      </c>
      <c r="U55" s="2"/>
      <c r="V55" s="7">
        <f t="shared" si="33"/>
        <v>1.1466954002628687E-2</v>
      </c>
      <c r="W55" s="2"/>
      <c r="X55" s="6">
        <f t="shared" si="34"/>
        <v>-377.36999999999989</v>
      </c>
      <c r="Y55" s="2"/>
      <c r="Z55" s="7">
        <f t="shared" si="35"/>
        <v>-6.7880604102660017E-2</v>
      </c>
    </row>
    <row r="56" spans="1:26" s="26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4180.6400000000003</v>
      </c>
      <c r="E56" s="1"/>
      <c r="F56" s="5">
        <f t="shared" ref="F56:F69" si="36">IF(D$12=0,0,D56/D$12)</f>
        <v>8.0000612351122144E-2</v>
      </c>
      <c r="G56" s="1"/>
      <c r="H56" s="1">
        <f>SUM(OSRRefH22_10x_0)</f>
        <v>4063.76</v>
      </c>
      <c r="I56" s="1"/>
      <c r="J56" s="5">
        <f t="shared" ref="J56:J69" si="37">IF(H$12=0,0,H56/H$12)</f>
        <v>7.9967475873544747E-2</v>
      </c>
      <c r="K56" s="1"/>
      <c r="L56" s="1">
        <f t="shared" ref="L56:L69" si="38">+D56-H56</f>
        <v>116.88000000000011</v>
      </c>
      <c r="M56" s="1"/>
      <c r="N56" s="5">
        <f t="shared" ref="N56:N69" si="39">IF(H56=0,0,L56/H56)</f>
        <v>2.8761541035887971E-2</v>
      </c>
      <c r="O56" s="13"/>
      <c r="P56" s="1">
        <f>SUM(OSRRefP22_10x_0)</f>
        <v>33482</v>
      </c>
      <c r="Q56" s="1"/>
      <c r="R56" s="5">
        <f t="shared" ref="R56:R69" si="40">IF(P$12=0,0,P56/P$12)</f>
        <v>7.2981666849218918E-2</v>
      </c>
      <c r="S56" s="1"/>
      <c r="T56" s="1">
        <f>SUM(OSRRefT22_10x_0)</f>
        <v>38710.480000000003</v>
      </c>
      <c r="U56" s="1"/>
      <c r="V56" s="5">
        <f t="shared" ref="V56:V69" si="41">IF(T$12=0,0,T56/T$12)</f>
        <v>7.9846328971830693E-2</v>
      </c>
      <c r="W56" s="1"/>
      <c r="X56" s="1">
        <f t="shared" ref="X56:X69" si="42">+P56-T56</f>
        <v>-5228.4800000000032</v>
      </c>
      <c r="Y56" s="1"/>
      <c r="Z56" s="5">
        <f t="shared" ref="Z56:Z69" si="43">IF(T56=0,0,X56/T56)</f>
        <v>-0.1350662662927456</v>
      </c>
    </row>
    <row r="57" spans="1:26" s="24" customFormat="1" hidden="1" outlineLevel="2" x14ac:dyDescent="0.25">
      <c r="A57" s="25"/>
      <c r="B57" s="11" t="str">
        <f>CONCATENATE("          ", "6259", " - ", "ROYALTY &amp; COMMISSIONS")</f>
        <v xml:space="preserve">          6259 - ROYALTY &amp; COMMISSIONS</v>
      </c>
      <c r="C57" s="11"/>
      <c r="D57" s="6">
        <v>4180.6400000000003</v>
      </c>
      <c r="E57" s="2"/>
      <c r="F57" s="7">
        <f t="shared" si="36"/>
        <v>8.0000612351122144E-2</v>
      </c>
      <c r="G57" s="2"/>
      <c r="H57" s="6">
        <v>4063.76</v>
      </c>
      <c r="I57" s="2"/>
      <c r="J57" s="7">
        <f t="shared" si="37"/>
        <v>7.9967475873544747E-2</v>
      </c>
      <c r="K57" s="2"/>
      <c r="L57" s="6">
        <f t="shared" si="38"/>
        <v>116.88000000000011</v>
      </c>
      <c r="M57" s="2"/>
      <c r="N57" s="7">
        <f t="shared" si="39"/>
        <v>2.8761541035887971E-2</v>
      </c>
      <c r="O57" s="11"/>
      <c r="P57" s="6">
        <v>33482</v>
      </c>
      <c r="Q57" s="2"/>
      <c r="R57" s="7">
        <f t="shared" si="40"/>
        <v>7.2981666849218918E-2</v>
      </c>
      <c r="S57" s="2"/>
      <c r="T57" s="6">
        <v>38710.480000000003</v>
      </c>
      <c r="U57" s="2"/>
      <c r="V57" s="7">
        <f t="shared" si="41"/>
        <v>7.9846328971830693E-2</v>
      </c>
      <c r="W57" s="2"/>
      <c r="X57" s="6">
        <f t="shared" si="42"/>
        <v>-5228.4800000000032</v>
      </c>
      <c r="Y57" s="2"/>
      <c r="Z57" s="7">
        <f t="shared" si="43"/>
        <v>-0.1350662662927456</v>
      </c>
    </row>
    <row r="58" spans="1:26" s="26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81.25</v>
      </c>
      <c r="E58" s="1"/>
      <c r="F58" s="5">
        <f t="shared" si="36"/>
        <v>1.5547977710419156E-3</v>
      </c>
      <c r="G58" s="1"/>
      <c r="H58" s="1">
        <f>SUM(OSRRefH22_11x_0)</f>
        <v>81.25</v>
      </c>
      <c r="I58" s="1"/>
      <c r="J58" s="5">
        <f t="shared" si="37"/>
        <v>1.5988536268690843E-3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SUM(OSRRefP22_11x_0)</f>
        <v>411.1</v>
      </c>
      <c r="Q58" s="1"/>
      <c r="R58" s="5">
        <f t="shared" si="40"/>
        <v>8.9608635212095754E-4</v>
      </c>
      <c r="S58" s="1"/>
      <c r="T58" s="1">
        <f>SUM(OSRRefT22_11x_0)</f>
        <v>384.15</v>
      </c>
      <c r="U58" s="1"/>
      <c r="V58" s="5">
        <f t="shared" si="41"/>
        <v>7.9236855948385952E-4</v>
      </c>
      <c r="W58" s="1"/>
      <c r="X58" s="1">
        <f t="shared" si="42"/>
        <v>26.950000000000045</v>
      </c>
      <c r="Y58" s="1"/>
      <c r="Z58" s="5">
        <f t="shared" si="43"/>
        <v>7.0154887413770781E-2</v>
      </c>
    </row>
    <row r="59" spans="1:26" s="24" customFormat="1" hidden="1" outlineLevel="2" x14ac:dyDescent="0.25">
      <c r="A59" s="25"/>
      <c r="B59" s="11" t="str">
        <f>CONCATENATE("          ", "6286", " - ", "LAUNDRY EXPENSE")</f>
        <v xml:space="preserve">          6286 - LAUNDRY EXPENSE</v>
      </c>
      <c r="C59" s="11"/>
      <c r="D59" s="6">
        <v>81.25</v>
      </c>
      <c r="E59" s="2"/>
      <c r="F59" s="7">
        <f t="shared" si="36"/>
        <v>1.5547977710419156E-3</v>
      </c>
      <c r="G59" s="2"/>
      <c r="H59" s="6">
        <v>81.25</v>
      </c>
      <c r="I59" s="2"/>
      <c r="J59" s="7">
        <f t="shared" si="37"/>
        <v>1.5988536268690843E-3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411.1</v>
      </c>
      <c r="Q59" s="2"/>
      <c r="R59" s="7">
        <f t="shared" si="40"/>
        <v>8.9608635212095754E-4</v>
      </c>
      <c r="S59" s="2"/>
      <c r="T59" s="6">
        <v>384.15</v>
      </c>
      <c r="U59" s="2"/>
      <c r="V59" s="7">
        <f t="shared" si="41"/>
        <v>7.9236855948385952E-4</v>
      </c>
      <c r="W59" s="2"/>
      <c r="X59" s="6">
        <f t="shared" si="42"/>
        <v>26.950000000000045</v>
      </c>
      <c r="Y59" s="2"/>
      <c r="Z59" s="7">
        <f t="shared" si="43"/>
        <v>7.0154887413770781E-2</v>
      </c>
    </row>
    <row r="60" spans="1:26" s="26" customFormat="1" outlineLevel="1" collapsed="1" x14ac:dyDescent="0.25">
      <c r="A60" s="27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30.68</v>
      </c>
      <c r="E60" s="1"/>
      <c r="F60" s="5">
        <f t="shared" si="36"/>
        <v>5.8709163834542728E-4</v>
      </c>
      <c r="G60" s="1"/>
      <c r="H60" s="1">
        <f>SUM(OSRRefH22_12x_0)</f>
        <v>0</v>
      </c>
      <c r="I60" s="1"/>
      <c r="J60" s="5">
        <f t="shared" si="37"/>
        <v>0</v>
      </c>
      <c r="K60" s="1"/>
      <c r="L60" s="1">
        <f t="shared" si="38"/>
        <v>30.68</v>
      </c>
      <c r="M60" s="1"/>
      <c r="N60" s="5">
        <f t="shared" si="39"/>
        <v>0</v>
      </c>
      <c r="O60" s="13"/>
      <c r="P60" s="1">
        <f>SUM(OSRRefP22_12x_0)</f>
        <v>122.72</v>
      </c>
      <c r="Q60" s="1"/>
      <c r="R60" s="5">
        <f t="shared" si="40"/>
        <v>2.6749627130207709E-4</v>
      </c>
      <c r="S60" s="1"/>
      <c r="T60" s="1">
        <f>SUM(OSRRefT22_12x_0)</f>
        <v>122.72</v>
      </c>
      <c r="U60" s="1"/>
      <c r="V60" s="5">
        <f t="shared" si="41"/>
        <v>2.5312890698909085E-4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5"/>
      <c r="B61" s="11" t="str">
        <f>CONCATENATE("          ", "6275", " - ", "SUBSCRIPTIONS")</f>
        <v xml:space="preserve">          6275 - SUBSCRIPTIONS</v>
      </c>
      <c r="C61" s="11"/>
      <c r="D61" s="6">
        <v>30.68</v>
      </c>
      <c r="E61" s="2"/>
      <c r="F61" s="7">
        <f t="shared" si="36"/>
        <v>5.8709163834542728E-4</v>
      </c>
      <c r="G61" s="2"/>
      <c r="H61" s="6"/>
      <c r="I61" s="2"/>
      <c r="J61" s="7">
        <f t="shared" si="37"/>
        <v>0</v>
      </c>
      <c r="K61" s="2"/>
      <c r="L61" s="6">
        <f t="shared" si="38"/>
        <v>30.68</v>
      </c>
      <c r="M61" s="2"/>
      <c r="N61" s="7">
        <f t="shared" si="39"/>
        <v>0</v>
      </c>
      <c r="O61" s="11"/>
      <c r="P61" s="6">
        <v>122.72</v>
      </c>
      <c r="Q61" s="2"/>
      <c r="R61" s="7">
        <f t="shared" si="40"/>
        <v>2.6749627130207709E-4</v>
      </c>
      <c r="S61" s="2"/>
      <c r="T61" s="6">
        <v>122.72</v>
      </c>
      <c r="U61" s="2"/>
      <c r="V61" s="7">
        <f t="shared" si="41"/>
        <v>2.5312890698909085E-4</v>
      </c>
      <c r="W61" s="2"/>
      <c r="X61" s="6">
        <f t="shared" si="42"/>
        <v>0</v>
      </c>
      <c r="Y61" s="2"/>
      <c r="Z61" s="7">
        <f t="shared" si="43"/>
        <v>0</v>
      </c>
    </row>
    <row r="62" spans="1:26" s="26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1093.06</v>
      </c>
      <c r="E62" s="1"/>
      <c r="F62" s="5">
        <f t="shared" si="36"/>
        <v>2.0916766173724014E-2</v>
      </c>
      <c r="G62" s="1"/>
      <c r="H62" s="1">
        <f>SUM(OSRRefH22_13x_0)</f>
        <v>1103.1799999999998</v>
      </c>
      <c r="I62" s="1"/>
      <c r="J62" s="5">
        <f t="shared" si="37"/>
        <v>2.1708595004177676E-2</v>
      </c>
      <c r="K62" s="1"/>
      <c r="L62" s="1">
        <f t="shared" si="38"/>
        <v>-10.119999999999891</v>
      </c>
      <c r="M62" s="1"/>
      <c r="N62" s="5">
        <f t="shared" si="39"/>
        <v>-9.1734803023984235E-3</v>
      </c>
      <c r="O62" s="13"/>
      <c r="P62" s="1">
        <f>SUM(OSRRefP22_13x_0)</f>
        <v>8711.5999999999985</v>
      </c>
      <c r="Q62" s="1"/>
      <c r="R62" s="5">
        <f t="shared" si="40"/>
        <v>1.8988922075254031E-2</v>
      </c>
      <c r="S62" s="1"/>
      <c r="T62" s="1">
        <f>SUM(OSRRefT22_13x_0)</f>
        <v>6366.92</v>
      </c>
      <c r="U62" s="1"/>
      <c r="V62" s="5">
        <f t="shared" si="41"/>
        <v>1.3132753426393272E-2</v>
      </c>
      <c r="W62" s="1"/>
      <c r="X62" s="1">
        <f t="shared" si="42"/>
        <v>2344.6799999999985</v>
      </c>
      <c r="Y62" s="1"/>
      <c r="Z62" s="5">
        <f t="shared" si="43"/>
        <v>0.36825969228449523</v>
      </c>
    </row>
    <row r="63" spans="1:26" s="24" customFormat="1" hidden="1" outlineLevel="2" x14ac:dyDescent="0.25">
      <c r="A63" s="25"/>
      <c r="B63" s="11" t="str">
        <f>CONCATENATE("          ", "6237", " - ", "JANITORIAL SUPPLIES")</f>
        <v xml:space="preserve">          6237 - JANITORIAL SUPPLIES</v>
      </c>
      <c r="C63" s="11"/>
      <c r="D63" s="6">
        <v>38</v>
      </c>
      <c r="E63" s="2"/>
      <c r="F63" s="7">
        <f t="shared" si="36"/>
        <v>7.2716695753344968E-4</v>
      </c>
      <c r="G63" s="2"/>
      <c r="H63" s="6">
        <v>70.69</v>
      </c>
      <c r="I63" s="2"/>
      <c r="J63" s="7">
        <f t="shared" si="37"/>
        <v>1.3910518508723148E-3</v>
      </c>
      <c r="K63" s="2"/>
      <c r="L63" s="6">
        <f t="shared" si="38"/>
        <v>-32.69</v>
      </c>
      <c r="M63" s="2"/>
      <c r="N63" s="7">
        <f t="shared" si="39"/>
        <v>-0.46244164662611398</v>
      </c>
      <c r="O63" s="11"/>
      <c r="P63" s="6">
        <v>236.84</v>
      </c>
      <c r="Q63" s="2"/>
      <c r="R63" s="7">
        <f t="shared" si="40"/>
        <v>5.1624687822020819E-4</v>
      </c>
      <c r="S63" s="2"/>
      <c r="T63" s="6">
        <v>70.69</v>
      </c>
      <c r="U63" s="2"/>
      <c r="V63" s="7">
        <f t="shared" si="41"/>
        <v>1.4580901593105305E-4</v>
      </c>
      <c r="W63" s="2"/>
      <c r="X63" s="6">
        <f t="shared" si="42"/>
        <v>166.15</v>
      </c>
      <c r="Y63" s="2"/>
      <c r="Z63" s="7">
        <f t="shared" si="43"/>
        <v>2.3504031687650304</v>
      </c>
    </row>
    <row r="64" spans="1:26" s="24" customFormat="1" hidden="1" outlineLevel="2" x14ac:dyDescent="0.25">
      <c r="A64" s="25"/>
      <c r="B64" s="11" t="str">
        <f>CONCATENATE("          ", "6239", " - ", "KITCHEN SUPPLIES")</f>
        <v xml:space="preserve">          6239 - KITCHEN SUPPLIES</v>
      </c>
      <c r="C64" s="11"/>
      <c r="D64" s="6">
        <v>9.06</v>
      </c>
      <c r="E64" s="2"/>
      <c r="F64" s="7">
        <f t="shared" si="36"/>
        <v>1.7337191145402775E-4</v>
      </c>
      <c r="G64" s="2"/>
      <c r="H64" s="6">
        <v>470.96</v>
      </c>
      <c r="I64" s="2"/>
      <c r="J64" s="7">
        <f t="shared" si="37"/>
        <v>9.2676443582801714E-3</v>
      </c>
      <c r="K64" s="2"/>
      <c r="L64" s="6">
        <f t="shared" si="38"/>
        <v>-461.9</v>
      </c>
      <c r="M64" s="2"/>
      <c r="N64" s="7">
        <f t="shared" si="39"/>
        <v>-0.98076269746899947</v>
      </c>
      <c r="O64" s="11"/>
      <c r="P64" s="6">
        <v>1899.31</v>
      </c>
      <c r="Q64" s="2"/>
      <c r="R64" s="7">
        <f t="shared" si="40"/>
        <v>4.1399799791944922E-3</v>
      </c>
      <c r="S64" s="2"/>
      <c r="T64" s="6">
        <v>1799.82</v>
      </c>
      <c r="U64" s="2"/>
      <c r="V64" s="7">
        <f t="shared" si="41"/>
        <v>3.7124060412084864E-3</v>
      </c>
      <c r="W64" s="2"/>
      <c r="X64" s="6">
        <f t="shared" si="42"/>
        <v>99.490000000000009</v>
      </c>
      <c r="Y64" s="2"/>
      <c r="Z64" s="7">
        <f t="shared" si="43"/>
        <v>5.5277749997221952E-2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6">
        <v>122.87</v>
      </c>
      <c r="E65" s="2"/>
      <c r="F65" s="7">
        <f t="shared" si="36"/>
        <v>2.3512369492667095E-3</v>
      </c>
      <c r="G65" s="2"/>
      <c r="H65" s="6"/>
      <c r="I65" s="2"/>
      <c r="J65" s="7">
        <f t="shared" si="37"/>
        <v>0</v>
      </c>
      <c r="K65" s="2"/>
      <c r="L65" s="6">
        <f t="shared" si="38"/>
        <v>122.87</v>
      </c>
      <c r="M65" s="2"/>
      <c r="N65" s="7">
        <f t="shared" si="39"/>
        <v>0</v>
      </c>
      <c r="O65" s="11"/>
      <c r="P65" s="6">
        <v>1499.6</v>
      </c>
      <c r="Q65" s="2"/>
      <c r="R65" s="7">
        <f t="shared" si="40"/>
        <v>3.2687207337401794E-3</v>
      </c>
      <c r="S65" s="2"/>
      <c r="T65" s="6">
        <v>58.58</v>
      </c>
      <c r="U65" s="2"/>
      <c r="V65" s="7">
        <f t="shared" si="41"/>
        <v>1.208302751908486E-4</v>
      </c>
      <c r="W65" s="2"/>
      <c r="X65" s="6">
        <f t="shared" si="42"/>
        <v>1441.02</v>
      </c>
      <c r="Y65" s="2"/>
      <c r="Z65" s="7">
        <f t="shared" si="43"/>
        <v>24.599180607715944</v>
      </c>
    </row>
    <row r="66" spans="1:26" s="24" customFormat="1" hidden="1" outlineLevel="2" x14ac:dyDescent="0.25">
      <c r="A66" s="25"/>
      <c r="B66" s="11" t="str">
        <f>CONCATENATE("          ", "6243", " - ", "PAPER SUPPLIES")</f>
        <v xml:space="preserve">          6243 - PAPER SUPPLIES</v>
      </c>
      <c r="C66" s="11"/>
      <c r="D66" s="6">
        <v>838.92</v>
      </c>
      <c r="E66" s="2"/>
      <c r="F66" s="7">
        <f t="shared" si="36"/>
        <v>1.6053550105630567E-2</v>
      </c>
      <c r="G66" s="2"/>
      <c r="H66" s="6">
        <v>561.53</v>
      </c>
      <c r="I66" s="2"/>
      <c r="J66" s="7">
        <f t="shared" si="37"/>
        <v>1.1049898795025192E-2</v>
      </c>
      <c r="K66" s="2"/>
      <c r="L66" s="6">
        <f t="shared" si="38"/>
        <v>277.39</v>
      </c>
      <c r="M66" s="2"/>
      <c r="N66" s="7">
        <f t="shared" si="39"/>
        <v>0.49398963546026037</v>
      </c>
      <c r="O66" s="11"/>
      <c r="P66" s="6">
        <v>3484.15</v>
      </c>
      <c r="Q66" s="2"/>
      <c r="R66" s="7">
        <f t="shared" si="40"/>
        <v>7.5945007631774124E-3</v>
      </c>
      <c r="S66" s="2"/>
      <c r="T66" s="6">
        <v>2796.59</v>
      </c>
      <c r="U66" s="2"/>
      <c r="V66" s="7">
        <f t="shared" si="41"/>
        <v>5.7683977346530439E-3</v>
      </c>
      <c r="W66" s="2"/>
      <c r="X66" s="6">
        <f t="shared" si="42"/>
        <v>687.56</v>
      </c>
      <c r="Y66" s="2"/>
      <c r="Z66" s="7">
        <f t="shared" si="43"/>
        <v>0.24585656102610676</v>
      </c>
    </row>
    <row r="67" spans="1:26" s="24" customFormat="1" hidden="1" outlineLevel="2" x14ac:dyDescent="0.25">
      <c r="A67" s="25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181.92</v>
      </c>
      <c r="Q67" s="2"/>
      <c r="R67" s="7">
        <f t="shared" si="40"/>
        <v>3.9653619357296176E-4</v>
      </c>
      <c r="S67" s="2"/>
      <c r="T67" s="6"/>
      <c r="U67" s="2"/>
      <c r="V67" s="7">
        <f t="shared" si="41"/>
        <v>0</v>
      </c>
      <c r="W67" s="2"/>
      <c r="X67" s="6">
        <f t="shared" si="42"/>
        <v>181.92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"6247", " - ", "STORE SUPPLIES")</f>
        <v xml:space="preserve">          6247 - STORE SUPPLIES</v>
      </c>
      <c r="C68" s="11"/>
      <c r="D68" s="6">
        <v>51.02</v>
      </c>
      <c r="E68" s="2"/>
      <c r="F68" s="7">
        <f t="shared" si="36"/>
        <v>9.7631732035148968E-4</v>
      </c>
      <c r="G68" s="2"/>
      <c r="H68" s="6"/>
      <c r="I68" s="2"/>
      <c r="J68" s="7">
        <f t="shared" si="37"/>
        <v>0</v>
      </c>
      <c r="K68" s="2"/>
      <c r="L68" s="6">
        <f t="shared" si="38"/>
        <v>51.02</v>
      </c>
      <c r="M68" s="2"/>
      <c r="N68" s="7">
        <f t="shared" si="39"/>
        <v>0</v>
      </c>
      <c r="O68" s="11"/>
      <c r="P68" s="6">
        <v>1262.81</v>
      </c>
      <c r="Q68" s="2"/>
      <c r="R68" s="7">
        <f t="shared" si="40"/>
        <v>2.7525828419408082E-3</v>
      </c>
      <c r="S68" s="2"/>
      <c r="T68" s="6">
        <v>1153.8599999999999</v>
      </c>
      <c r="U68" s="2"/>
      <c r="V68" s="7">
        <f t="shared" si="41"/>
        <v>2.3800140206847484E-3</v>
      </c>
      <c r="W68" s="2"/>
      <c r="X68" s="6">
        <f t="shared" si="42"/>
        <v>108.95000000000005</v>
      </c>
      <c r="Y68" s="2"/>
      <c r="Z68" s="7">
        <f t="shared" si="43"/>
        <v>9.4422200266930184E-2</v>
      </c>
    </row>
    <row r="69" spans="1:26" s="24" customFormat="1" hidden="1" outlineLevel="2" x14ac:dyDescent="0.25">
      <c r="A69" s="25"/>
      <c r="B69" s="11" t="str">
        <f>CONCATENATE("          ", "6248", " - ", "UNIFORMS")</f>
        <v xml:space="preserve">          6248 - UNIFORMS</v>
      </c>
      <c r="C69" s="11"/>
      <c r="D69" s="6">
        <v>33.19</v>
      </c>
      <c r="E69" s="2"/>
      <c r="F69" s="7">
        <f t="shared" si="36"/>
        <v>6.3512292948776823E-4</v>
      </c>
      <c r="G69" s="2"/>
      <c r="H69" s="6"/>
      <c r="I69" s="2"/>
      <c r="J69" s="7">
        <f t="shared" si="37"/>
        <v>0</v>
      </c>
      <c r="K69" s="2"/>
      <c r="L69" s="6">
        <f t="shared" si="38"/>
        <v>33.19</v>
      </c>
      <c r="M69" s="2"/>
      <c r="N69" s="7">
        <f t="shared" si="39"/>
        <v>0</v>
      </c>
      <c r="O69" s="11"/>
      <c r="P69" s="6">
        <v>146.97</v>
      </c>
      <c r="Q69" s="2"/>
      <c r="R69" s="7">
        <f t="shared" si="40"/>
        <v>3.2035468540797161E-4</v>
      </c>
      <c r="S69" s="2"/>
      <c r="T69" s="6">
        <v>487.38</v>
      </c>
      <c r="U69" s="2"/>
      <c r="V69" s="7">
        <f t="shared" si="41"/>
        <v>1.0052963387250904E-3</v>
      </c>
      <c r="W69" s="2"/>
      <c r="X69" s="6">
        <f t="shared" si="42"/>
        <v>-340.40999999999997</v>
      </c>
      <c r="Y69" s="2"/>
      <c r="Z69" s="7">
        <f t="shared" si="43"/>
        <v>-0.6984488489474332</v>
      </c>
    </row>
    <row r="70" spans="1:26" s="26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4">IF(D$12=0,0,D70/D$12)</f>
        <v>0</v>
      </c>
      <c r="G70" s="1"/>
      <c r="H70" s="1">
        <f>SUM(OSRRefH22_14x_0)</f>
        <v>-45</v>
      </c>
      <c r="I70" s="1"/>
      <c r="J70" s="5">
        <f t="shared" ref="J70:J73" si="45">IF(H$12=0,0,H70/H$12)</f>
        <v>-8.8551893180441592E-4</v>
      </c>
      <c r="K70" s="1"/>
      <c r="L70" s="1">
        <f t="shared" ref="L70:L73" si="46">+D70-H70</f>
        <v>45</v>
      </c>
      <c r="M70" s="1"/>
      <c r="N70" s="5">
        <f t="shared" ref="N70:N73" si="47">IF(H70=0,0,L70/H70)</f>
        <v>-1</v>
      </c>
      <c r="O70" s="13"/>
      <c r="P70" s="1">
        <f>SUM(OSRRefP22_14x_0)</f>
        <v>-45</v>
      </c>
      <c r="Q70" s="1"/>
      <c r="R70" s="5">
        <f t="shared" ref="R70:R73" si="48">IF(P$12=0,0,P70/P$12)</f>
        <v>-9.8087778753206247E-5</v>
      </c>
      <c r="S70" s="1"/>
      <c r="T70" s="1">
        <f>SUM(OSRRefT22_14x_0)</f>
        <v>255</v>
      </c>
      <c r="U70" s="1"/>
      <c r="V70" s="5">
        <f t="shared" ref="V70:V73" si="49">IF(T$12=0,0,T70/T$12)</f>
        <v>5.2597678684988727E-4</v>
      </c>
      <c r="W70" s="1"/>
      <c r="X70" s="1">
        <f t="shared" ref="X70:X73" si="50">+P70-T70</f>
        <v>-300</v>
      </c>
      <c r="Y70" s="1"/>
      <c r="Z70" s="5">
        <f t="shared" ref="Z70:Z73" si="51">IF(T70=0,0,X70/T70)</f>
        <v>-1.1764705882352942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4"/>
        <v>0</v>
      </c>
      <c r="G71" s="2"/>
      <c r="H71" s="6">
        <v>-45</v>
      </c>
      <c r="I71" s="2"/>
      <c r="J71" s="7">
        <f t="shared" si="45"/>
        <v>-8.8551893180441592E-4</v>
      </c>
      <c r="K71" s="2"/>
      <c r="L71" s="6">
        <f t="shared" si="46"/>
        <v>45</v>
      </c>
      <c r="M71" s="2"/>
      <c r="N71" s="7">
        <f t="shared" si="47"/>
        <v>-1</v>
      </c>
      <c r="O71" s="11"/>
      <c r="P71" s="6">
        <v>-45</v>
      </c>
      <c r="Q71" s="2"/>
      <c r="R71" s="7">
        <f t="shared" si="48"/>
        <v>-9.8087778753206247E-5</v>
      </c>
      <c r="S71" s="2"/>
      <c r="T71" s="6">
        <v>255</v>
      </c>
      <c r="U71" s="2"/>
      <c r="V71" s="7">
        <f t="shared" si="49"/>
        <v>5.2597678684988727E-4</v>
      </c>
      <c r="W71" s="2"/>
      <c r="X71" s="6">
        <f t="shared" si="50"/>
        <v>-300</v>
      </c>
      <c r="Y71" s="2"/>
      <c r="Z71" s="7">
        <f t="shared" si="51"/>
        <v>-1.1764705882352942</v>
      </c>
    </row>
    <row r="72" spans="1:26" s="26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4"/>
        <v>0</v>
      </c>
      <c r="G72" s="1"/>
      <c r="H72" s="1">
        <f>SUM(OSRRefH22_15x_0)</f>
        <v>0</v>
      </c>
      <c r="I72" s="1"/>
      <c r="J72" s="5">
        <f t="shared" si="45"/>
        <v>0</v>
      </c>
      <c r="K72" s="1"/>
      <c r="L72" s="1">
        <f t="shared" si="46"/>
        <v>0</v>
      </c>
      <c r="M72" s="1"/>
      <c r="N72" s="5">
        <f t="shared" si="47"/>
        <v>0</v>
      </c>
      <c r="O72" s="13"/>
      <c r="P72" s="1">
        <f>SUM(OSRRefP22_15x_0)</f>
        <v>96</v>
      </c>
      <c r="Q72" s="1"/>
      <c r="R72" s="5">
        <f t="shared" si="48"/>
        <v>2.0925392800683998E-4</v>
      </c>
      <c r="S72" s="1"/>
      <c r="T72" s="1">
        <f>SUM(OSRRefT22_15x_0)</f>
        <v>125.16</v>
      </c>
      <c r="U72" s="1"/>
      <c r="V72" s="5">
        <f t="shared" si="49"/>
        <v>2.5816178291032112E-4</v>
      </c>
      <c r="W72" s="1"/>
      <c r="X72" s="1">
        <f t="shared" si="50"/>
        <v>-29.159999999999997</v>
      </c>
      <c r="Y72" s="1"/>
      <c r="Z72" s="5">
        <f t="shared" si="51"/>
        <v>-0.23298178331735378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96</v>
      </c>
      <c r="Q73" s="2"/>
      <c r="R73" s="7">
        <f t="shared" si="48"/>
        <v>2.0925392800683998E-4</v>
      </c>
      <c r="S73" s="2"/>
      <c r="T73" s="6">
        <v>125.16</v>
      </c>
      <c r="U73" s="2"/>
      <c r="V73" s="7">
        <f t="shared" si="49"/>
        <v>2.5816178291032112E-4</v>
      </c>
      <c r="W73" s="2"/>
      <c r="X73" s="6">
        <f t="shared" si="50"/>
        <v>-29.159999999999997</v>
      </c>
      <c r="Y73" s="2"/>
      <c r="Z73" s="7">
        <f t="shared" si="51"/>
        <v>-0.23298178331735378</v>
      </c>
    </row>
    <row r="74" spans="1:26" s="59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1">
        <f>+D20-D22+D75</f>
        <v>-6879.5200000000041</v>
      </c>
      <c r="E77" s="14"/>
      <c r="F77" s="22">
        <f>IF(D$12=0,0,D77/D$12)</f>
        <v>-0.13164630599185581</v>
      </c>
      <c r="G77" s="14"/>
      <c r="H77" s="21">
        <f>+H20-H22+H75</f>
        <v>-4182.5199999999968</v>
      </c>
      <c r="I77" s="14"/>
      <c r="J77" s="22">
        <f>IF(H$12=0,0,H77/H$12)</f>
        <v>-8.2304458725568949E-2</v>
      </c>
      <c r="K77" s="16"/>
      <c r="L77" s="21">
        <f>+D77-H77</f>
        <v>-2697.0000000000073</v>
      </c>
      <c r="M77" s="16"/>
      <c r="N77" s="22">
        <f>IF(H77=0,0,L77/H77)</f>
        <v>0.64482656388971471</v>
      </c>
      <c r="O77" s="29"/>
      <c r="P77" s="21">
        <f>+P20-P22+P75</f>
        <v>68523.489999999962</v>
      </c>
      <c r="Q77" s="14"/>
      <c r="R77" s="22">
        <f>IF(P$12=0,0,P77/P$12)</f>
        <v>0.14936259836705637</v>
      </c>
      <c r="S77" s="14"/>
      <c r="T77" s="21">
        <f>+T20-T22+T75</f>
        <v>72610.580000000016</v>
      </c>
      <c r="U77" s="14"/>
      <c r="V77" s="22">
        <f>IF(T$12=0,0,T77/T$12)</f>
        <v>0.14977050807728115</v>
      </c>
      <c r="W77" s="16"/>
      <c r="X77" s="21">
        <f>+P77-T77</f>
        <v>-4087.0900000000547</v>
      </c>
      <c r="Y77" s="16"/>
      <c r="Z77" s="22">
        <f>IF(T77=0,0,X77/T77)</f>
        <v>-5.6287802686606464E-2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3936.73</v>
      </c>
      <c r="E79" s="4"/>
      <c r="F79" s="12">
        <f>IF(D$12=0,0,D79/D$12)</f>
        <v>7.5333157282385724E-2</v>
      </c>
      <c r="G79" s="4"/>
      <c r="H79" s="4">
        <v>2495.29</v>
      </c>
      <c r="I79" s="4"/>
      <c r="J79" s="12">
        <f>IF(H$12=0,0,H79/H$12)</f>
        <v>4.9102811896494243E-2</v>
      </c>
      <c r="K79" s="4"/>
      <c r="L79" s="4">
        <f>+D79-H79</f>
        <v>1441.44</v>
      </c>
      <c r="M79" s="4"/>
      <c r="N79" s="12">
        <f>IF(H79=0,0,L79/H79)</f>
        <v>0.57766431957808517</v>
      </c>
      <c r="O79" s="10"/>
      <c r="P79" s="4">
        <v>47843.5</v>
      </c>
      <c r="Q79" s="4"/>
      <c r="R79" s="12">
        <f>IF(P$12=0,0,P79/P$12)</f>
        <v>0.1042858365062005</v>
      </c>
      <c r="S79" s="4"/>
      <c r="T79" s="4">
        <v>49329.88</v>
      </c>
      <c r="U79" s="4"/>
      <c r="V79" s="12">
        <f>IF(T$12=0,0,T79/T$12)</f>
        <v>0.10175047756113928</v>
      </c>
      <c r="W79" s="4"/>
      <c r="X79" s="4">
        <f>+P79-T79</f>
        <v>-1486.3799999999974</v>
      </c>
      <c r="Y79" s="4"/>
      <c r="Z79" s="12">
        <f>IF(T79=0,0,X79/T79)</f>
        <v>-3.0131433524671E-2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4">
        <f>+D77-D79</f>
        <v>-10816.250000000004</v>
      </c>
      <c r="E81" s="14"/>
      <c r="F81" s="31">
        <f>IF(D$12=0,0,D81/D$12)</f>
        <v>-0.20697946327424152</v>
      </c>
      <c r="G81" s="14"/>
      <c r="H81" s="34">
        <f>+H77-H79</f>
        <v>-6677.8099999999968</v>
      </c>
      <c r="I81" s="14"/>
      <c r="J81" s="31">
        <f>IF(H$12=0,0,H81/H$12)</f>
        <v>-0.1314072706220632</v>
      </c>
      <c r="K81" s="16"/>
      <c r="L81" s="34">
        <f>D81-H81</f>
        <v>-4138.4400000000069</v>
      </c>
      <c r="M81" s="16"/>
      <c r="N81" s="31">
        <f>IF(H81=0,0,L81/H81)</f>
        <v>0.61973012110257841</v>
      </c>
      <c r="O81" s="29"/>
      <c r="P81" s="34">
        <f>+P77-P79</f>
        <v>20679.989999999962</v>
      </c>
      <c r="Q81" s="14"/>
      <c r="R81" s="31">
        <f>IF(P$12=0,0,P81/P$12)</f>
        <v>4.5076761860855866E-2</v>
      </c>
      <c r="S81" s="14"/>
      <c r="T81" s="34">
        <f>+T77-T79</f>
        <v>23280.700000000019</v>
      </c>
      <c r="U81" s="14"/>
      <c r="V81" s="31">
        <f>IF(T$12=0,0,T81/T$12)</f>
        <v>4.8020030516141884E-2</v>
      </c>
      <c r="W81" s="16"/>
      <c r="X81" s="34">
        <f>P81-T81</f>
        <v>-2600.7100000000573</v>
      </c>
      <c r="Y81" s="16"/>
      <c r="Z81" s="31">
        <f>IF(T81=0,0,X81/T81)</f>
        <v>-0.11171098807166688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0">
        <f>SUM(D81:D83)</f>
        <v>-10816.250000000004</v>
      </c>
      <c r="E84" s="14"/>
      <c r="F84" s="33">
        <f>IF(D$12=0,0,D84/D$12)</f>
        <v>-0.20697946327424152</v>
      </c>
      <c r="G84" s="14"/>
      <c r="H84" s="30">
        <f>SUM(H81:H83)</f>
        <v>-6677.8099999999968</v>
      </c>
      <c r="I84" s="14"/>
      <c r="J84" s="33">
        <f>IF(H$12=0,0,H84/H$12)</f>
        <v>-0.1314072706220632</v>
      </c>
      <c r="K84" s="16"/>
      <c r="L84" s="30">
        <f>+D84-H84</f>
        <v>-4138.4400000000069</v>
      </c>
      <c r="M84" s="16"/>
      <c r="N84" s="33">
        <f>IF(H84=0,0,L84/H84)</f>
        <v>0.61973012110257841</v>
      </c>
      <c r="O84" s="29"/>
      <c r="P84" s="30">
        <f>SUM(P81:P83)</f>
        <v>20679.989999999962</v>
      </c>
      <c r="Q84" s="14"/>
      <c r="R84" s="33">
        <f>IF(P$12=0,0,P84/P$12)</f>
        <v>4.5076761860855866E-2</v>
      </c>
      <c r="S84" s="14"/>
      <c r="T84" s="30">
        <f>SUM(T81:T83)</f>
        <v>23280.700000000019</v>
      </c>
      <c r="U84" s="14"/>
      <c r="V84" s="33">
        <f>IF(T$12=0,0,T84/T$12)</f>
        <v>4.8020030516141884E-2</v>
      </c>
      <c r="W84" s="16"/>
      <c r="X84" s="30">
        <f>+P84-T84</f>
        <v>-2600.7100000000573</v>
      </c>
      <c r="Y84" s="16"/>
      <c r="Z84" s="33">
        <f>IF(T84=0,0,X84/T84)</f>
        <v>-0.11171098807166688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43879.554213113428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5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8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","415", " - ", "Outpost")</f>
        <v>Department 415 - Outpost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49382.28</v>
      </c>
      <c r="E12" s="4"/>
      <c r="F12" s="12"/>
      <c r="G12" s="4"/>
      <c r="H12" s="4">
        <f>SUM(OSRRefH13x_0)</f>
        <v>50388.81</v>
      </c>
      <c r="I12" s="4"/>
      <c r="J12" s="12"/>
      <c r="K12" s="4"/>
      <c r="L12" s="4">
        <f t="shared" ref="L12:L14" si="0">+D12-H12</f>
        <v>-1006.5299999999988</v>
      </c>
      <c r="M12" s="4"/>
      <c r="N12" s="12">
        <f t="shared" ref="N12:N14" si="1">IF(H12=0,0,L12/H12)</f>
        <v>-1.9975268318501646E-2</v>
      </c>
      <c r="O12" s="10"/>
      <c r="P12" s="4">
        <f>SUM(OSRRefP13x_0)</f>
        <v>501326.38</v>
      </c>
      <c r="Q12" s="4"/>
      <c r="R12" s="12"/>
      <c r="S12" s="4"/>
      <c r="T12" s="4">
        <f>SUM(OSRRefT13x_0)</f>
        <v>522802.42000000004</v>
      </c>
      <c r="U12" s="4"/>
      <c r="V12" s="12"/>
      <c r="W12" s="4"/>
      <c r="X12" s="4">
        <f t="shared" ref="X12:X14" si="2">+P12-T12</f>
        <v>-21476.040000000037</v>
      </c>
      <c r="Y12" s="4"/>
      <c r="Z12" s="12">
        <f t="shared" ref="Z12:Z14" si="3">IF(T12=0,0,X12/T12)</f>
        <v>-4.1078692787994434E-2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--18135.32</f>
        <v>18135.32</v>
      </c>
      <c r="E13" s="2"/>
      <c r="F13" s="19"/>
      <c r="G13" s="2"/>
      <c r="H13" s="2">
        <f>--15699.7</f>
        <v>15699.7</v>
      </c>
      <c r="I13" s="2"/>
      <c r="J13" s="19"/>
      <c r="K13" s="2"/>
      <c r="L13" s="2">
        <f t="shared" si="0"/>
        <v>2435.619999999999</v>
      </c>
      <c r="M13" s="2"/>
      <c r="N13" s="19">
        <f t="shared" si="1"/>
        <v>0.15513799626744454</v>
      </c>
      <c r="O13" s="11"/>
      <c r="P13" s="2">
        <f>--154732.56</f>
        <v>154732.56</v>
      </c>
      <c r="Q13" s="2"/>
      <c r="R13" s="19"/>
      <c r="S13" s="2"/>
      <c r="T13" s="2">
        <f>--174196.48</f>
        <v>174196.48000000001</v>
      </c>
      <c r="U13" s="2"/>
      <c r="V13" s="19"/>
      <c r="W13" s="2"/>
      <c r="X13" s="2">
        <f t="shared" si="2"/>
        <v>-19463.920000000013</v>
      </c>
      <c r="Y13" s="2"/>
      <c r="Z13" s="19">
        <f t="shared" si="3"/>
        <v>-0.11173543805247965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--31246.96</f>
        <v>31246.959999999999</v>
      </c>
      <c r="E14" s="2"/>
      <c r="F14" s="19"/>
      <c r="G14" s="2"/>
      <c r="H14" s="2">
        <f>--34689.11</f>
        <v>34689.11</v>
      </c>
      <c r="I14" s="2"/>
      <c r="J14" s="19"/>
      <c r="K14" s="2"/>
      <c r="L14" s="2">
        <f t="shared" si="0"/>
        <v>-3442.1500000000015</v>
      </c>
      <c r="M14" s="2"/>
      <c r="N14" s="19">
        <f t="shared" si="1"/>
        <v>-9.9228547518226948E-2</v>
      </c>
      <c r="O14" s="11"/>
      <c r="P14" s="2">
        <f>--346593.82</f>
        <v>346593.82</v>
      </c>
      <c r="Q14" s="2"/>
      <c r="R14" s="19"/>
      <c r="S14" s="2"/>
      <c r="T14" s="2">
        <f>--348605.94</f>
        <v>348605.94</v>
      </c>
      <c r="U14" s="2"/>
      <c r="V14" s="19"/>
      <c r="W14" s="2"/>
      <c r="X14" s="2">
        <f t="shared" si="2"/>
        <v>-2012.1199999999953</v>
      </c>
      <c r="Y14" s="2"/>
      <c r="Z14" s="19">
        <f t="shared" si="3"/>
        <v>-5.771903944034905E-3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15559.02</v>
      </c>
      <c r="E16" s="4"/>
      <c r="F16" s="12">
        <f t="shared" ref="F16:F18" si="4">IF(D$12=0,0,D16/D$12)</f>
        <v>0.31507293709403456</v>
      </c>
      <c r="G16" s="4"/>
      <c r="H16" s="4">
        <f>SUM(OSRRefH16x_0)</f>
        <v>17733.769999999997</v>
      </c>
      <c r="I16" s="4"/>
      <c r="J16" s="12">
        <f t="shared" ref="J16:J18" si="5">IF(H$12=0,0,H16/H$12)</f>
        <v>0.35193865463383633</v>
      </c>
      <c r="K16" s="4"/>
      <c r="L16" s="4">
        <f t="shared" ref="L16:L18" si="6">+D16-H16</f>
        <v>-2174.7499999999964</v>
      </c>
      <c r="M16" s="4"/>
      <c r="N16" s="12">
        <f t="shared" ref="N16:N18" si="7">IF(H16=0,0,L16/H16)</f>
        <v>-0.12263325846675562</v>
      </c>
      <c r="O16" s="10"/>
      <c r="P16" s="4">
        <f>SUM(OSRRefP16x_0)</f>
        <v>161188.59</v>
      </c>
      <c r="Q16" s="4"/>
      <c r="R16" s="12">
        <f t="shared" ref="R16:R18" si="8">IF(P$12=0,0,P16/P$12)</f>
        <v>0.32152425332175816</v>
      </c>
      <c r="S16" s="4"/>
      <c r="T16" s="4">
        <f>SUM(OSRRefT16x_0)</f>
        <v>170798.86</v>
      </c>
      <c r="U16" s="4"/>
      <c r="V16" s="12">
        <f t="shared" ref="V16:V18" si="9">IF(T$12=0,0,T16/T$12)</f>
        <v>0.32669867901529603</v>
      </c>
      <c r="W16" s="4"/>
      <c r="X16" s="4">
        <f t="shared" ref="X16:X18" si="10">+P16-T16</f>
        <v>-9610.2699999999895</v>
      </c>
      <c r="Y16" s="4"/>
      <c r="Z16" s="12">
        <f t="shared" ref="Z16:Z18" si="11">IF(T16=0,0,X16/T16)</f>
        <v>-5.6266593348456719E-2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18540.02</v>
      </c>
      <c r="E17" s="2"/>
      <c r="F17" s="19">
        <f t="shared" si="4"/>
        <v>0.37543872012389873</v>
      </c>
      <c r="G17" s="2"/>
      <c r="H17" s="2">
        <v>18548.769999999997</v>
      </c>
      <c r="I17" s="2"/>
      <c r="J17" s="19">
        <f t="shared" si="5"/>
        <v>0.36811288061774028</v>
      </c>
      <c r="K17" s="2"/>
      <c r="L17" s="2">
        <f t="shared" si="6"/>
        <v>-8.749999999996362</v>
      </c>
      <c r="M17" s="2"/>
      <c r="N17" s="19">
        <f t="shared" si="7"/>
        <v>-4.717293922991316E-4</v>
      </c>
      <c r="O17" s="11"/>
      <c r="P17" s="2">
        <v>162876.59</v>
      </c>
      <c r="Q17" s="2"/>
      <c r="R17" s="19">
        <f t="shared" si="8"/>
        <v>0.32489132129851217</v>
      </c>
      <c r="S17" s="2"/>
      <c r="T17" s="2">
        <v>165611.85999999999</v>
      </c>
      <c r="U17" s="2"/>
      <c r="V17" s="19">
        <f t="shared" si="9"/>
        <v>0.31677714881273883</v>
      </c>
      <c r="W17" s="2"/>
      <c r="X17" s="2">
        <f t="shared" si="10"/>
        <v>-2735.2699999999895</v>
      </c>
      <c r="Y17" s="2"/>
      <c r="Z17" s="19">
        <f t="shared" si="11"/>
        <v>-1.6516148058478359E-2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-2981</v>
      </c>
      <c r="E18" s="2"/>
      <c r="F18" s="19">
        <f t="shared" si="4"/>
        <v>-6.0365783029864152E-2</v>
      </c>
      <c r="G18" s="2"/>
      <c r="H18" s="2">
        <v>-815</v>
      </c>
      <c r="I18" s="2"/>
      <c r="J18" s="19">
        <f t="shared" si="5"/>
        <v>-1.6174225983903966E-2</v>
      </c>
      <c r="K18" s="2"/>
      <c r="L18" s="2">
        <f t="shared" si="6"/>
        <v>-2166</v>
      </c>
      <c r="M18" s="2"/>
      <c r="N18" s="19">
        <f t="shared" si="7"/>
        <v>2.6576687116564419</v>
      </c>
      <c r="O18" s="11"/>
      <c r="P18" s="2">
        <v>-1688</v>
      </c>
      <c r="Q18" s="2"/>
      <c r="R18" s="19">
        <f t="shared" si="8"/>
        <v>-3.3670679767539859E-3</v>
      </c>
      <c r="S18" s="2"/>
      <c r="T18" s="2">
        <v>5187</v>
      </c>
      <c r="U18" s="2"/>
      <c r="V18" s="19">
        <f t="shared" si="9"/>
        <v>9.9215302025572102E-3</v>
      </c>
      <c r="W18" s="2"/>
      <c r="X18" s="2">
        <f t="shared" si="10"/>
        <v>-6875</v>
      </c>
      <c r="Y18" s="2"/>
      <c r="Z18" s="19">
        <f t="shared" si="11"/>
        <v>-1.3254289570079043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33823.259999999995</v>
      </c>
      <c r="E20" s="14"/>
      <c r="F20" s="22">
        <f>IF(D$12=0,0,D20/D$12)</f>
        <v>0.68492706290596539</v>
      </c>
      <c r="G20" s="14"/>
      <c r="H20" s="21">
        <f>H12-H16</f>
        <v>32655.040000000001</v>
      </c>
      <c r="I20" s="14"/>
      <c r="J20" s="22">
        <f>IF(H$12=0,0,H20/H$12)</f>
        <v>0.64806134536616367</v>
      </c>
      <c r="K20" s="16"/>
      <c r="L20" s="21">
        <f>+D20-H20</f>
        <v>1168.2199999999939</v>
      </c>
      <c r="M20" s="16"/>
      <c r="N20" s="22">
        <f>IF(H20=0,0,L20/H20)</f>
        <v>3.5774569561084407E-2</v>
      </c>
      <c r="O20" s="29"/>
      <c r="P20" s="21">
        <f>P12-P16</f>
        <v>340137.79000000004</v>
      </c>
      <c r="Q20" s="14"/>
      <c r="R20" s="22">
        <f>IF(P$12=0,0,P20/P$12)</f>
        <v>0.67847574667824184</v>
      </c>
      <c r="S20" s="14"/>
      <c r="T20" s="21">
        <f>T12-T16</f>
        <v>352003.56000000006</v>
      </c>
      <c r="U20" s="14"/>
      <c r="V20" s="22">
        <f>IF(T$12=0,0,T20/T$12)</f>
        <v>0.67330132098470397</v>
      </c>
      <c r="W20" s="16"/>
      <c r="X20" s="21">
        <f>+P20-T20</f>
        <v>-11865.770000000019</v>
      </c>
      <c r="Y20" s="16"/>
      <c r="Z20" s="22">
        <f>IF(T20=0,0,X20/T20)</f>
        <v>-3.3709232940712354E-2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66794.209999999992</v>
      </c>
      <c r="E22" s="20"/>
      <c r="F22" s="32">
        <f t="shared" ref="F22:F31" si="12">IF(D$12=0,0,D22/D$12)</f>
        <v>1.3525946959111648</v>
      </c>
      <c r="G22" s="20"/>
      <c r="H22" s="20">
        <f>SUM(OSRRefH22x_0)</f>
        <v>65100.77</v>
      </c>
      <c r="I22" s="20"/>
      <c r="J22" s="32">
        <f t="shared" ref="J22:J31" si="13">IF(H$12=0,0,H22/H$12)</f>
        <v>1.2919687922774918</v>
      </c>
      <c r="K22" s="4"/>
      <c r="L22" s="20">
        <f t="shared" ref="L22:L31" si="14">+D22-H22</f>
        <v>1693.4399999999951</v>
      </c>
      <c r="M22" s="4"/>
      <c r="N22" s="32">
        <f t="shared" ref="N22:N31" si="15">IF(H22=0,0,L22/H22)</f>
        <v>2.6012595549945033E-2</v>
      </c>
      <c r="O22" s="10"/>
      <c r="P22" s="20">
        <f>SUM(OSRRefP22x_0)</f>
        <v>491971.46</v>
      </c>
      <c r="Q22" s="20"/>
      <c r="R22" s="32">
        <f t="shared" ref="R22:R31" si="16">IF(P$12=0,0,P22/P$12)</f>
        <v>0.98133966139982498</v>
      </c>
      <c r="S22" s="20"/>
      <c r="T22" s="20">
        <f>SUM(OSRRefT22x_0)</f>
        <v>462159.91000000003</v>
      </c>
      <c r="U22" s="20"/>
      <c r="V22" s="32">
        <f t="shared" ref="V22:V31" si="17">IF(T$12=0,0,T22/T$12)</f>
        <v>0.88400491719223484</v>
      </c>
      <c r="W22" s="4"/>
      <c r="X22" s="20">
        <f t="shared" ref="X22:X31" si="18">+P22-T22</f>
        <v>29811.549999999988</v>
      </c>
      <c r="Y22" s="4"/>
      <c r="Z22" s="32">
        <f t="shared" ref="Z22:Z31" si="19">IF(T22=0,0,X22/T22)</f>
        <v>6.4504837730299858E-2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7297.88</v>
      </c>
      <c r="E23" s="1"/>
      <c r="F23" s="5">
        <f t="shared" si="12"/>
        <v>0.14778337492720062</v>
      </c>
      <c r="G23" s="1"/>
      <c r="H23" s="1">
        <f>SUM(OSRRefH22_0x_0)</f>
        <v>8710.4</v>
      </c>
      <c r="I23" s="1"/>
      <c r="J23" s="5">
        <f t="shared" si="13"/>
        <v>0.17286377669962835</v>
      </c>
      <c r="K23" s="1"/>
      <c r="L23" s="1">
        <f t="shared" si="14"/>
        <v>-1412.5199999999995</v>
      </c>
      <c r="M23" s="1"/>
      <c r="N23" s="5">
        <f t="shared" si="15"/>
        <v>-0.16216476855253487</v>
      </c>
      <c r="O23" s="13"/>
      <c r="P23" s="1">
        <f>SUM(OSRRefP22_0x_0)</f>
        <v>56679.090000000011</v>
      </c>
      <c r="Q23" s="1"/>
      <c r="R23" s="5">
        <f t="shared" si="16"/>
        <v>0.11305826356075659</v>
      </c>
      <c r="S23" s="1"/>
      <c r="T23" s="1">
        <f>SUM(OSRRefT22_0x_0)</f>
        <v>54278.159999999996</v>
      </c>
      <c r="U23" s="1"/>
      <c r="V23" s="5">
        <f t="shared" si="17"/>
        <v>0.10382155461330878</v>
      </c>
      <c r="W23" s="1"/>
      <c r="X23" s="1">
        <f t="shared" si="18"/>
        <v>2400.9300000000148</v>
      </c>
      <c r="Y23" s="1"/>
      <c r="Z23" s="5">
        <f t="shared" si="19"/>
        <v>4.4233813379083137E-2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989.87</v>
      </c>
      <c r="E24" s="2"/>
      <c r="F24" s="7">
        <f t="shared" si="12"/>
        <v>2.0045044497742914E-2</v>
      </c>
      <c r="G24" s="2"/>
      <c r="H24" s="6">
        <v>889.07</v>
      </c>
      <c r="I24" s="2"/>
      <c r="J24" s="7">
        <f t="shared" si="13"/>
        <v>1.7644195209214113E-2</v>
      </c>
      <c r="K24" s="2"/>
      <c r="L24" s="6">
        <f t="shared" si="14"/>
        <v>100.79999999999995</v>
      </c>
      <c r="M24" s="2"/>
      <c r="N24" s="7">
        <f t="shared" si="15"/>
        <v>0.11337689945673564</v>
      </c>
      <c r="O24" s="11"/>
      <c r="P24" s="6">
        <v>9642.06</v>
      </c>
      <c r="Q24" s="2"/>
      <c r="R24" s="7">
        <f t="shared" si="16"/>
        <v>1.9233099203756241E-2</v>
      </c>
      <c r="S24" s="2"/>
      <c r="T24" s="6">
        <v>8903.4699999999993</v>
      </c>
      <c r="U24" s="2"/>
      <c r="V24" s="7">
        <f t="shared" si="17"/>
        <v>1.7030276944777722E-2</v>
      </c>
      <c r="W24" s="2"/>
      <c r="X24" s="6">
        <f t="shared" si="18"/>
        <v>738.59000000000015</v>
      </c>
      <c r="Y24" s="2"/>
      <c r="Z24" s="7">
        <f t="shared" si="19"/>
        <v>8.2955297204348438E-2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602.30999999999995</v>
      </c>
      <c r="E25" s="2"/>
      <c r="F25" s="7">
        <f t="shared" si="12"/>
        <v>1.2196885198496302E-2</v>
      </c>
      <c r="G25" s="2"/>
      <c r="H25" s="6">
        <v>617.66</v>
      </c>
      <c r="I25" s="2"/>
      <c r="J25" s="7">
        <f t="shared" si="13"/>
        <v>1.2257880271433281E-2</v>
      </c>
      <c r="K25" s="2"/>
      <c r="L25" s="6">
        <f t="shared" si="14"/>
        <v>-15.350000000000023</v>
      </c>
      <c r="M25" s="2"/>
      <c r="N25" s="7">
        <f t="shared" si="15"/>
        <v>-2.4851860246737724E-2</v>
      </c>
      <c r="O25" s="11"/>
      <c r="P25" s="6">
        <v>4923.0600000000004</v>
      </c>
      <c r="Q25" s="2"/>
      <c r="R25" s="7">
        <f t="shared" si="16"/>
        <v>9.8200697118711374E-3</v>
      </c>
      <c r="S25" s="2"/>
      <c r="T25" s="6">
        <v>5850.38</v>
      </c>
      <c r="U25" s="2"/>
      <c r="V25" s="7">
        <f t="shared" si="17"/>
        <v>1.1190422569199276E-2</v>
      </c>
      <c r="W25" s="2"/>
      <c r="X25" s="6">
        <f t="shared" si="18"/>
        <v>-927.31999999999971</v>
      </c>
      <c r="Y25" s="2"/>
      <c r="Z25" s="7">
        <f t="shared" si="19"/>
        <v>-0.15850594320368927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3286.96</v>
      </c>
      <c r="E26" s="2"/>
      <c r="F26" s="7">
        <f t="shared" si="12"/>
        <v>6.6561527738289925E-2</v>
      </c>
      <c r="G26" s="2"/>
      <c r="H26" s="6">
        <v>3220.51</v>
      </c>
      <c r="I26" s="2"/>
      <c r="J26" s="7">
        <f t="shared" si="13"/>
        <v>6.3913198188248546E-2</v>
      </c>
      <c r="K26" s="2"/>
      <c r="L26" s="6">
        <f t="shared" si="14"/>
        <v>66.449999999999818</v>
      </c>
      <c r="M26" s="2"/>
      <c r="N26" s="7">
        <f t="shared" si="15"/>
        <v>2.0633377943244956E-2</v>
      </c>
      <c r="O26" s="11"/>
      <c r="P26" s="6">
        <v>21827.46</v>
      </c>
      <c r="Q26" s="2"/>
      <c r="R26" s="7">
        <f t="shared" si="16"/>
        <v>4.3539420367226633E-2</v>
      </c>
      <c r="S26" s="2"/>
      <c r="T26" s="6">
        <v>21486.78</v>
      </c>
      <c r="U26" s="2"/>
      <c r="V26" s="7">
        <f t="shared" si="17"/>
        <v>4.1099235921669981E-2</v>
      </c>
      <c r="W26" s="2"/>
      <c r="X26" s="6">
        <f t="shared" si="18"/>
        <v>340.68000000000029</v>
      </c>
      <c r="Y26" s="2"/>
      <c r="Z26" s="7">
        <f t="shared" si="19"/>
        <v>1.5855330580012469E-2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40.36</v>
      </c>
      <c r="E27" s="2"/>
      <c r="F27" s="7">
        <f t="shared" si="12"/>
        <v>8.1729721673442373E-4</v>
      </c>
      <c r="G27" s="2"/>
      <c r="H27" s="6">
        <v>45.98</v>
      </c>
      <c r="I27" s="2"/>
      <c r="J27" s="7">
        <f t="shared" si="13"/>
        <v>9.1250418495693786E-4</v>
      </c>
      <c r="K27" s="2"/>
      <c r="L27" s="6">
        <f t="shared" si="14"/>
        <v>-5.6199999999999974</v>
      </c>
      <c r="M27" s="2"/>
      <c r="N27" s="7">
        <f t="shared" si="15"/>
        <v>-0.12222705524140925</v>
      </c>
      <c r="O27" s="11"/>
      <c r="P27" s="6">
        <v>428.49</v>
      </c>
      <c r="Q27" s="2"/>
      <c r="R27" s="7">
        <f t="shared" si="16"/>
        <v>8.5471265246404946E-4</v>
      </c>
      <c r="S27" s="2"/>
      <c r="T27" s="6">
        <v>434.69</v>
      </c>
      <c r="U27" s="2"/>
      <c r="V27" s="7">
        <f t="shared" si="17"/>
        <v>8.3146133868316823E-4</v>
      </c>
      <c r="W27" s="2"/>
      <c r="X27" s="6">
        <f t="shared" si="18"/>
        <v>-6.1999999999999886</v>
      </c>
      <c r="Y27" s="2"/>
      <c r="Z27" s="7">
        <f t="shared" si="19"/>
        <v>-1.4263038027099747E-2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943.48</v>
      </c>
      <c r="E28" s="2"/>
      <c r="F28" s="7">
        <f t="shared" si="12"/>
        <v>1.9105638702789748E-2</v>
      </c>
      <c r="G28" s="2"/>
      <c r="H28" s="6">
        <v>727.88</v>
      </c>
      <c r="I28" s="2"/>
      <c r="J28" s="7">
        <f t="shared" si="13"/>
        <v>1.4445270686090821E-2</v>
      </c>
      <c r="K28" s="2"/>
      <c r="L28" s="6">
        <f t="shared" si="14"/>
        <v>215.60000000000002</v>
      </c>
      <c r="M28" s="2"/>
      <c r="N28" s="7">
        <f t="shared" si="15"/>
        <v>0.29620267076990714</v>
      </c>
      <c r="O28" s="11"/>
      <c r="P28" s="6">
        <v>4634.1899999999996</v>
      </c>
      <c r="Q28" s="2"/>
      <c r="R28" s="7">
        <f t="shared" si="16"/>
        <v>9.2438582625554225E-3</v>
      </c>
      <c r="S28" s="2"/>
      <c r="T28" s="6">
        <v>4214.3999999999996</v>
      </c>
      <c r="U28" s="2"/>
      <c r="V28" s="7">
        <f t="shared" si="17"/>
        <v>8.0611715607590319E-3</v>
      </c>
      <c r="W28" s="2"/>
      <c r="X28" s="6">
        <f t="shared" si="18"/>
        <v>419.78999999999996</v>
      </c>
      <c r="Y28" s="2"/>
      <c r="Z28" s="7">
        <f t="shared" si="19"/>
        <v>9.9608485193621865E-2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700.02</v>
      </c>
      <c r="E29" s="2"/>
      <c r="F29" s="7">
        <f t="shared" si="12"/>
        <v>1.4175530169931401E-2</v>
      </c>
      <c r="G29" s="2"/>
      <c r="H29" s="6">
        <v>1094.98</v>
      </c>
      <c r="I29" s="2"/>
      <c r="J29" s="7">
        <f t="shared" si="13"/>
        <v>2.1730618365466463E-2</v>
      </c>
      <c r="K29" s="2"/>
      <c r="L29" s="6">
        <f t="shared" si="14"/>
        <v>-394.96000000000004</v>
      </c>
      <c r="M29" s="2"/>
      <c r="N29" s="7">
        <f t="shared" si="15"/>
        <v>-0.36070065206670443</v>
      </c>
      <c r="O29" s="11"/>
      <c r="P29" s="6">
        <v>6517.59</v>
      </c>
      <c r="Q29" s="2"/>
      <c r="R29" s="7">
        <f t="shared" si="16"/>
        <v>1.3000692283537922E-2</v>
      </c>
      <c r="S29" s="2"/>
      <c r="T29" s="6">
        <v>5811.59</v>
      </c>
      <c r="U29" s="2"/>
      <c r="V29" s="7">
        <f t="shared" si="17"/>
        <v>1.1116226279136198E-2</v>
      </c>
      <c r="W29" s="2"/>
      <c r="X29" s="6">
        <f t="shared" si="18"/>
        <v>706</v>
      </c>
      <c r="Y29" s="2"/>
      <c r="Z29" s="7">
        <f t="shared" si="19"/>
        <v>0.12148138461247265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385.52</v>
      </c>
      <c r="E30" s="2"/>
      <c r="F30" s="7">
        <f t="shared" si="12"/>
        <v>7.806848934476091E-3</v>
      </c>
      <c r="G30" s="2"/>
      <c r="H30" s="6">
        <v>1815.98</v>
      </c>
      <c r="I30" s="2"/>
      <c r="J30" s="7">
        <f t="shared" si="13"/>
        <v>3.6039350800306659E-2</v>
      </c>
      <c r="K30" s="2"/>
      <c r="L30" s="6">
        <f t="shared" si="14"/>
        <v>-1430.46</v>
      </c>
      <c r="M30" s="2"/>
      <c r="N30" s="7">
        <f t="shared" si="15"/>
        <v>-0.78770691307172991</v>
      </c>
      <c r="O30" s="11"/>
      <c r="P30" s="6">
        <v>6382.3</v>
      </c>
      <c r="Q30" s="2"/>
      <c r="R30" s="7">
        <f t="shared" si="16"/>
        <v>1.2730828168268345E-2</v>
      </c>
      <c r="S30" s="2"/>
      <c r="T30" s="6">
        <v>5537.59</v>
      </c>
      <c r="U30" s="2"/>
      <c r="V30" s="7">
        <f t="shared" si="17"/>
        <v>1.0592127710502946E-2</v>
      </c>
      <c r="W30" s="2"/>
      <c r="X30" s="6">
        <f t="shared" si="18"/>
        <v>844.71</v>
      </c>
      <c r="Y30" s="2"/>
      <c r="Z30" s="7">
        <f t="shared" si="19"/>
        <v>0.15254108736833172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349.36</v>
      </c>
      <c r="E31" s="2"/>
      <c r="F31" s="7">
        <f t="shared" si="12"/>
        <v>7.0746024687397997E-3</v>
      </c>
      <c r="G31" s="2"/>
      <c r="H31" s="6">
        <v>298.33999999999997</v>
      </c>
      <c r="I31" s="2"/>
      <c r="J31" s="7">
        <f t="shared" si="13"/>
        <v>5.920758993911545E-3</v>
      </c>
      <c r="K31" s="2"/>
      <c r="L31" s="6">
        <f t="shared" si="14"/>
        <v>51.020000000000039</v>
      </c>
      <c r="M31" s="2"/>
      <c r="N31" s="7">
        <f t="shared" si="15"/>
        <v>0.17101293825836308</v>
      </c>
      <c r="O31" s="11"/>
      <c r="P31" s="6">
        <v>2323.94</v>
      </c>
      <c r="Q31" s="2"/>
      <c r="R31" s="7">
        <f t="shared" si="16"/>
        <v>4.6355829110768122E-3</v>
      </c>
      <c r="S31" s="2"/>
      <c r="T31" s="6">
        <v>2039.26</v>
      </c>
      <c r="U31" s="2"/>
      <c r="V31" s="7">
        <f t="shared" si="17"/>
        <v>3.900632288580454E-3</v>
      </c>
      <c r="W31" s="2"/>
      <c r="X31" s="6">
        <f t="shared" si="18"/>
        <v>284.68000000000006</v>
      </c>
      <c r="Y31" s="2"/>
      <c r="Z31" s="7">
        <f t="shared" si="19"/>
        <v>0.13959965869972443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20864.73</v>
      </c>
      <c r="E32" s="1"/>
      <c r="F32" s="5">
        <f t="shared" ref="F32:F38" si="20">IF(D$12=0,0,D32/D$12)</f>
        <v>0.42251451330315248</v>
      </c>
      <c r="G32" s="1"/>
      <c r="H32" s="1">
        <f>SUM(OSRRefH22_1x_0)</f>
        <v>20776.099999999995</v>
      </c>
      <c r="I32" s="1"/>
      <c r="J32" s="5">
        <f t="shared" ref="J32:J38" si="21">IF(H$12=0,0,H32/H$12)</f>
        <v>0.41231575026280626</v>
      </c>
      <c r="K32" s="1"/>
      <c r="L32" s="1">
        <f t="shared" ref="L32:L38" si="22">+D32-H32</f>
        <v>88.630000000004657</v>
      </c>
      <c r="M32" s="1"/>
      <c r="N32" s="5">
        <f t="shared" ref="N32:N38" si="23">IF(H32=0,0,L32/H32)</f>
        <v>4.2659594437841888E-3</v>
      </c>
      <c r="O32" s="13"/>
      <c r="P32" s="1">
        <f>SUM(OSRRefP22_1x_0)</f>
        <v>163419.88</v>
      </c>
      <c r="Q32" s="1"/>
      <c r="R32" s="5">
        <f t="shared" ref="R32:R38" si="24">IF(P$12=0,0,P32/P$12)</f>
        <v>0.32597502648873178</v>
      </c>
      <c r="S32" s="1"/>
      <c r="T32" s="1">
        <f>SUM(OSRRefT22_1x_0)</f>
        <v>156613.13999999998</v>
      </c>
      <c r="U32" s="1"/>
      <c r="V32" s="5">
        <f t="shared" ref="V32:V38" si="25">IF(T$12=0,0,T32/T$12)</f>
        <v>0.29956468066846359</v>
      </c>
      <c r="W32" s="1"/>
      <c r="X32" s="1">
        <f t="shared" ref="X32:X38" si="26">+P32-T32</f>
        <v>6806.7400000000198</v>
      </c>
      <c r="Y32" s="1"/>
      <c r="Z32" s="5">
        <f t="shared" ref="Z32:Z38" si="27">IF(T32=0,0,X32/T32)</f>
        <v>4.3462125847167229E-2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5082.95</v>
      </c>
      <c r="E33" s="2"/>
      <c r="F33" s="7">
        <f t="shared" si="20"/>
        <v>0.10293064637760752</v>
      </c>
      <c r="G33" s="2"/>
      <c r="H33" s="6">
        <v>6538.76</v>
      </c>
      <c r="I33" s="2"/>
      <c r="J33" s="7">
        <f t="shared" si="21"/>
        <v>0.12976611275400235</v>
      </c>
      <c r="K33" s="2"/>
      <c r="L33" s="6">
        <f t="shared" si="22"/>
        <v>-1455.8100000000004</v>
      </c>
      <c r="M33" s="2"/>
      <c r="N33" s="7">
        <f t="shared" si="23"/>
        <v>-0.22264313111354453</v>
      </c>
      <c r="O33" s="11"/>
      <c r="P33" s="6">
        <v>36298.04</v>
      </c>
      <c r="Q33" s="2"/>
      <c r="R33" s="7">
        <f t="shared" si="24"/>
        <v>7.2404009539653591E-2</v>
      </c>
      <c r="S33" s="2"/>
      <c r="T33" s="6">
        <v>36428.339999999997</v>
      </c>
      <c r="U33" s="2"/>
      <c r="V33" s="7">
        <f t="shared" si="25"/>
        <v>6.9678981210530733E-2</v>
      </c>
      <c r="W33" s="2"/>
      <c r="X33" s="6">
        <f t="shared" si="26"/>
        <v>-130.29999999999563</v>
      </c>
      <c r="Y33" s="2"/>
      <c r="Z33" s="7">
        <f t="shared" si="27"/>
        <v>-3.5768854688408981E-3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3235.21</v>
      </c>
      <c r="E34" s="2"/>
      <c r="F34" s="7">
        <f t="shared" si="20"/>
        <v>6.5513580984920106E-2</v>
      </c>
      <c r="G34" s="2"/>
      <c r="H34" s="6">
        <v>2142.4</v>
      </c>
      <c r="I34" s="2"/>
      <c r="J34" s="7">
        <f t="shared" si="21"/>
        <v>4.2517376377810868E-2</v>
      </c>
      <c r="K34" s="2"/>
      <c r="L34" s="6">
        <f t="shared" si="22"/>
        <v>1092.81</v>
      </c>
      <c r="M34" s="2"/>
      <c r="N34" s="7">
        <f t="shared" si="23"/>
        <v>0.51008681852128446</v>
      </c>
      <c r="O34" s="11"/>
      <c r="P34" s="6">
        <v>22940.66</v>
      </c>
      <c r="Q34" s="2"/>
      <c r="R34" s="7">
        <f t="shared" si="24"/>
        <v>4.5759929888389277E-2</v>
      </c>
      <c r="S34" s="2"/>
      <c r="T34" s="6">
        <v>21660.92</v>
      </c>
      <c r="U34" s="2"/>
      <c r="V34" s="7">
        <f t="shared" si="25"/>
        <v>4.1432325428026898E-2</v>
      </c>
      <c r="W34" s="2"/>
      <c r="X34" s="6">
        <f t="shared" si="26"/>
        <v>1279.7400000000016</v>
      </c>
      <c r="Y34" s="2"/>
      <c r="Z34" s="7">
        <f t="shared" si="27"/>
        <v>5.9080593068069211E-2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4252.01</v>
      </c>
      <c r="E35" s="2"/>
      <c r="F35" s="7">
        <f t="shared" si="20"/>
        <v>8.6103962797991512E-2</v>
      </c>
      <c r="G35" s="2"/>
      <c r="H35" s="6">
        <v>2797.37</v>
      </c>
      <c r="I35" s="2"/>
      <c r="J35" s="7">
        <f t="shared" si="21"/>
        <v>5.5515698822814034E-2</v>
      </c>
      <c r="K35" s="2"/>
      <c r="L35" s="6">
        <f t="shared" si="22"/>
        <v>1454.6400000000003</v>
      </c>
      <c r="M35" s="2"/>
      <c r="N35" s="7">
        <f t="shared" si="23"/>
        <v>0.52000271683760113</v>
      </c>
      <c r="O35" s="11"/>
      <c r="P35" s="6">
        <v>49868.44</v>
      </c>
      <c r="Q35" s="2"/>
      <c r="R35" s="7">
        <f t="shared" si="24"/>
        <v>9.9473001999216562E-2</v>
      </c>
      <c r="S35" s="2"/>
      <c r="T35" s="6">
        <v>39958.230000000003</v>
      </c>
      <c r="U35" s="2"/>
      <c r="V35" s="7">
        <f t="shared" si="25"/>
        <v>7.643084360627099E-2</v>
      </c>
      <c r="W35" s="2"/>
      <c r="X35" s="6">
        <f t="shared" si="26"/>
        <v>9910.2099999999991</v>
      </c>
      <c r="Y35" s="2"/>
      <c r="Z35" s="7">
        <f t="shared" si="27"/>
        <v>0.24801423886893884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200.5</v>
      </c>
      <c r="Q36" s="2"/>
      <c r="R36" s="7">
        <f t="shared" si="24"/>
        <v>3.9993905766538758E-4</v>
      </c>
      <c r="S36" s="2"/>
      <c r="T36" s="6">
        <v>484.69</v>
      </c>
      <c r="U36" s="2"/>
      <c r="V36" s="7">
        <f t="shared" si="25"/>
        <v>9.2709976361624329E-4</v>
      </c>
      <c r="W36" s="2"/>
      <c r="X36" s="6">
        <f t="shared" si="26"/>
        <v>-284.19</v>
      </c>
      <c r="Y36" s="2"/>
      <c r="Z36" s="7">
        <f t="shared" si="27"/>
        <v>-0.58633353277352529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8294.56</v>
      </c>
      <c r="E37" s="2"/>
      <c r="F37" s="7">
        <f t="shared" si="20"/>
        <v>0.16796632314263335</v>
      </c>
      <c r="G37" s="2"/>
      <c r="H37" s="6">
        <v>9027.3799999999992</v>
      </c>
      <c r="I37" s="2"/>
      <c r="J37" s="7">
        <f t="shared" si="21"/>
        <v>0.17915445909518402</v>
      </c>
      <c r="K37" s="2"/>
      <c r="L37" s="6">
        <f t="shared" si="22"/>
        <v>-732.81999999999971</v>
      </c>
      <c r="M37" s="2"/>
      <c r="N37" s="7">
        <f t="shared" si="23"/>
        <v>-8.1177484497163055E-2</v>
      </c>
      <c r="O37" s="11"/>
      <c r="P37" s="6">
        <v>54112.24</v>
      </c>
      <c r="Q37" s="2"/>
      <c r="R37" s="7">
        <f t="shared" si="24"/>
        <v>0.10793814600380694</v>
      </c>
      <c r="S37" s="2"/>
      <c r="T37" s="6">
        <v>56131.519999999997</v>
      </c>
      <c r="U37" s="2"/>
      <c r="V37" s="7">
        <f t="shared" si="25"/>
        <v>0.10736660323798805</v>
      </c>
      <c r="W37" s="2"/>
      <c r="X37" s="6">
        <f t="shared" si="26"/>
        <v>-2019.2799999999988</v>
      </c>
      <c r="Y37" s="2"/>
      <c r="Z37" s="7">
        <f t="shared" si="27"/>
        <v>-3.5974083723369667E-2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270.19</v>
      </c>
      <c r="I38" s="2"/>
      <c r="J38" s="7">
        <f t="shared" si="21"/>
        <v>5.3621032129951077E-3</v>
      </c>
      <c r="K38" s="2"/>
      <c r="L38" s="6">
        <f t="shared" si="22"/>
        <v>-270.19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1949.44</v>
      </c>
      <c r="U38" s="2"/>
      <c r="V38" s="7">
        <f t="shared" si="25"/>
        <v>3.7288274220306783E-3</v>
      </c>
      <c r="W38" s="2"/>
      <c r="X38" s="6">
        <f t="shared" si="26"/>
        <v>-1949.44</v>
      </c>
      <c r="Y38" s="2"/>
      <c r="Z38" s="7">
        <f t="shared" si="27"/>
        <v>-1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488.61</v>
      </c>
      <c r="E39" s="1"/>
      <c r="F39" s="5">
        <f t="shared" ref="F39:F47" si="28">IF(D$12=0,0,D39/D$12)</f>
        <v>9.8944398679040348E-3</v>
      </c>
      <c r="G39" s="1"/>
      <c r="H39" s="1">
        <f>SUM(OSRRefH22_2x_0)</f>
        <v>1517.97</v>
      </c>
      <c r="I39" s="1"/>
      <c r="J39" s="5">
        <f t="shared" ref="J39:J47" si="29">IF(H$12=0,0,H39/H$12)</f>
        <v>3.012514087949289E-2</v>
      </c>
      <c r="K39" s="1"/>
      <c r="L39" s="1">
        <f t="shared" ref="L39:L47" si="30">+D39-H39</f>
        <v>-1029.3600000000001</v>
      </c>
      <c r="M39" s="1"/>
      <c r="N39" s="5">
        <f t="shared" ref="N39:N47" si="31">IF(H39=0,0,L39/H39)</f>
        <v>-0.67811616830372146</v>
      </c>
      <c r="O39" s="13"/>
      <c r="P39" s="1">
        <f>SUM(OSRRefP22_2x_0)</f>
        <v>4282.9799999999996</v>
      </c>
      <c r="Q39" s="1"/>
      <c r="R39" s="5">
        <f t="shared" ref="R39:R47" si="32">IF(P$12=0,0,P39/P$12)</f>
        <v>8.5432966842877885E-3</v>
      </c>
      <c r="S39" s="1"/>
      <c r="T39" s="1">
        <f>SUM(OSRRefT22_2x_0)</f>
        <v>3886.69</v>
      </c>
      <c r="U39" s="1"/>
      <c r="V39" s="5">
        <f t="shared" ref="V39:V47" si="33">IF(T$12=0,0,T39/T$12)</f>
        <v>7.4343381960626726E-3</v>
      </c>
      <c r="W39" s="1"/>
      <c r="X39" s="1">
        <f t="shared" ref="X39:X47" si="34">+P39-T39</f>
        <v>396.28999999999951</v>
      </c>
      <c r="Y39" s="1"/>
      <c r="Z39" s="5">
        <f t="shared" ref="Z39:Z47" si="35">IF(T39=0,0,X39/T39)</f>
        <v>0.10196079440346401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488.61</v>
      </c>
      <c r="E40" s="2"/>
      <c r="F40" s="7">
        <f t="shared" si="28"/>
        <v>9.8944398679040348E-3</v>
      </c>
      <c r="G40" s="2"/>
      <c r="H40" s="6">
        <v>1517.97</v>
      </c>
      <c r="I40" s="2"/>
      <c r="J40" s="7">
        <f t="shared" si="29"/>
        <v>3.012514087949289E-2</v>
      </c>
      <c r="K40" s="2"/>
      <c r="L40" s="6">
        <f t="shared" si="30"/>
        <v>-1029.3600000000001</v>
      </c>
      <c r="M40" s="2"/>
      <c r="N40" s="7">
        <f t="shared" si="31"/>
        <v>-0.67811616830372146</v>
      </c>
      <c r="O40" s="11"/>
      <c r="P40" s="6">
        <v>4282.9799999999996</v>
      </c>
      <c r="Q40" s="2"/>
      <c r="R40" s="7">
        <f t="shared" si="32"/>
        <v>8.5432966842877885E-3</v>
      </c>
      <c r="S40" s="2"/>
      <c r="T40" s="6">
        <v>3886.69</v>
      </c>
      <c r="U40" s="2"/>
      <c r="V40" s="7">
        <f t="shared" si="33"/>
        <v>7.4343381960626726E-3</v>
      </c>
      <c r="W40" s="2"/>
      <c r="X40" s="6">
        <f t="shared" si="34"/>
        <v>396.28999999999951</v>
      </c>
      <c r="Y40" s="2"/>
      <c r="Z40" s="7">
        <f t="shared" si="35"/>
        <v>0.10196079440346401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-3.62</v>
      </c>
      <c r="E41" s="1"/>
      <c r="F41" s="5">
        <f t="shared" si="28"/>
        <v>-7.3305647288865564E-5</v>
      </c>
      <c r="G41" s="1"/>
      <c r="H41" s="1">
        <f>SUM(OSRRefH22_3x_0)</f>
        <v>11.79</v>
      </c>
      <c r="I41" s="1"/>
      <c r="J41" s="5">
        <f t="shared" si="29"/>
        <v>2.3398052067512607E-4</v>
      </c>
      <c r="K41" s="1"/>
      <c r="L41" s="1">
        <f t="shared" si="30"/>
        <v>-15.41</v>
      </c>
      <c r="M41" s="1"/>
      <c r="N41" s="5">
        <f t="shared" si="31"/>
        <v>-1.3070398642917729</v>
      </c>
      <c r="O41" s="13"/>
      <c r="P41" s="1">
        <f>SUM(OSRRefP22_3x_0)</f>
        <v>-20.93</v>
      </c>
      <c r="Q41" s="1"/>
      <c r="R41" s="5">
        <f t="shared" si="32"/>
        <v>-4.1749249261528982E-5</v>
      </c>
      <c r="S41" s="1"/>
      <c r="T41" s="1">
        <f>SUM(OSRRefT22_3x_0)</f>
        <v>61.08</v>
      </c>
      <c r="U41" s="1"/>
      <c r="V41" s="5">
        <f t="shared" si="33"/>
        <v>1.1683189989824452E-4</v>
      </c>
      <c r="W41" s="1"/>
      <c r="X41" s="1">
        <f t="shared" si="34"/>
        <v>-82.009999999999991</v>
      </c>
      <c r="Y41" s="1"/>
      <c r="Z41" s="5">
        <f t="shared" si="35"/>
        <v>-1.3426653569089717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>
        <v>-3.62</v>
      </c>
      <c r="E42" s="2"/>
      <c r="F42" s="7">
        <f t="shared" si="28"/>
        <v>-7.3305647288865564E-5</v>
      </c>
      <c r="G42" s="2"/>
      <c r="H42" s="6">
        <v>11.79</v>
      </c>
      <c r="I42" s="2"/>
      <c r="J42" s="7">
        <f t="shared" si="29"/>
        <v>2.3398052067512607E-4</v>
      </c>
      <c r="K42" s="2"/>
      <c r="L42" s="6">
        <f t="shared" si="30"/>
        <v>-15.41</v>
      </c>
      <c r="M42" s="2"/>
      <c r="N42" s="7">
        <f t="shared" si="31"/>
        <v>-1.3070398642917729</v>
      </c>
      <c r="O42" s="11"/>
      <c r="P42" s="6">
        <v>-20.93</v>
      </c>
      <c r="Q42" s="2"/>
      <c r="R42" s="7">
        <f t="shared" si="32"/>
        <v>-4.1749249261528982E-5</v>
      </c>
      <c r="S42" s="2"/>
      <c r="T42" s="6">
        <v>61.08</v>
      </c>
      <c r="U42" s="2"/>
      <c r="V42" s="7">
        <f t="shared" si="33"/>
        <v>1.1683189989824452E-4</v>
      </c>
      <c r="W42" s="2"/>
      <c r="X42" s="6">
        <f t="shared" si="34"/>
        <v>-82.009999999999991</v>
      </c>
      <c r="Y42" s="2"/>
      <c r="Z42" s="7">
        <f t="shared" si="35"/>
        <v>-1.3426653569089717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1820.16</v>
      </c>
      <c r="E43" s="1"/>
      <c r="F43" s="5">
        <f t="shared" si="28"/>
        <v>3.6858565461133024E-2</v>
      </c>
      <c r="G43" s="1"/>
      <c r="H43" s="1">
        <f>SUM(OSRRefH22_4x_0)</f>
        <v>2138.79</v>
      </c>
      <c r="I43" s="1"/>
      <c r="J43" s="5">
        <f t="shared" si="29"/>
        <v>4.2445733487256401E-2</v>
      </c>
      <c r="K43" s="1"/>
      <c r="L43" s="1">
        <f t="shared" si="30"/>
        <v>-318.62999999999988</v>
      </c>
      <c r="M43" s="1"/>
      <c r="N43" s="5">
        <f t="shared" si="31"/>
        <v>-0.14897675788646847</v>
      </c>
      <c r="O43" s="13"/>
      <c r="P43" s="1">
        <f>SUM(OSRRefP22_4x_0)</f>
        <v>21069.63</v>
      </c>
      <c r="Q43" s="1"/>
      <c r="R43" s="5">
        <f t="shared" si="32"/>
        <v>4.2027770411762491E-2</v>
      </c>
      <c r="S43" s="1"/>
      <c r="T43" s="1">
        <f>SUM(OSRRefT22_4x_0)</f>
        <v>21795.38</v>
      </c>
      <c r="U43" s="1"/>
      <c r="V43" s="5">
        <f t="shared" si="33"/>
        <v>4.1689516280356928E-2</v>
      </c>
      <c r="W43" s="1"/>
      <c r="X43" s="1">
        <f t="shared" si="34"/>
        <v>-725.75</v>
      </c>
      <c r="Y43" s="1"/>
      <c r="Z43" s="5">
        <f t="shared" si="35"/>
        <v>-3.3298341208090887E-2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1820.16</v>
      </c>
      <c r="E44" s="2"/>
      <c r="F44" s="7">
        <f t="shared" si="28"/>
        <v>3.6858565461133024E-2</v>
      </c>
      <c r="G44" s="2"/>
      <c r="H44" s="6">
        <v>2138.79</v>
      </c>
      <c r="I44" s="2"/>
      <c r="J44" s="7">
        <f t="shared" si="29"/>
        <v>4.2445733487256401E-2</v>
      </c>
      <c r="K44" s="2"/>
      <c r="L44" s="6">
        <f t="shared" si="30"/>
        <v>-318.62999999999988</v>
      </c>
      <c r="M44" s="2"/>
      <c r="N44" s="7">
        <f t="shared" si="31"/>
        <v>-0.14897675788646847</v>
      </c>
      <c r="O44" s="11"/>
      <c r="P44" s="6">
        <v>21069.63</v>
      </c>
      <c r="Q44" s="2"/>
      <c r="R44" s="7">
        <f t="shared" si="32"/>
        <v>4.2027770411762491E-2</v>
      </c>
      <c r="S44" s="2"/>
      <c r="T44" s="6">
        <v>21795.38</v>
      </c>
      <c r="U44" s="2"/>
      <c r="V44" s="7">
        <f t="shared" si="33"/>
        <v>4.1689516280356928E-2</v>
      </c>
      <c r="W44" s="2"/>
      <c r="X44" s="6">
        <f t="shared" si="34"/>
        <v>-725.75</v>
      </c>
      <c r="Y44" s="2"/>
      <c r="Z44" s="7">
        <f t="shared" si="35"/>
        <v>-3.3298341208090887E-2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13580.689999999999</v>
      </c>
      <c r="E45" s="1"/>
      <c r="F45" s="5">
        <f t="shared" si="28"/>
        <v>0.2750114008506695</v>
      </c>
      <c r="G45" s="1"/>
      <c r="H45" s="1">
        <f>SUM(OSRRefH22_5x_0)</f>
        <v>13266.9</v>
      </c>
      <c r="I45" s="1"/>
      <c r="J45" s="5">
        <f t="shared" si="29"/>
        <v>0.26329059963908652</v>
      </c>
      <c r="K45" s="1"/>
      <c r="L45" s="1">
        <f t="shared" si="30"/>
        <v>313.78999999999905</v>
      </c>
      <c r="M45" s="1"/>
      <c r="N45" s="5">
        <f t="shared" si="31"/>
        <v>2.3652096571165761E-2</v>
      </c>
      <c r="O45" s="13"/>
      <c r="P45" s="1">
        <f>SUM(OSRRefP22_5x_0)</f>
        <v>93495.930000000008</v>
      </c>
      <c r="Q45" s="1"/>
      <c r="R45" s="5">
        <f t="shared" si="32"/>
        <v>0.1864971278790476</v>
      </c>
      <c r="S45" s="1"/>
      <c r="T45" s="1">
        <f>SUM(OSRRefT22_5x_0)</f>
        <v>92868.3</v>
      </c>
      <c r="U45" s="1"/>
      <c r="V45" s="5">
        <f t="shared" si="33"/>
        <v>0.17763555876424594</v>
      </c>
      <c r="W45" s="1"/>
      <c r="X45" s="1">
        <f t="shared" si="34"/>
        <v>627.63000000000466</v>
      </c>
      <c r="Y45" s="1"/>
      <c r="Z45" s="5">
        <f t="shared" si="35"/>
        <v>6.7582802743240116E-3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8"/>
        <v>0.21490421260419729</v>
      </c>
      <c r="G46" s="2"/>
      <c r="H46" s="6">
        <v>10612.46</v>
      </c>
      <c r="I46" s="2"/>
      <c r="J46" s="7">
        <f t="shared" si="29"/>
        <v>0.21061144329465212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74287.22</v>
      </c>
      <c r="Q46" s="2"/>
      <c r="R46" s="7">
        <f t="shared" si="32"/>
        <v>0.14818135044080466</v>
      </c>
      <c r="S46" s="2"/>
      <c r="T46" s="6">
        <v>74287.22</v>
      </c>
      <c r="U46" s="2"/>
      <c r="V46" s="7">
        <f t="shared" si="33"/>
        <v>0.14209425426913669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2968.23</v>
      </c>
      <c r="E47" s="2"/>
      <c r="F47" s="7">
        <f t="shared" si="28"/>
        <v>6.0107188246472217E-2</v>
      </c>
      <c r="G47" s="2"/>
      <c r="H47" s="6">
        <v>2654.44</v>
      </c>
      <c r="I47" s="2"/>
      <c r="J47" s="7">
        <f t="shared" si="29"/>
        <v>5.2679156344434409E-2</v>
      </c>
      <c r="K47" s="2"/>
      <c r="L47" s="6">
        <f t="shared" si="30"/>
        <v>313.78999999999996</v>
      </c>
      <c r="M47" s="2"/>
      <c r="N47" s="7">
        <f t="shared" si="31"/>
        <v>0.11821325778695316</v>
      </c>
      <c r="O47" s="11"/>
      <c r="P47" s="6">
        <v>19208.710000000003</v>
      </c>
      <c r="Q47" s="2"/>
      <c r="R47" s="7">
        <f t="shared" si="32"/>
        <v>3.831577743824293E-2</v>
      </c>
      <c r="S47" s="2"/>
      <c r="T47" s="6">
        <v>18581.080000000002</v>
      </c>
      <c r="U47" s="2"/>
      <c r="V47" s="7">
        <f t="shared" si="33"/>
        <v>3.5541304495109262E-2</v>
      </c>
      <c r="W47" s="2"/>
      <c r="X47" s="6">
        <f t="shared" si="34"/>
        <v>627.63000000000102</v>
      </c>
      <c r="Y47" s="2"/>
      <c r="Z47" s="7">
        <f t="shared" si="35"/>
        <v>3.3777907419805575E-2</v>
      </c>
    </row>
    <row r="48" spans="1:26" s="26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2" si="36">IF(D$12=0,0,D48/D$12)</f>
        <v>0</v>
      </c>
      <c r="G48" s="1"/>
      <c r="H48" s="1">
        <f>SUM(OSRRefH22_6x_0)</f>
        <v>30.04</v>
      </c>
      <c r="I48" s="1"/>
      <c r="J48" s="5">
        <f t="shared" ref="J48:J62" si="37">IF(H$12=0,0,H48/H$12)</f>
        <v>5.9616410865825171E-4</v>
      </c>
      <c r="K48" s="1"/>
      <c r="L48" s="1">
        <f t="shared" ref="L48:L62" si="38">+D48-H48</f>
        <v>-30.04</v>
      </c>
      <c r="M48" s="1"/>
      <c r="N48" s="5">
        <f t="shared" ref="N48:N62" si="39">IF(H48=0,0,L48/H48)</f>
        <v>-1</v>
      </c>
      <c r="O48" s="13"/>
      <c r="P48" s="1">
        <f>SUM(OSRRefP22_6x_0)</f>
        <v>96.36</v>
      </c>
      <c r="Q48" s="1"/>
      <c r="R48" s="5">
        <f t="shared" ref="R48:R62" si="40">IF(P$12=0,0,P48/P$12)</f>
        <v>1.9221011270143014E-4</v>
      </c>
      <c r="S48" s="1"/>
      <c r="T48" s="1">
        <f>SUM(OSRRefT22_6x_0)</f>
        <v>129.41</v>
      </c>
      <c r="U48" s="1"/>
      <c r="V48" s="5">
        <f t="shared" ref="V48:V62" si="41">IF(T$12=0,0,T48/T$12)</f>
        <v>2.4753137141178495E-4</v>
      </c>
      <c r="W48" s="1"/>
      <c r="X48" s="1">
        <f t="shared" ref="X48:X62" si="42">+P48-T48</f>
        <v>-33.049999999999997</v>
      </c>
      <c r="Y48" s="1"/>
      <c r="Z48" s="5">
        <f t="shared" ref="Z48:Z62" si="43">IF(T48=0,0,X48/T48)</f>
        <v>-0.2553898462251758</v>
      </c>
    </row>
    <row r="49" spans="1:26" s="24" customFormat="1" hidden="1" outlineLevel="2" x14ac:dyDescent="0.25">
      <c r="A49" s="25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30.04</v>
      </c>
      <c r="I49" s="2"/>
      <c r="J49" s="7">
        <f t="shared" si="37"/>
        <v>5.9616410865825171E-4</v>
      </c>
      <c r="K49" s="2"/>
      <c r="L49" s="6">
        <f t="shared" si="38"/>
        <v>-30.04</v>
      </c>
      <c r="M49" s="2"/>
      <c r="N49" s="7">
        <f t="shared" si="39"/>
        <v>-1</v>
      </c>
      <c r="O49" s="11"/>
      <c r="P49" s="6">
        <v>96.36</v>
      </c>
      <c r="Q49" s="2"/>
      <c r="R49" s="7">
        <f t="shared" si="40"/>
        <v>1.9221011270143014E-4</v>
      </c>
      <c r="S49" s="2"/>
      <c r="T49" s="6">
        <v>129.41</v>
      </c>
      <c r="U49" s="2"/>
      <c r="V49" s="7">
        <f t="shared" si="41"/>
        <v>2.4753137141178495E-4</v>
      </c>
      <c r="W49" s="2"/>
      <c r="X49" s="6">
        <f t="shared" si="42"/>
        <v>-33.049999999999997</v>
      </c>
      <c r="Y49" s="2"/>
      <c r="Z49" s="7">
        <f t="shared" si="43"/>
        <v>-0.2553898462251758</v>
      </c>
    </row>
    <row r="50" spans="1:26" s="26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165.53</v>
      </c>
      <c r="E50" s="1"/>
      <c r="F50" s="5">
        <f t="shared" si="36"/>
        <v>3.352012098266828E-3</v>
      </c>
      <c r="G50" s="1"/>
      <c r="H50" s="1">
        <f>SUM(OSRRefH22_7x_0)</f>
        <v>149.55000000000001</v>
      </c>
      <c r="I50" s="1"/>
      <c r="J50" s="5">
        <f t="shared" si="37"/>
        <v>2.9679208538562433E-3</v>
      </c>
      <c r="K50" s="1"/>
      <c r="L50" s="1">
        <f t="shared" si="38"/>
        <v>15.97999999999999</v>
      </c>
      <c r="M50" s="1"/>
      <c r="N50" s="5">
        <f t="shared" si="39"/>
        <v>0.10685389501838842</v>
      </c>
      <c r="O50" s="13"/>
      <c r="P50" s="1">
        <f>SUM(OSRRefP22_7x_0)</f>
        <v>834.49</v>
      </c>
      <c r="Q50" s="1"/>
      <c r="R50" s="5">
        <f t="shared" si="40"/>
        <v>1.6645643103799963E-3</v>
      </c>
      <c r="S50" s="1"/>
      <c r="T50" s="1">
        <f>SUM(OSRRefT22_7x_0)</f>
        <v>972.83</v>
      </c>
      <c r="U50" s="1"/>
      <c r="V50" s="5">
        <f t="shared" si="41"/>
        <v>1.8607985785528689E-3</v>
      </c>
      <c r="W50" s="1"/>
      <c r="X50" s="1">
        <f t="shared" si="42"/>
        <v>-138.34000000000003</v>
      </c>
      <c r="Y50" s="1"/>
      <c r="Z50" s="5">
        <f t="shared" si="43"/>
        <v>-0.14220367381762489</v>
      </c>
    </row>
    <row r="51" spans="1:26" s="24" customFormat="1" hidden="1" outlineLevel="2" x14ac:dyDescent="0.25">
      <c r="A51" s="25"/>
      <c r="B51" s="11" t="str">
        <f>CONCATENATE("          ", "6351", " - ", "EQUIPMENT RENTAL")</f>
        <v xml:space="preserve">          6351 - EQUIPMENT RENTAL</v>
      </c>
      <c r="C51" s="11"/>
      <c r="D51" s="6">
        <v>165.53</v>
      </c>
      <c r="E51" s="2"/>
      <c r="F51" s="7">
        <f t="shared" si="36"/>
        <v>3.352012098266828E-3</v>
      </c>
      <c r="G51" s="2"/>
      <c r="H51" s="6">
        <v>149.55000000000001</v>
      </c>
      <c r="I51" s="2"/>
      <c r="J51" s="7">
        <f t="shared" si="37"/>
        <v>2.9679208538562433E-3</v>
      </c>
      <c r="K51" s="2"/>
      <c r="L51" s="6">
        <f t="shared" si="38"/>
        <v>15.97999999999999</v>
      </c>
      <c r="M51" s="2"/>
      <c r="N51" s="7">
        <f t="shared" si="39"/>
        <v>0.10685389501838842</v>
      </c>
      <c r="O51" s="11"/>
      <c r="P51" s="6">
        <v>834.49</v>
      </c>
      <c r="Q51" s="2"/>
      <c r="R51" s="7">
        <f t="shared" si="40"/>
        <v>1.6645643103799963E-3</v>
      </c>
      <c r="S51" s="2"/>
      <c r="T51" s="6">
        <v>972.83</v>
      </c>
      <c r="U51" s="2"/>
      <c r="V51" s="7">
        <f t="shared" si="41"/>
        <v>1.8607985785528689E-3</v>
      </c>
      <c r="W51" s="2"/>
      <c r="X51" s="6">
        <f t="shared" si="42"/>
        <v>-138.34000000000003</v>
      </c>
      <c r="Y51" s="2"/>
      <c r="Z51" s="7">
        <f t="shared" si="43"/>
        <v>-0.14220367381762489</v>
      </c>
    </row>
    <row r="52" spans="1:26" s="26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16.8</v>
      </c>
      <c r="E52" s="1"/>
      <c r="F52" s="5">
        <f t="shared" si="36"/>
        <v>3.402030039925253E-4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16.8</v>
      </c>
      <c r="M52" s="1"/>
      <c r="N52" s="5">
        <f t="shared" si="39"/>
        <v>0</v>
      </c>
      <c r="O52" s="13"/>
      <c r="P52" s="1">
        <f>SUM(OSRRefP22_8x_0)</f>
        <v>1843.41</v>
      </c>
      <c r="Q52" s="1"/>
      <c r="R52" s="5">
        <f t="shared" si="40"/>
        <v>3.677065627386295E-3</v>
      </c>
      <c r="S52" s="1"/>
      <c r="T52" s="1">
        <f>SUM(OSRRefT22_8x_0)</f>
        <v>2037.97</v>
      </c>
      <c r="U52" s="1"/>
      <c r="V52" s="5">
        <f t="shared" si="41"/>
        <v>3.898164817217181E-3</v>
      </c>
      <c r="W52" s="1"/>
      <c r="X52" s="1">
        <f t="shared" si="42"/>
        <v>-194.55999999999995</v>
      </c>
      <c r="Y52" s="1"/>
      <c r="Z52" s="5">
        <f t="shared" si="43"/>
        <v>-9.5467548590018464E-2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6">
        <v>16.8</v>
      </c>
      <c r="E53" s="2"/>
      <c r="F53" s="7">
        <f t="shared" si="36"/>
        <v>3.402030039925253E-4</v>
      </c>
      <c r="G53" s="2"/>
      <c r="H53" s="6"/>
      <c r="I53" s="2"/>
      <c r="J53" s="7">
        <f t="shared" si="37"/>
        <v>0</v>
      </c>
      <c r="K53" s="2"/>
      <c r="L53" s="6">
        <f t="shared" si="38"/>
        <v>16.8</v>
      </c>
      <c r="M53" s="2"/>
      <c r="N53" s="7">
        <f t="shared" si="39"/>
        <v>0</v>
      </c>
      <c r="O53" s="11"/>
      <c r="P53" s="6">
        <v>1843.41</v>
      </c>
      <c r="Q53" s="2"/>
      <c r="R53" s="7">
        <f t="shared" si="40"/>
        <v>3.677065627386295E-3</v>
      </c>
      <c r="S53" s="2"/>
      <c r="T53" s="6">
        <v>2037.97</v>
      </c>
      <c r="U53" s="2"/>
      <c r="V53" s="7">
        <f t="shared" si="41"/>
        <v>3.898164817217181E-3</v>
      </c>
      <c r="W53" s="2"/>
      <c r="X53" s="6">
        <f t="shared" si="42"/>
        <v>-194.55999999999995</v>
      </c>
      <c r="Y53" s="2"/>
      <c r="Z53" s="7">
        <f t="shared" si="43"/>
        <v>-9.5467548590018464E-2</v>
      </c>
    </row>
    <row r="54" spans="1:26" s="26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1.2986034666686106E-2</v>
      </c>
      <c r="G54" s="1"/>
      <c r="H54" s="1">
        <f>SUM(OSRRefH22_9x_0)</f>
        <v>604.16</v>
      </c>
      <c r="I54" s="1"/>
      <c r="J54" s="5">
        <f t="shared" si="37"/>
        <v>1.1989963644706036E-2</v>
      </c>
      <c r="K54" s="1"/>
      <c r="L54" s="1">
        <f t="shared" si="38"/>
        <v>37.120000000000005</v>
      </c>
      <c r="M54" s="1"/>
      <c r="N54" s="5">
        <f t="shared" si="39"/>
        <v>6.1440677966101705E-2</v>
      </c>
      <c r="O54" s="13"/>
      <c r="P54" s="1">
        <f>SUM(OSRRefP22_9x_0)</f>
        <v>4488.96</v>
      </c>
      <c r="Q54" s="1"/>
      <c r="R54" s="5">
        <f t="shared" si="40"/>
        <v>8.9541667446265249E-3</v>
      </c>
      <c r="S54" s="1"/>
      <c r="T54" s="1">
        <f>SUM(OSRRefT22_9x_0)</f>
        <v>4229.12</v>
      </c>
      <c r="U54" s="1"/>
      <c r="V54" s="5">
        <f t="shared" si="41"/>
        <v>8.0893275130593297E-3</v>
      </c>
      <c r="W54" s="1"/>
      <c r="X54" s="1">
        <f t="shared" si="42"/>
        <v>259.84000000000015</v>
      </c>
      <c r="Y54" s="1"/>
      <c r="Z54" s="5">
        <f t="shared" si="43"/>
        <v>6.1440677966101732E-2</v>
      </c>
    </row>
    <row r="55" spans="1:26" s="24" customFormat="1" hidden="1" outlineLevel="2" x14ac:dyDescent="0.25">
      <c r="A55" s="25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6"/>
        <v>1.2986034666686106E-2</v>
      </c>
      <c r="G55" s="2"/>
      <c r="H55" s="6">
        <v>604.16</v>
      </c>
      <c r="I55" s="2"/>
      <c r="J55" s="7">
        <f t="shared" si="37"/>
        <v>1.1989963644706036E-2</v>
      </c>
      <c r="K55" s="2"/>
      <c r="L55" s="6">
        <f t="shared" si="38"/>
        <v>37.120000000000005</v>
      </c>
      <c r="M55" s="2"/>
      <c r="N55" s="7">
        <f t="shared" si="39"/>
        <v>6.1440677966101705E-2</v>
      </c>
      <c r="O55" s="11"/>
      <c r="P55" s="6">
        <v>4488.96</v>
      </c>
      <c r="Q55" s="2"/>
      <c r="R55" s="7">
        <f t="shared" si="40"/>
        <v>8.9541667446265249E-3</v>
      </c>
      <c r="S55" s="2"/>
      <c r="T55" s="6">
        <v>4229.12</v>
      </c>
      <c r="U55" s="2"/>
      <c r="V55" s="7">
        <f t="shared" si="41"/>
        <v>8.0893275130593297E-3</v>
      </c>
      <c r="W55" s="2"/>
      <c r="X55" s="6">
        <f t="shared" si="42"/>
        <v>259.84000000000015</v>
      </c>
      <c r="Y55" s="2"/>
      <c r="Z55" s="7">
        <f t="shared" si="43"/>
        <v>6.1440677966101732E-2</v>
      </c>
    </row>
    <row r="56" spans="1:26" s="26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6"/>
        <v>0.15701988648559767</v>
      </c>
      <c r="G56" s="1"/>
      <c r="H56" s="1">
        <f>SUM(OSRRefH22_10x_0)</f>
        <v>7949</v>
      </c>
      <c r="I56" s="1"/>
      <c r="J56" s="5">
        <f t="shared" si="37"/>
        <v>0.15775327895221181</v>
      </c>
      <c r="K56" s="1"/>
      <c r="L56" s="1">
        <f t="shared" si="38"/>
        <v>-195</v>
      </c>
      <c r="M56" s="1"/>
      <c r="N56" s="5">
        <f t="shared" si="39"/>
        <v>-2.4531387595924017E-2</v>
      </c>
      <c r="O56" s="13"/>
      <c r="P56" s="1">
        <f>SUM(OSRRefP22_10x_0)</f>
        <v>53885.049999999996</v>
      </c>
      <c r="Q56" s="1"/>
      <c r="R56" s="5">
        <f t="shared" si="40"/>
        <v>0.1074849681758219</v>
      </c>
      <c r="S56" s="1"/>
      <c r="T56" s="1">
        <f>SUM(OSRRefT22_10x_0)</f>
        <v>55243.100000000006</v>
      </c>
      <c r="U56" s="1"/>
      <c r="V56" s="5">
        <f t="shared" si="41"/>
        <v>0.10566726144840723</v>
      </c>
      <c r="W56" s="1"/>
      <c r="X56" s="1">
        <f t="shared" si="42"/>
        <v>-1358.0500000000102</v>
      </c>
      <c r="Y56" s="1"/>
      <c r="Z56" s="5">
        <f t="shared" si="43"/>
        <v>-2.4583160611913707E-2</v>
      </c>
    </row>
    <row r="57" spans="1:26" s="24" customFormat="1" hidden="1" outlineLevel="2" x14ac:dyDescent="0.25">
      <c r="A57" s="25"/>
      <c r="B57" s="11" t="str">
        <f>CONCATENATE("          ", "6401", " - ", "INTEREST EXPENSE")</f>
        <v xml:space="preserve">          6401 - INTEREST EXPENSE</v>
      </c>
      <c r="C57" s="11"/>
      <c r="D57" s="6">
        <v>7754</v>
      </c>
      <c r="E57" s="2"/>
      <c r="F57" s="7">
        <f t="shared" si="36"/>
        <v>0.15701988648559767</v>
      </c>
      <c r="G57" s="2"/>
      <c r="H57" s="6">
        <v>7949</v>
      </c>
      <c r="I57" s="2"/>
      <c r="J57" s="7">
        <f t="shared" si="37"/>
        <v>0.15775327895221181</v>
      </c>
      <c r="K57" s="2"/>
      <c r="L57" s="6">
        <f t="shared" si="38"/>
        <v>-195</v>
      </c>
      <c r="M57" s="2"/>
      <c r="N57" s="7">
        <f t="shared" si="39"/>
        <v>-2.4531387595924017E-2</v>
      </c>
      <c r="O57" s="11"/>
      <c r="P57" s="6">
        <v>53885.049999999996</v>
      </c>
      <c r="Q57" s="2"/>
      <c r="R57" s="7">
        <f t="shared" si="40"/>
        <v>0.1074849681758219</v>
      </c>
      <c r="S57" s="2"/>
      <c r="T57" s="6">
        <v>55243.100000000006</v>
      </c>
      <c r="U57" s="2"/>
      <c r="V57" s="7">
        <f t="shared" si="41"/>
        <v>0.10566726144840723</v>
      </c>
      <c r="W57" s="2"/>
      <c r="X57" s="6">
        <f t="shared" si="42"/>
        <v>-1358.0500000000102</v>
      </c>
      <c r="Y57" s="2"/>
      <c r="Z57" s="7">
        <f t="shared" si="43"/>
        <v>-2.4583160611913707E-2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3433.27</v>
      </c>
      <c r="E58" s="1"/>
      <c r="F58" s="5">
        <f t="shared" si="36"/>
        <v>6.9524331399846262E-2</v>
      </c>
      <c r="G58" s="1"/>
      <c r="H58" s="1">
        <f>SUM(OSRRefH22_11x_0)</f>
        <v>1571.54</v>
      </c>
      <c r="I58" s="1"/>
      <c r="J58" s="5">
        <f t="shared" si="37"/>
        <v>3.11882737456987E-2</v>
      </c>
      <c r="K58" s="1"/>
      <c r="L58" s="1">
        <f t="shared" si="38"/>
        <v>1861.73</v>
      </c>
      <c r="M58" s="1"/>
      <c r="N58" s="5">
        <f t="shared" si="39"/>
        <v>1.1846532700408516</v>
      </c>
      <c r="O58" s="13"/>
      <c r="P58" s="1">
        <f>SUM(OSRRefP22_11x_0)</f>
        <v>22515.279999999999</v>
      </c>
      <c r="Q58" s="1"/>
      <c r="R58" s="5">
        <f t="shared" si="40"/>
        <v>4.4911420779413201E-2</v>
      </c>
      <c r="S58" s="1"/>
      <c r="T58" s="1">
        <f>SUM(OSRRefT22_11x_0)</f>
        <v>12228.12</v>
      </c>
      <c r="U58" s="1"/>
      <c r="V58" s="5">
        <f t="shared" si="41"/>
        <v>2.3389562733852686E-2</v>
      </c>
      <c r="W58" s="1"/>
      <c r="X58" s="1">
        <f t="shared" si="42"/>
        <v>10287.159999999998</v>
      </c>
      <c r="Y58" s="1"/>
      <c r="Z58" s="5">
        <f t="shared" si="43"/>
        <v>0.84127077588378241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2623.84</v>
      </c>
      <c r="Q59" s="2"/>
      <c r="R59" s="7">
        <f t="shared" si="40"/>
        <v>5.2337959953354142E-3</v>
      </c>
      <c r="S59" s="2"/>
      <c r="T59" s="6">
        <v>171.43</v>
      </c>
      <c r="U59" s="2"/>
      <c r="V59" s="7">
        <f t="shared" si="41"/>
        <v>3.2790590372554126E-4</v>
      </c>
      <c r="W59" s="2"/>
      <c r="X59" s="6">
        <f t="shared" si="42"/>
        <v>2452.4100000000003</v>
      </c>
      <c r="Y59" s="2"/>
      <c r="Z59" s="7">
        <f t="shared" si="43"/>
        <v>14.305605786618447</v>
      </c>
    </row>
    <row r="60" spans="1:26" s="24" customFormat="1" hidden="1" outlineLevel="2" x14ac:dyDescent="0.25">
      <c r="A60" s="25"/>
      <c r="B60" s="11" t="str">
        <f>CONCATENATE("          ", "6372", " - ", "COMPUTER HARDWARE MAINTENANCE")</f>
        <v xml:space="preserve">          6372 - COMPUTER HARDWARE MAINTENANCE</v>
      </c>
      <c r="C60" s="11"/>
      <c r="D60" s="6">
        <v>-0.01</v>
      </c>
      <c r="E60" s="2"/>
      <c r="F60" s="7">
        <f t="shared" si="36"/>
        <v>-2.0250178809078885E-7</v>
      </c>
      <c r="G60" s="2"/>
      <c r="H60" s="6">
        <v>880.96</v>
      </c>
      <c r="I60" s="2"/>
      <c r="J60" s="7">
        <f t="shared" si="37"/>
        <v>1.7483246776417227E-2</v>
      </c>
      <c r="K60" s="2"/>
      <c r="L60" s="6">
        <f t="shared" si="38"/>
        <v>-880.97</v>
      </c>
      <c r="M60" s="2"/>
      <c r="N60" s="7">
        <f t="shared" si="39"/>
        <v>-1.0000113512531783</v>
      </c>
      <c r="O60" s="11"/>
      <c r="P60" s="6">
        <v>-0.01</v>
      </c>
      <c r="Q60" s="2"/>
      <c r="R60" s="7">
        <f t="shared" si="40"/>
        <v>-1.9947085170343521E-8</v>
      </c>
      <c r="S60" s="2"/>
      <c r="T60" s="6">
        <v>880.96</v>
      </c>
      <c r="U60" s="2"/>
      <c r="V60" s="7">
        <f t="shared" si="41"/>
        <v>1.6850725365808368E-3</v>
      </c>
      <c r="W60" s="2"/>
      <c r="X60" s="6">
        <f t="shared" si="42"/>
        <v>-880.97</v>
      </c>
      <c r="Y60" s="2"/>
      <c r="Z60" s="7">
        <f t="shared" si="43"/>
        <v>-1.0000113512531783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3768.74</v>
      </c>
      <c r="Q61" s="2"/>
      <c r="R61" s="7">
        <f t="shared" si="40"/>
        <v>7.5175377764880435E-3</v>
      </c>
      <c r="S61" s="2"/>
      <c r="T61" s="6">
        <v>202.4</v>
      </c>
      <c r="U61" s="2"/>
      <c r="V61" s="7">
        <f t="shared" si="41"/>
        <v>3.8714434412908798E-4</v>
      </c>
      <c r="W61" s="2"/>
      <c r="X61" s="6">
        <f t="shared" si="42"/>
        <v>3566.3399999999997</v>
      </c>
      <c r="Y61" s="2"/>
      <c r="Z61" s="7">
        <f t="shared" si="43"/>
        <v>17.620256916996045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3433.28</v>
      </c>
      <c r="E62" s="2"/>
      <c r="F62" s="7">
        <f t="shared" si="36"/>
        <v>6.9524533901634364E-2</v>
      </c>
      <c r="G62" s="2"/>
      <c r="H62" s="6">
        <v>690.58</v>
      </c>
      <c r="I62" s="2"/>
      <c r="J62" s="7">
        <f t="shared" si="37"/>
        <v>1.3705026969281475E-2</v>
      </c>
      <c r="K62" s="2"/>
      <c r="L62" s="6">
        <f t="shared" si="38"/>
        <v>2742.7000000000003</v>
      </c>
      <c r="M62" s="2"/>
      <c r="N62" s="7">
        <f t="shared" si="39"/>
        <v>3.9715890990182166</v>
      </c>
      <c r="O62" s="11"/>
      <c r="P62" s="6">
        <v>16122.710000000001</v>
      </c>
      <c r="Q62" s="2"/>
      <c r="R62" s="7">
        <f t="shared" si="40"/>
        <v>3.2160106954674916E-2</v>
      </c>
      <c r="S62" s="2"/>
      <c r="T62" s="6">
        <v>10973.33</v>
      </c>
      <c r="U62" s="2"/>
      <c r="V62" s="7">
        <f t="shared" si="41"/>
        <v>2.0989439949417217E-2</v>
      </c>
      <c r="W62" s="2"/>
      <c r="X62" s="6">
        <f t="shared" si="42"/>
        <v>5149.380000000001</v>
      </c>
      <c r="Y62" s="2"/>
      <c r="Z62" s="7">
        <f t="shared" si="43"/>
        <v>0.4692632045149468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5178.8100000000004</v>
      </c>
      <c r="E63" s="1"/>
      <c r="F63" s="5">
        <f t="shared" ref="F63:F68" si="44">IF(D$12=0,0,D63/D$12)</f>
        <v>0.10487182851824582</v>
      </c>
      <c r="G63" s="1"/>
      <c r="H63" s="1">
        <f>SUM(OSRRefH22_12x_0)</f>
        <v>4198.49</v>
      </c>
      <c r="I63" s="1"/>
      <c r="J63" s="5">
        <f t="shared" ref="J63:J68" si="45">IF(H$12=0,0,H63/H$12)</f>
        <v>8.3321872455412227E-2</v>
      </c>
      <c r="K63" s="1"/>
      <c r="L63" s="1">
        <f t="shared" ref="L63:L68" si="46">+D63-H63</f>
        <v>980.32000000000062</v>
      </c>
      <c r="M63" s="1"/>
      <c r="N63" s="5">
        <f t="shared" ref="N63:N68" si="47">IF(H63=0,0,L63/H63)</f>
        <v>0.23349347027145489</v>
      </c>
      <c r="O63" s="13"/>
      <c r="P63" s="1">
        <f>SUM(OSRRefP22_12x_0)</f>
        <v>32283.629999999997</v>
      </c>
      <c r="Q63" s="1"/>
      <c r="R63" s="5">
        <f t="shared" ref="R63:R68" si="48">IF(P$12=0,0,P63/P$12)</f>
        <v>6.4396431721785705E-2</v>
      </c>
      <c r="S63" s="1"/>
      <c r="T63" s="1">
        <f>SUM(OSRRefT22_12x_0)</f>
        <v>26173.93</v>
      </c>
      <c r="U63" s="1"/>
      <c r="V63" s="5">
        <f t="shared" ref="V63:V68" si="49">IF(T$12=0,0,T63/T$12)</f>
        <v>5.0064668790171241E-2</v>
      </c>
      <c r="W63" s="1"/>
      <c r="X63" s="1">
        <f t="shared" ref="X63:X68" si="50">+P63-T63</f>
        <v>6109.6999999999971</v>
      </c>
      <c r="Y63" s="1"/>
      <c r="Z63" s="5">
        <f t="shared" ref="Z63:Z68" si="51">IF(T63=0,0,X63/T63)</f>
        <v>0.23342692518853672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4"/>
        <v>0</v>
      </c>
      <c r="G64" s="2"/>
      <c r="H64" s="6">
        <v>478.54</v>
      </c>
      <c r="I64" s="2"/>
      <c r="J64" s="7">
        <f t="shared" si="45"/>
        <v>9.4969498188189009E-3</v>
      </c>
      <c r="K64" s="2"/>
      <c r="L64" s="6">
        <f t="shared" si="46"/>
        <v>-478.54</v>
      </c>
      <c r="M64" s="2"/>
      <c r="N64" s="7">
        <f t="shared" si="47"/>
        <v>-1</v>
      </c>
      <c r="O64" s="11"/>
      <c r="P64" s="6">
        <v>2299.7800000000002</v>
      </c>
      <c r="Q64" s="2"/>
      <c r="R64" s="7">
        <f t="shared" si="48"/>
        <v>4.5873907533052621E-3</v>
      </c>
      <c r="S64" s="2"/>
      <c r="T64" s="6">
        <v>2121.2399999999998</v>
      </c>
      <c r="U64" s="2"/>
      <c r="V64" s="7">
        <f t="shared" si="49"/>
        <v>4.0574410501007241E-3</v>
      </c>
      <c r="W64" s="2"/>
      <c r="X64" s="6">
        <f t="shared" si="50"/>
        <v>178.54000000000042</v>
      </c>
      <c r="Y64" s="2"/>
      <c r="Z64" s="7">
        <f t="shared" si="51"/>
        <v>8.4167750938130739E-2</v>
      </c>
    </row>
    <row r="65" spans="1:26" s="24" customFormat="1" hidden="1" outlineLevel="2" x14ac:dyDescent="0.25">
      <c r="A65" s="25"/>
      <c r="B65" s="11" t="str">
        <f>CONCATENATE("          ", "6283", " - ", "PLANT SERVICE")</f>
        <v xml:space="preserve">          6283 - PLANT SERVICE</v>
      </c>
      <c r="C65" s="11"/>
      <c r="D65" s="6"/>
      <c r="E65" s="2"/>
      <c r="F65" s="7">
        <f t="shared" si="44"/>
        <v>0</v>
      </c>
      <c r="G65" s="2"/>
      <c r="H65" s="6">
        <v>56</v>
      </c>
      <c r="I65" s="2"/>
      <c r="J65" s="7">
        <f t="shared" si="45"/>
        <v>1.1113578590167142E-3</v>
      </c>
      <c r="K65" s="2"/>
      <c r="L65" s="6">
        <f t="shared" si="46"/>
        <v>-56</v>
      </c>
      <c r="M65" s="2"/>
      <c r="N65" s="7">
        <f t="shared" si="47"/>
        <v>-1</v>
      </c>
      <c r="O65" s="11"/>
      <c r="P65" s="6">
        <v>246.2</v>
      </c>
      <c r="Q65" s="2"/>
      <c r="R65" s="7">
        <f t="shared" si="48"/>
        <v>4.9109723689385741E-4</v>
      </c>
      <c r="S65" s="2"/>
      <c r="T65" s="6">
        <v>392</v>
      </c>
      <c r="U65" s="2"/>
      <c r="V65" s="7">
        <f t="shared" si="49"/>
        <v>7.4980525147530877E-4</v>
      </c>
      <c r="W65" s="2"/>
      <c r="X65" s="6">
        <f t="shared" si="50"/>
        <v>-145.80000000000001</v>
      </c>
      <c r="Y65" s="2"/>
      <c r="Z65" s="7">
        <f t="shared" si="51"/>
        <v>-0.3719387755102041</v>
      </c>
    </row>
    <row r="66" spans="1:26" s="24" customFormat="1" hidden="1" outlineLevel="2" x14ac:dyDescent="0.25">
      <c r="A66" s="25"/>
      <c r="B66" s="11" t="str">
        <f>CONCATENATE("          ", "6284", " - ", "TRASH REMOVAL EXPENSE")</f>
        <v xml:space="preserve">          6284 - TRASH REMOVAL EXPENSE</v>
      </c>
      <c r="C66" s="11"/>
      <c r="D66" s="6">
        <v>761</v>
      </c>
      <c r="E66" s="2"/>
      <c r="F66" s="7">
        <f t="shared" si="44"/>
        <v>1.5410386073709032E-2</v>
      </c>
      <c r="G66" s="2"/>
      <c r="H66" s="6">
        <v>623</v>
      </c>
      <c r="I66" s="2"/>
      <c r="J66" s="7">
        <f t="shared" si="45"/>
        <v>1.2363856181560946E-2</v>
      </c>
      <c r="K66" s="2"/>
      <c r="L66" s="6">
        <f t="shared" si="46"/>
        <v>138</v>
      </c>
      <c r="M66" s="2"/>
      <c r="N66" s="7">
        <f t="shared" si="47"/>
        <v>0.22150882825040127</v>
      </c>
      <c r="O66" s="11"/>
      <c r="P66" s="6">
        <v>5319</v>
      </c>
      <c r="Q66" s="2"/>
      <c r="R66" s="7">
        <f t="shared" si="48"/>
        <v>1.0609854602105718E-2</v>
      </c>
      <c r="S66" s="2"/>
      <c r="T66" s="6">
        <v>5240.82</v>
      </c>
      <c r="U66" s="2"/>
      <c r="V66" s="7">
        <f t="shared" si="49"/>
        <v>1.0024475403155172E-2</v>
      </c>
      <c r="W66" s="2"/>
      <c r="X66" s="6">
        <f t="shared" si="50"/>
        <v>78.180000000000291</v>
      </c>
      <c r="Y66" s="2"/>
      <c r="Z66" s="7">
        <f t="shared" si="51"/>
        <v>1.4917512908285401E-2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6">
        <v>4049.35</v>
      </c>
      <c r="E67" s="2"/>
      <c r="F67" s="7">
        <f t="shared" si="44"/>
        <v>8.2000061560543583E-2</v>
      </c>
      <c r="G67" s="2"/>
      <c r="H67" s="6">
        <v>3040.95</v>
      </c>
      <c r="I67" s="2"/>
      <c r="J67" s="7">
        <f t="shared" si="45"/>
        <v>6.0349708596015662E-2</v>
      </c>
      <c r="K67" s="2"/>
      <c r="L67" s="6">
        <f t="shared" si="46"/>
        <v>1008.4000000000001</v>
      </c>
      <c r="M67" s="2"/>
      <c r="N67" s="7">
        <f t="shared" si="47"/>
        <v>0.33160689915980207</v>
      </c>
      <c r="O67" s="11"/>
      <c r="P67" s="6">
        <v>22595.05</v>
      </c>
      <c r="Q67" s="2"/>
      <c r="R67" s="7">
        <f t="shared" si="48"/>
        <v>4.5070538677817032E-2</v>
      </c>
      <c r="S67" s="2"/>
      <c r="T67" s="6">
        <v>17528.439999999999</v>
      </c>
      <c r="U67" s="2"/>
      <c r="V67" s="7">
        <f t="shared" si="49"/>
        <v>3.3527847862678213E-2</v>
      </c>
      <c r="W67" s="2"/>
      <c r="X67" s="6">
        <f t="shared" si="50"/>
        <v>5066.6100000000006</v>
      </c>
      <c r="Y67" s="2"/>
      <c r="Z67" s="7">
        <f t="shared" si="51"/>
        <v>0.28905082254895476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368.46</v>
      </c>
      <c r="E68" s="2"/>
      <c r="F68" s="7">
        <f t="shared" si="44"/>
        <v>7.4613808839932051E-3</v>
      </c>
      <c r="G68" s="2"/>
      <c r="H68" s="6"/>
      <c r="I68" s="2"/>
      <c r="J68" s="7">
        <f t="shared" si="45"/>
        <v>0</v>
      </c>
      <c r="K68" s="2"/>
      <c r="L68" s="6">
        <f t="shared" si="46"/>
        <v>368.46</v>
      </c>
      <c r="M68" s="2"/>
      <c r="N68" s="7">
        <f t="shared" si="47"/>
        <v>0</v>
      </c>
      <c r="O68" s="11"/>
      <c r="P68" s="6">
        <v>1823.6</v>
      </c>
      <c r="Q68" s="2"/>
      <c r="R68" s="7">
        <f t="shared" si="48"/>
        <v>3.6375504516638442E-3</v>
      </c>
      <c r="S68" s="2"/>
      <c r="T68" s="6">
        <v>891.43</v>
      </c>
      <c r="U68" s="2"/>
      <c r="V68" s="7">
        <f t="shared" si="49"/>
        <v>1.7050992227618225E-3</v>
      </c>
      <c r="W68" s="2"/>
      <c r="X68" s="6">
        <f t="shared" si="50"/>
        <v>932.17</v>
      </c>
      <c r="Y68" s="2"/>
      <c r="Z68" s="7">
        <f t="shared" si="51"/>
        <v>1.0457018498367792</v>
      </c>
    </row>
    <row r="69" spans="1:26" s="26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327.90999999999997</v>
      </c>
      <c r="E69" s="1"/>
      <c r="F69" s="5">
        <f t="shared" ref="F69:F71" si="52">IF(D$12=0,0,D69/D$12)</f>
        <v>6.6402361332850565E-3</v>
      </c>
      <c r="G69" s="1"/>
      <c r="H69" s="1">
        <f>SUM(OSRRefH22_13x_0)</f>
        <v>258.61</v>
      </c>
      <c r="I69" s="1"/>
      <c r="J69" s="5">
        <f t="shared" ref="J69:J71" si="53">IF(H$12=0,0,H69/H$12)</f>
        <v>5.1322902842912948E-3</v>
      </c>
      <c r="K69" s="1"/>
      <c r="L69" s="1">
        <f t="shared" ref="L69:L71" si="54">+D69-H69</f>
        <v>69.299999999999955</v>
      </c>
      <c r="M69" s="1"/>
      <c r="N69" s="5">
        <f t="shared" ref="N69:N71" si="55">IF(H69=0,0,L69/H69)</f>
        <v>0.26797107613781351</v>
      </c>
      <c r="O69" s="13"/>
      <c r="P69" s="1">
        <f>SUM(OSRRefP22_13x_0)</f>
        <v>2486.17</v>
      </c>
      <c r="Q69" s="1"/>
      <c r="R69" s="5">
        <f t="shared" ref="R69:R71" si="56">IF(P$12=0,0,P69/P$12)</f>
        <v>4.9591844737952948E-3</v>
      </c>
      <c r="S69" s="1"/>
      <c r="T69" s="1">
        <f>SUM(OSRRefT22_13x_0)</f>
        <v>1227.1600000000001</v>
      </c>
      <c r="U69" s="1"/>
      <c r="V69" s="5">
        <f t="shared" ref="V69:V71" si="57">IF(T$12=0,0,T69/T$12)</f>
        <v>2.3472729908174486E-3</v>
      </c>
      <c r="W69" s="1"/>
      <c r="X69" s="1">
        <f t="shared" ref="X69:X71" si="58">+P69-T69</f>
        <v>1259.01</v>
      </c>
      <c r="Y69" s="1"/>
      <c r="Z69" s="5">
        <f t="shared" ref="Z69:Z71" si="59">IF(T69=0,0,X69/T69)</f>
        <v>1.025954235796473</v>
      </c>
    </row>
    <row r="70" spans="1:26" s="24" customFormat="1" hidden="1" outlineLevel="2" x14ac:dyDescent="0.25">
      <c r="A70" s="25"/>
      <c r="B70" s="11" t="str">
        <f>CONCATENATE("          ", "6258", " - ", "MEMBERSHIP DUES")</f>
        <v xml:space="preserve">          6258 - MEMBERSHIP DUES</v>
      </c>
      <c r="C70" s="11"/>
      <c r="D70" s="6">
        <v>131.19999999999999</v>
      </c>
      <c r="E70" s="2"/>
      <c r="F70" s="7">
        <f t="shared" si="52"/>
        <v>2.6568234597511495E-3</v>
      </c>
      <c r="G70" s="2"/>
      <c r="H70" s="6"/>
      <c r="I70" s="2"/>
      <c r="J70" s="7">
        <f t="shared" si="53"/>
        <v>0</v>
      </c>
      <c r="K70" s="2"/>
      <c r="L70" s="6">
        <f t="shared" si="54"/>
        <v>131.19999999999999</v>
      </c>
      <c r="M70" s="2"/>
      <c r="N70" s="7">
        <f t="shared" si="55"/>
        <v>0</v>
      </c>
      <c r="O70" s="11"/>
      <c r="P70" s="6">
        <v>1109.2</v>
      </c>
      <c r="Q70" s="2"/>
      <c r="R70" s="7">
        <f t="shared" si="56"/>
        <v>2.2125306870945031E-3</v>
      </c>
      <c r="S70" s="2"/>
      <c r="T70" s="6"/>
      <c r="U70" s="2"/>
      <c r="V70" s="7">
        <f t="shared" si="57"/>
        <v>0</v>
      </c>
      <c r="W70" s="2"/>
      <c r="X70" s="6">
        <f t="shared" si="58"/>
        <v>1109.2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"6275", " - ", "SUBSCRIPTIONS")</f>
        <v xml:space="preserve">          6275 - SUBSCRIPTIONS</v>
      </c>
      <c r="C71" s="11"/>
      <c r="D71" s="6">
        <v>196.71</v>
      </c>
      <c r="E71" s="2"/>
      <c r="F71" s="7">
        <f t="shared" si="52"/>
        <v>3.9834126735339079E-3</v>
      </c>
      <c r="G71" s="2"/>
      <c r="H71" s="6">
        <v>258.61</v>
      </c>
      <c r="I71" s="2"/>
      <c r="J71" s="7">
        <f t="shared" si="53"/>
        <v>5.1322902842912948E-3</v>
      </c>
      <c r="K71" s="2"/>
      <c r="L71" s="6">
        <f t="shared" si="54"/>
        <v>-61.900000000000006</v>
      </c>
      <c r="M71" s="2"/>
      <c r="N71" s="7">
        <f t="shared" si="55"/>
        <v>-0.23935656007114961</v>
      </c>
      <c r="O71" s="11"/>
      <c r="P71" s="6">
        <v>1376.97</v>
      </c>
      <c r="Q71" s="2"/>
      <c r="R71" s="7">
        <f t="shared" si="56"/>
        <v>2.7466537867007917E-3</v>
      </c>
      <c r="S71" s="2"/>
      <c r="T71" s="6">
        <v>1227.1600000000001</v>
      </c>
      <c r="U71" s="2"/>
      <c r="V71" s="7">
        <f t="shared" si="57"/>
        <v>2.3472729908174486E-3</v>
      </c>
      <c r="W71" s="2"/>
      <c r="X71" s="6">
        <f t="shared" si="58"/>
        <v>149.80999999999995</v>
      </c>
      <c r="Y71" s="2"/>
      <c r="Z71" s="7">
        <f t="shared" si="59"/>
        <v>0.12207862055477683</v>
      </c>
    </row>
    <row r="72" spans="1:26" s="26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2781.96</v>
      </c>
      <c r="E72" s="1"/>
      <c r="F72" s="5">
        <f t="shared" ref="F72:F79" si="60">IF(D$12=0,0,D72/D$12)</f>
        <v>5.6335187439705094E-2</v>
      </c>
      <c r="G72" s="1"/>
      <c r="H72" s="1">
        <f>SUM(OSRRefH22_14x_0)</f>
        <v>1897.0800000000002</v>
      </c>
      <c r="I72" s="1"/>
      <c r="J72" s="5">
        <f t="shared" ref="J72:J79" si="61">IF(H$12=0,0,H72/H$12)</f>
        <v>3.7648835128275507E-2</v>
      </c>
      <c r="K72" s="1"/>
      <c r="L72" s="1">
        <f t="shared" ref="L72:L79" si="62">+D72-H72</f>
        <v>884.87999999999988</v>
      </c>
      <c r="M72" s="1"/>
      <c r="N72" s="5">
        <f t="shared" ref="N72:N79" si="63">IF(H72=0,0,L72/H72)</f>
        <v>0.46644316528559671</v>
      </c>
      <c r="O72" s="13"/>
      <c r="P72" s="1">
        <f>SUM(OSRRefP22_14x_0)</f>
        <v>17937.330000000005</v>
      </c>
      <c r="Q72" s="1"/>
      <c r="R72" s="5">
        <f t="shared" ref="R72:R79" si="64">IF(P$12=0,0,P72/P$12)</f>
        <v>3.57797449238558E-2</v>
      </c>
      <c r="S72" s="1"/>
      <c r="T72" s="1">
        <f>SUM(OSRRefT22_14x_0)</f>
        <v>18151.79</v>
      </c>
      <c r="U72" s="1"/>
      <c r="V72" s="5">
        <f t="shared" ref="V72:V79" si="65">IF(T$12=0,0,T72/T$12)</f>
        <v>3.4720172106318864E-2</v>
      </c>
      <c r="W72" s="1"/>
      <c r="X72" s="1">
        <f t="shared" ref="X72:X79" si="66">+P72-T72</f>
        <v>-214.45999999999549</v>
      </c>
      <c r="Y72" s="1"/>
      <c r="Z72" s="5">
        <f t="shared" ref="Z72:Z79" si="67">IF(T72=0,0,X72/T72)</f>
        <v>-1.1814812754003626E-2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1008.79</v>
      </c>
      <c r="E73" s="2"/>
      <c r="F73" s="7">
        <f t="shared" si="60"/>
        <v>2.0428177880810687E-2</v>
      </c>
      <c r="G73" s="2"/>
      <c r="H73" s="6"/>
      <c r="I73" s="2"/>
      <c r="J73" s="7">
        <f t="shared" si="61"/>
        <v>0</v>
      </c>
      <c r="K73" s="2"/>
      <c r="L73" s="6">
        <f t="shared" si="62"/>
        <v>1008.79</v>
      </c>
      <c r="M73" s="2"/>
      <c r="N73" s="7">
        <f t="shared" si="63"/>
        <v>0</v>
      </c>
      <c r="O73" s="11"/>
      <c r="P73" s="6">
        <v>1076.51</v>
      </c>
      <c r="Q73" s="2"/>
      <c r="R73" s="7">
        <f t="shared" si="64"/>
        <v>2.1473236656726503E-3</v>
      </c>
      <c r="S73" s="2"/>
      <c r="T73" s="6">
        <v>1042.92</v>
      </c>
      <c r="U73" s="2"/>
      <c r="V73" s="7">
        <f t="shared" si="65"/>
        <v>1.9948645226240537E-3</v>
      </c>
      <c r="W73" s="2"/>
      <c r="X73" s="6">
        <f t="shared" si="66"/>
        <v>33.589999999999918</v>
      </c>
      <c r="Y73" s="2"/>
      <c r="Z73" s="7">
        <f t="shared" si="67"/>
        <v>3.2207647758217231E-2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819.57</v>
      </c>
      <c r="E74" s="2"/>
      <c r="F74" s="7">
        <f t="shared" si="60"/>
        <v>1.6596439046556784E-2</v>
      </c>
      <c r="G74" s="2"/>
      <c r="H74" s="6">
        <v>1198.2</v>
      </c>
      <c r="I74" s="2"/>
      <c r="J74" s="7">
        <f t="shared" si="61"/>
        <v>2.3779089047746914E-2</v>
      </c>
      <c r="K74" s="2"/>
      <c r="L74" s="6">
        <f t="shared" si="62"/>
        <v>-378.63</v>
      </c>
      <c r="M74" s="2"/>
      <c r="N74" s="7">
        <f t="shared" si="63"/>
        <v>-0.3159989984977466</v>
      </c>
      <c r="O74" s="11"/>
      <c r="P74" s="6">
        <v>6528.27</v>
      </c>
      <c r="Q74" s="2"/>
      <c r="R74" s="7">
        <f t="shared" si="64"/>
        <v>1.3021995770499849E-2</v>
      </c>
      <c r="S74" s="2"/>
      <c r="T74" s="6">
        <v>7364.9</v>
      </c>
      <c r="U74" s="2"/>
      <c r="V74" s="7">
        <f t="shared" si="65"/>
        <v>1.4087348715792094E-2</v>
      </c>
      <c r="W74" s="2"/>
      <c r="X74" s="6">
        <f t="shared" si="66"/>
        <v>-836.6299999999992</v>
      </c>
      <c r="Y74" s="2"/>
      <c r="Z74" s="7">
        <f t="shared" si="67"/>
        <v>-0.11359692595961918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60"/>
        <v>0</v>
      </c>
      <c r="G75" s="2"/>
      <c r="H75" s="6">
        <v>34.17</v>
      </c>
      <c r="I75" s="2"/>
      <c r="J75" s="7">
        <f t="shared" si="61"/>
        <v>6.7812675076073443E-4</v>
      </c>
      <c r="K75" s="2"/>
      <c r="L75" s="6">
        <f t="shared" si="62"/>
        <v>-34.17</v>
      </c>
      <c r="M75" s="2"/>
      <c r="N75" s="7">
        <f t="shared" si="63"/>
        <v>-1</v>
      </c>
      <c r="O75" s="11"/>
      <c r="P75" s="6">
        <v>231.26</v>
      </c>
      <c r="Q75" s="2"/>
      <c r="R75" s="7">
        <f t="shared" si="64"/>
        <v>4.612962916493642E-4</v>
      </c>
      <c r="S75" s="2"/>
      <c r="T75" s="6">
        <v>1266.53</v>
      </c>
      <c r="U75" s="2"/>
      <c r="V75" s="7">
        <f t="shared" si="65"/>
        <v>2.422578686609752E-3</v>
      </c>
      <c r="W75" s="2"/>
      <c r="X75" s="6">
        <f t="shared" si="66"/>
        <v>-1035.27</v>
      </c>
      <c r="Y75" s="2"/>
      <c r="Z75" s="7">
        <f t="shared" si="67"/>
        <v>-0.81740661492424183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51.44</v>
      </c>
      <c r="E76" s="2"/>
      <c r="F76" s="7">
        <f t="shared" si="60"/>
        <v>1.0416691979390179E-3</v>
      </c>
      <c r="G76" s="2"/>
      <c r="H76" s="6"/>
      <c r="I76" s="2"/>
      <c r="J76" s="7">
        <f t="shared" si="61"/>
        <v>0</v>
      </c>
      <c r="K76" s="2"/>
      <c r="L76" s="6">
        <f t="shared" si="62"/>
        <v>51.44</v>
      </c>
      <c r="M76" s="2"/>
      <c r="N76" s="7">
        <f t="shared" si="63"/>
        <v>0</v>
      </c>
      <c r="O76" s="11"/>
      <c r="P76" s="6">
        <v>5626.26</v>
      </c>
      <c r="Q76" s="2"/>
      <c r="R76" s="7">
        <f t="shared" si="64"/>
        <v>1.1222748741049693E-2</v>
      </c>
      <c r="S76" s="2"/>
      <c r="T76" s="6">
        <v>1176.53</v>
      </c>
      <c r="U76" s="2"/>
      <c r="V76" s="7">
        <f t="shared" si="65"/>
        <v>2.2504295217302167E-3</v>
      </c>
      <c r="W76" s="2"/>
      <c r="X76" s="6">
        <f t="shared" si="66"/>
        <v>4449.7300000000005</v>
      </c>
      <c r="Y76" s="2"/>
      <c r="Z76" s="7">
        <f t="shared" si="67"/>
        <v>3.7820795049849987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842.16</v>
      </c>
      <c r="E77" s="2"/>
      <c r="F77" s="7">
        <f t="shared" si="60"/>
        <v>1.7053890585853874E-2</v>
      </c>
      <c r="G77" s="2"/>
      <c r="H77" s="6">
        <v>664.71</v>
      </c>
      <c r="I77" s="2"/>
      <c r="J77" s="7">
        <f t="shared" si="61"/>
        <v>1.3191619329767861E-2</v>
      </c>
      <c r="K77" s="2"/>
      <c r="L77" s="6">
        <f t="shared" si="62"/>
        <v>177.44999999999993</v>
      </c>
      <c r="M77" s="2"/>
      <c r="N77" s="7">
        <f t="shared" si="63"/>
        <v>0.26695852326578495</v>
      </c>
      <c r="O77" s="11"/>
      <c r="P77" s="6">
        <v>3989</v>
      </c>
      <c r="Q77" s="2"/>
      <c r="R77" s="7">
        <f t="shared" si="64"/>
        <v>7.9568922744500305E-3</v>
      </c>
      <c r="S77" s="2"/>
      <c r="T77" s="6">
        <v>4882.3</v>
      </c>
      <c r="U77" s="2"/>
      <c r="V77" s="7">
        <f t="shared" si="65"/>
        <v>9.3387096410150507E-3</v>
      </c>
      <c r="W77" s="2"/>
      <c r="X77" s="6">
        <f t="shared" si="66"/>
        <v>-893.30000000000018</v>
      </c>
      <c r="Y77" s="2"/>
      <c r="Z77" s="7">
        <f t="shared" si="67"/>
        <v>-0.18296704422096147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6">
        <v>60</v>
      </c>
      <c r="E78" s="2"/>
      <c r="F78" s="7">
        <f t="shared" si="60"/>
        <v>1.2150107285447331E-3</v>
      </c>
      <c r="G78" s="2"/>
      <c r="H78" s="6"/>
      <c r="I78" s="2"/>
      <c r="J78" s="7">
        <f t="shared" si="61"/>
        <v>0</v>
      </c>
      <c r="K78" s="2"/>
      <c r="L78" s="6">
        <f t="shared" si="62"/>
        <v>60</v>
      </c>
      <c r="M78" s="2"/>
      <c r="N78" s="7">
        <f t="shared" si="63"/>
        <v>0</v>
      </c>
      <c r="O78" s="11"/>
      <c r="P78" s="6">
        <v>470.56</v>
      </c>
      <c r="Q78" s="2"/>
      <c r="R78" s="7">
        <f t="shared" si="64"/>
        <v>9.3863003977568468E-4</v>
      </c>
      <c r="S78" s="2"/>
      <c r="T78" s="6">
        <v>960.66</v>
      </c>
      <c r="U78" s="2"/>
      <c r="V78" s="7">
        <f t="shared" si="65"/>
        <v>1.8375201859241583E-3</v>
      </c>
      <c r="W78" s="2"/>
      <c r="X78" s="6">
        <f t="shared" si="66"/>
        <v>-490.09999999999997</v>
      </c>
      <c r="Y78" s="2"/>
      <c r="Z78" s="7">
        <f t="shared" si="67"/>
        <v>-0.51017009139549896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15.47</v>
      </c>
      <c r="Q79" s="2"/>
      <c r="R79" s="7">
        <f t="shared" si="64"/>
        <v>3.0858140758521424E-5</v>
      </c>
      <c r="S79" s="2"/>
      <c r="T79" s="6">
        <v>1457.95</v>
      </c>
      <c r="U79" s="2"/>
      <c r="V79" s="7">
        <f t="shared" si="65"/>
        <v>2.7887208326235367E-3</v>
      </c>
      <c r="W79" s="2"/>
      <c r="X79" s="6">
        <f t="shared" si="66"/>
        <v>-1442.48</v>
      </c>
      <c r="Y79" s="2"/>
      <c r="Z79" s="7">
        <f t="shared" si="67"/>
        <v>-0.98938921087828802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134.19999999999999</v>
      </c>
      <c r="E80" s="1"/>
      <c r="F80" s="5">
        <f t="shared" ref="F80:F85" si="68">IF(D$12=0,0,D80/D$12)</f>
        <v>2.7175739961783859E-3</v>
      </c>
      <c r="G80" s="1"/>
      <c r="H80" s="1">
        <f>SUM(OSRRefH22_15x_0)</f>
        <v>-10.65</v>
      </c>
      <c r="I80" s="1"/>
      <c r="J80" s="5">
        <f t="shared" ref="J80:J85" si="69">IF(H$12=0,0,H80/H$12)</f>
        <v>-2.1135644997371443E-4</v>
      </c>
      <c r="K80" s="1"/>
      <c r="L80" s="1">
        <f t="shared" ref="L80:L85" si="70">+D80-H80</f>
        <v>144.85</v>
      </c>
      <c r="M80" s="1"/>
      <c r="N80" s="5">
        <f t="shared" ref="N80:N85" si="71">IF(H80=0,0,L80/H80)</f>
        <v>-13.60093896713615</v>
      </c>
      <c r="O80" s="13"/>
      <c r="P80" s="1">
        <f>SUM(OSRRefP22_15x_0)</f>
        <v>986.2</v>
      </c>
      <c r="Q80" s="1"/>
      <c r="R80" s="5">
        <f t="shared" ref="R80:R85" si="72">IF(P$12=0,0,P80/P$12)</f>
        <v>1.9671815394992779E-3</v>
      </c>
      <c r="S80" s="1"/>
      <c r="T80" s="1">
        <f>SUM(OSRRefT22_15x_0)</f>
        <v>948.9</v>
      </c>
      <c r="U80" s="1"/>
      <c r="V80" s="5">
        <f t="shared" ref="V80:V85" si="73">IF(T$12=0,0,T80/T$12)</f>
        <v>1.8150260283798991E-3</v>
      </c>
      <c r="W80" s="1"/>
      <c r="X80" s="1">
        <f t="shared" ref="X80:X85" si="74">+P80-T80</f>
        <v>37.300000000000068</v>
      </c>
      <c r="Y80" s="1"/>
      <c r="Z80" s="5">
        <f t="shared" ref="Z80:Z85" si="75">IF(T80=0,0,X80/T80)</f>
        <v>3.9308673200548074E-2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6">
        <v>134.19999999999999</v>
      </c>
      <c r="E81" s="2"/>
      <c r="F81" s="7">
        <f t="shared" si="68"/>
        <v>2.7175739961783859E-3</v>
      </c>
      <c r="G81" s="2"/>
      <c r="H81" s="6">
        <v>-10.65</v>
      </c>
      <c r="I81" s="2"/>
      <c r="J81" s="7">
        <f t="shared" si="69"/>
        <v>-2.1135644997371443E-4</v>
      </c>
      <c r="K81" s="2"/>
      <c r="L81" s="6">
        <f t="shared" si="70"/>
        <v>144.85</v>
      </c>
      <c r="M81" s="2"/>
      <c r="N81" s="7">
        <f t="shared" si="71"/>
        <v>-13.60093896713615</v>
      </c>
      <c r="O81" s="11"/>
      <c r="P81" s="6">
        <v>986.2</v>
      </c>
      <c r="Q81" s="2"/>
      <c r="R81" s="7">
        <f t="shared" si="72"/>
        <v>1.9671815394992779E-3</v>
      </c>
      <c r="S81" s="2"/>
      <c r="T81" s="6">
        <v>948.9</v>
      </c>
      <c r="U81" s="2"/>
      <c r="V81" s="7">
        <f t="shared" si="73"/>
        <v>1.8150260283798991E-3</v>
      </c>
      <c r="W81" s="2"/>
      <c r="X81" s="6">
        <f t="shared" si="74"/>
        <v>37.300000000000068</v>
      </c>
      <c r="Y81" s="2"/>
      <c r="Z81" s="7">
        <f t="shared" si="75"/>
        <v>3.9308673200548074E-2</v>
      </c>
    </row>
    <row r="82" spans="1:26" s="26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SUM(OSRRefD22_16x_0)</f>
        <v>0</v>
      </c>
      <c r="E82" s="1"/>
      <c r="F82" s="5">
        <f t="shared" si="68"/>
        <v>0</v>
      </c>
      <c r="G82" s="1"/>
      <c r="H82" s="1">
        <f>SUM(OSRRefH22_16x_0)</f>
        <v>0</v>
      </c>
      <c r="I82" s="1"/>
      <c r="J82" s="5">
        <f t="shared" si="69"/>
        <v>0</v>
      </c>
      <c r="K82" s="1"/>
      <c r="L82" s="1">
        <f t="shared" si="70"/>
        <v>0</v>
      </c>
      <c r="M82" s="1"/>
      <c r="N82" s="5">
        <f t="shared" si="71"/>
        <v>0</v>
      </c>
      <c r="O82" s="13"/>
      <c r="P82" s="1">
        <f>SUM(OSRRefP22_16x_0)</f>
        <v>164</v>
      </c>
      <c r="Q82" s="1"/>
      <c r="R82" s="5">
        <f t="shared" si="72"/>
        <v>3.2713219679363374E-4</v>
      </c>
      <c r="S82" s="1"/>
      <c r="T82" s="1">
        <f>SUM(OSRRefT22_16x_0)</f>
        <v>98.83</v>
      </c>
      <c r="U82" s="1"/>
      <c r="V82" s="5">
        <f t="shared" si="73"/>
        <v>1.8903891072271622E-4</v>
      </c>
      <c r="W82" s="1"/>
      <c r="X82" s="1">
        <f t="shared" si="74"/>
        <v>65.17</v>
      </c>
      <c r="Y82" s="1"/>
      <c r="Z82" s="5">
        <f t="shared" si="75"/>
        <v>0.6594151573408884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0</v>
      </c>
      <c r="M83" s="2"/>
      <c r="N83" s="7">
        <f t="shared" si="71"/>
        <v>0</v>
      </c>
      <c r="O83" s="11"/>
      <c r="P83" s="6">
        <v>164</v>
      </c>
      <c r="Q83" s="2"/>
      <c r="R83" s="7">
        <f t="shared" si="72"/>
        <v>3.2713219679363374E-4</v>
      </c>
      <c r="S83" s="2"/>
      <c r="T83" s="6">
        <v>98.83</v>
      </c>
      <c r="U83" s="2"/>
      <c r="V83" s="7">
        <f t="shared" si="73"/>
        <v>1.8903891072271622E-4</v>
      </c>
      <c r="W83" s="2"/>
      <c r="X83" s="6">
        <f t="shared" si="74"/>
        <v>65.17</v>
      </c>
      <c r="Y83" s="2"/>
      <c r="Z83" s="7">
        <f t="shared" si="75"/>
        <v>0.6594151573408884</v>
      </c>
    </row>
    <row r="84" spans="1:26" s="26" customFormat="1" outlineLevel="1" collapsed="1" x14ac:dyDescent="0.25">
      <c r="A84" s="27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SUM(OSRRefD22_17x_0)</f>
        <v>2312</v>
      </c>
      <c r="E84" s="1"/>
      <c r="F84" s="5">
        <f t="shared" si="68"/>
        <v>4.6818413406590383E-2</v>
      </c>
      <c r="G84" s="1"/>
      <c r="H84" s="1">
        <f>SUM(OSRRefH22_17x_0)</f>
        <v>2031</v>
      </c>
      <c r="I84" s="1"/>
      <c r="J84" s="5">
        <f t="shared" si="69"/>
        <v>4.0306568065409762E-2</v>
      </c>
      <c r="K84" s="1"/>
      <c r="L84" s="1">
        <f t="shared" si="70"/>
        <v>281</v>
      </c>
      <c r="M84" s="1"/>
      <c r="N84" s="5">
        <f t="shared" si="71"/>
        <v>0.13835548990645002</v>
      </c>
      <c r="O84" s="13"/>
      <c r="P84" s="1">
        <f>SUM(OSRRefP22_17x_0)</f>
        <v>15524</v>
      </c>
      <c r="Q84" s="1"/>
      <c r="R84" s="5">
        <f t="shared" si="72"/>
        <v>3.096585501844128E-2</v>
      </c>
      <c r="S84" s="1"/>
      <c r="T84" s="1">
        <f>SUM(OSRRefT22_17x_0)</f>
        <v>11216</v>
      </c>
      <c r="U84" s="1"/>
      <c r="V84" s="5">
        <f t="shared" si="73"/>
        <v>2.1453611480987404E-2</v>
      </c>
      <c r="W84" s="1"/>
      <c r="X84" s="1">
        <f t="shared" si="74"/>
        <v>4308</v>
      </c>
      <c r="Y84" s="1"/>
      <c r="Z84" s="5">
        <f t="shared" si="75"/>
        <v>0.38409415121255347</v>
      </c>
    </row>
    <row r="85" spans="1:26" s="24" customFormat="1" hidden="1" outlineLevel="2" x14ac:dyDescent="0.25">
      <c r="A85" s="25"/>
      <c r="B85" s="11" t="str">
        <f>CONCATENATE("          ", "6274", " - ", "UTILITIES")</f>
        <v xml:space="preserve">          6274 - UTILITIES</v>
      </c>
      <c r="C85" s="11"/>
      <c r="D85" s="6">
        <v>2312</v>
      </c>
      <c r="E85" s="2"/>
      <c r="F85" s="7">
        <f t="shared" si="68"/>
        <v>4.6818413406590383E-2</v>
      </c>
      <c r="G85" s="2"/>
      <c r="H85" s="6">
        <v>2031</v>
      </c>
      <c r="I85" s="2"/>
      <c r="J85" s="7">
        <f t="shared" si="69"/>
        <v>4.0306568065409762E-2</v>
      </c>
      <c r="K85" s="2"/>
      <c r="L85" s="6">
        <f t="shared" si="70"/>
        <v>281</v>
      </c>
      <c r="M85" s="2"/>
      <c r="N85" s="7">
        <f t="shared" si="71"/>
        <v>0.13835548990645002</v>
      </c>
      <c r="O85" s="11"/>
      <c r="P85" s="6">
        <v>15524</v>
      </c>
      <c r="Q85" s="2"/>
      <c r="R85" s="7">
        <f t="shared" si="72"/>
        <v>3.096585501844128E-2</v>
      </c>
      <c r="S85" s="2"/>
      <c r="T85" s="6">
        <v>11216</v>
      </c>
      <c r="U85" s="2"/>
      <c r="V85" s="7">
        <f t="shared" si="73"/>
        <v>2.1453611480987404E-2</v>
      </c>
      <c r="W85" s="2"/>
      <c r="X85" s="6">
        <f t="shared" si="74"/>
        <v>4308</v>
      </c>
      <c r="Y85" s="2"/>
      <c r="Z85" s="7">
        <f t="shared" si="75"/>
        <v>0.38409415121255347</v>
      </c>
    </row>
    <row r="86" spans="1:26" s="59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0</v>
      </c>
      <c r="E87" s="4"/>
      <c r="F87" s="12">
        <f t="shared" ref="F87:F88" si="76">IF(D$12=0,0,D87/D$12)</f>
        <v>0</v>
      </c>
      <c r="G87" s="4"/>
      <c r="H87" s="4">
        <f>SUM(OSRRefH25x_0)</f>
        <v>0</v>
      </c>
      <c r="I87" s="4"/>
      <c r="J87" s="12">
        <f t="shared" ref="J87:J88" si="77">IF(H$12=0,0,H87/H$12)</f>
        <v>0</v>
      </c>
      <c r="K87" s="4"/>
      <c r="L87" s="4">
        <f t="shared" ref="L87:L88" si="78">+D87-H87</f>
        <v>0</v>
      </c>
      <c r="M87" s="4"/>
      <c r="N87" s="12">
        <f t="shared" ref="N87:N88" si="79">IF(H87=0,0,L87/H87)</f>
        <v>0</v>
      </c>
      <c r="O87" s="10"/>
      <c r="P87" s="4">
        <f>SUM(OSRRefP25x_0)</f>
        <v>68.760000000000005</v>
      </c>
      <c r="Q87" s="4"/>
      <c r="R87" s="12">
        <f t="shared" ref="R87:R88" si="80">IF(P$12=0,0,P87/P$12)</f>
        <v>1.3715615763128204E-4</v>
      </c>
      <c r="S87" s="4"/>
      <c r="T87" s="4">
        <f>SUM(OSRRefT25x_0)</f>
        <v>0</v>
      </c>
      <c r="U87" s="4"/>
      <c r="V87" s="12">
        <f t="shared" ref="V87:V88" si="81">IF(T$12=0,0,T87/T$12)</f>
        <v>0</v>
      </c>
      <c r="W87" s="4"/>
      <c r="X87" s="4">
        <f t="shared" ref="X87:X88" si="82">+P87-T87</f>
        <v>68.760000000000005</v>
      </c>
      <c r="Y87" s="4"/>
      <c r="Z87" s="12">
        <f t="shared" ref="Z87:Z88" si="83">IF(T87=0,0,X87/T87)</f>
        <v>0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0</f>
        <v>0</v>
      </c>
      <c r="E88" s="2"/>
      <c r="F88" s="19">
        <f t="shared" si="76"/>
        <v>0</v>
      </c>
      <c r="G88" s="2"/>
      <c r="H88" s="2">
        <f>0</f>
        <v>0</v>
      </c>
      <c r="I88" s="2"/>
      <c r="J88" s="19">
        <f t="shared" si="77"/>
        <v>0</v>
      </c>
      <c r="K88" s="2"/>
      <c r="L88" s="2">
        <f t="shared" si="78"/>
        <v>0</v>
      </c>
      <c r="M88" s="2"/>
      <c r="N88" s="19">
        <f t="shared" si="79"/>
        <v>0</v>
      </c>
      <c r="O88" s="11"/>
      <c r="P88" s="2">
        <f>--68.76</f>
        <v>68.760000000000005</v>
      </c>
      <c r="Q88" s="2"/>
      <c r="R88" s="19">
        <f t="shared" si="80"/>
        <v>1.3715615763128204E-4</v>
      </c>
      <c r="S88" s="2"/>
      <c r="T88" s="2">
        <f>0</f>
        <v>0</v>
      </c>
      <c r="U88" s="2"/>
      <c r="V88" s="19">
        <f t="shared" si="81"/>
        <v>0</v>
      </c>
      <c r="W88" s="2"/>
      <c r="X88" s="2">
        <f t="shared" si="82"/>
        <v>68.760000000000005</v>
      </c>
      <c r="Y88" s="2"/>
      <c r="Z88" s="19">
        <f t="shared" si="83"/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1">
        <f>+D20-D22+D87</f>
        <v>-32970.949999999997</v>
      </c>
      <c r="E90" s="14"/>
      <c r="F90" s="22">
        <f>IF(D$12=0,0,D90/D$12)</f>
        <v>-0.66766763300519938</v>
      </c>
      <c r="G90" s="14"/>
      <c r="H90" s="21">
        <f>+H20-H22+H87</f>
        <v>-32445.729999999996</v>
      </c>
      <c r="I90" s="14"/>
      <c r="J90" s="22">
        <f>IF(H$12=0,0,H90/H$12)</f>
        <v>-0.64390744691132806</v>
      </c>
      <c r="K90" s="16"/>
      <c r="L90" s="21">
        <f>+D90-H90</f>
        <v>-525.22000000000116</v>
      </c>
      <c r="M90" s="16"/>
      <c r="N90" s="22">
        <f>IF(H90=0,0,L90/H90)</f>
        <v>1.6187646263468296E-2</v>
      </c>
      <c r="O90" s="29"/>
      <c r="P90" s="21">
        <f>+P20-P22+P87</f>
        <v>-151764.90999999997</v>
      </c>
      <c r="Q90" s="14"/>
      <c r="R90" s="22">
        <f>IF(P$12=0,0,P90/P$12)</f>
        <v>-0.30272675856395181</v>
      </c>
      <c r="S90" s="14"/>
      <c r="T90" s="21">
        <f>+T20-T22+T87</f>
        <v>-110156.34999999998</v>
      </c>
      <c r="U90" s="14"/>
      <c r="V90" s="22">
        <f>IF(T$12=0,0,T90/T$12)</f>
        <v>-0.21070359620753087</v>
      </c>
      <c r="W90" s="16"/>
      <c r="X90" s="21">
        <f>+P90-T90</f>
        <v>-41608.559999999998</v>
      </c>
      <c r="Y90" s="16"/>
      <c r="Z90" s="22">
        <f>IF(T90=0,0,X90/T90)</f>
        <v>0.37772275497508773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>
        <v>3467.8</v>
      </c>
      <c r="E92" s="4"/>
      <c r="F92" s="12">
        <f>IF(D$12=0,0,D92/D$12)</f>
        <v>7.0223570074123762E-2</v>
      </c>
      <c r="G92" s="4"/>
      <c r="H92" s="4">
        <v>2214.8200000000002</v>
      </c>
      <c r="I92" s="4"/>
      <c r="J92" s="12">
        <f>IF(H$12=0,0,H92/H$12)</f>
        <v>4.3954600237632133E-2</v>
      </c>
      <c r="K92" s="4"/>
      <c r="L92" s="4">
        <f>+D92-H92</f>
        <v>1252.98</v>
      </c>
      <c r="M92" s="4"/>
      <c r="N92" s="12">
        <f>IF(H92=0,0,L92/H92)</f>
        <v>0.56572543141203346</v>
      </c>
      <c r="O92" s="10"/>
      <c r="P92" s="4">
        <v>52281.24</v>
      </c>
      <c r="Q92" s="4"/>
      <c r="R92" s="12">
        <f>IF(P$12=0,0,P92/P$12)</f>
        <v>0.10428583470911704</v>
      </c>
      <c r="S92" s="4"/>
      <c r="T92" s="4">
        <v>53195.4</v>
      </c>
      <c r="U92" s="4"/>
      <c r="V92" s="12">
        <f>IF(T$12=0,0,T92/T$12)</f>
        <v>0.10175048539369806</v>
      </c>
      <c r="W92" s="4"/>
      <c r="X92" s="4">
        <f>+P92-T92</f>
        <v>-914.16000000000349</v>
      </c>
      <c r="Y92" s="4"/>
      <c r="Z92" s="12">
        <f>IF(T92=0,0,X92/T92)</f>
        <v>-1.7184944562875802E-2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4">
        <f>+D90-D92</f>
        <v>-36438.75</v>
      </c>
      <c r="E94" s="14"/>
      <c r="F94" s="31">
        <f>IF(D$12=0,0,D94/D$12)</f>
        <v>-0.73789120307932321</v>
      </c>
      <c r="G94" s="14"/>
      <c r="H94" s="34">
        <f>+H90-H92</f>
        <v>-34660.549999999996</v>
      </c>
      <c r="I94" s="14"/>
      <c r="J94" s="31">
        <f>IF(H$12=0,0,H94/H$12)</f>
        <v>-0.68786204714896015</v>
      </c>
      <c r="K94" s="16"/>
      <c r="L94" s="34">
        <f>D94-H94</f>
        <v>-1778.2000000000044</v>
      </c>
      <c r="M94" s="16"/>
      <c r="N94" s="31">
        <f>IF(H94=0,0,L94/H94)</f>
        <v>5.1303282838847178E-2</v>
      </c>
      <c r="O94" s="29"/>
      <c r="P94" s="34">
        <f>+P90-P92</f>
        <v>-204046.14999999997</v>
      </c>
      <c r="Q94" s="14"/>
      <c r="R94" s="31">
        <f>IF(P$12=0,0,P94/P$12)</f>
        <v>-0.40701259327306888</v>
      </c>
      <c r="S94" s="14"/>
      <c r="T94" s="34">
        <f>+T90-T92</f>
        <v>-163351.74999999997</v>
      </c>
      <c r="U94" s="14"/>
      <c r="V94" s="31">
        <f>IF(T$12=0,0,T94/T$12)</f>
        <v>-0.31245408160122895</v>
      </c>
      <c r="W94" s="16"/>
      <c r="X94" s="34">
        <f>P94-T94</f>
        <v>-40694.399999999994</v>
      </c>
      <c r="Y94" s="16"/>
      <c r="Z94" s="31">
        <f>IF(T94=0,0,X94/T94)</f>
        <v>0.24912129805771902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0">
        <f>SUM(D94:D96)</f>
        <v>-36438.75</v>
      </c>
      <c r="E97" s="14"/>
      <c r="F97" s="33">
        <f>IF(D$12=0,0,D97/D$12)</f>
        <v>-0.73789120307932321</v>
      </c>
      <c r="G97" s="14"/>
      <c r="H97" s="30">
        <f>SUM(H94:H96)</f>
        <v>-34660.549999999996</v>
      </c>
      <c r="I97" s="14"/>
      <c r="J97" s="33">
        <f>IF(H$12=0,0,H97/H$12)</f>
        <v>-0.68786204714896015</v>
      </c>
      <c r="K97" s="16"/>
      <c r="L97" s="30">
        <f>+D97-H97</f>
        <v>-1778.2000000000044</v>
      </c>
      <c r="M97" s="16"/>
      <c r="N97" s="33">
        <f>IF(H97=0,0,L97/H97)</f>
        <v>5.1303282838847178E-2</v>
      </c>
      <c r="O97" s="29"/>
      <c r="P97" s="30">
        <f>SUM(P94:P96)</f>
        <v>-204046.14999999997</v>
      </c>
      <c r="Q97" s="14"/>
      <c r="R97" s="33">
        <f>IF(P$12=0,0,P97/P$12)</f>
        <v>-0.40701259327306888</v>
      </c>
      <c r="S97" s="14"/>
      <c r="T97" s="30">
        <f>SUM(T94:T96)</f>
        <v>-163351.74999999997</v>
      </c>
      <c r="U97" s="14"/>
      <c r="V97" s="33">
        <f>IF(T$12=0,0,T97/T$12)</f>
        <v>-0.31245408160122895</v>
      </c>
      <c r="W97" s="16"/>
      <c r="X97" s="30">
        <f>+P97-T97</f>
        <v>-40694.399999999994</v>
      </c>
      <c r="Y97" s="16"/>
      <c r="Z97" s="33">
        <f>IF(T97=0,0,X97/T97)</f>
        <v>0.24912129805771902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25">
      <c r="A99" s="9"/>
      <c r="B99" s="61">
        <v>43879.554230787035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55" t="s">
        <v>313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8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","418", " - ", "Nugget")</f>
        <v>Department 418 - Nugget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89800.709999999992</v>
      </c>
      <c r="E12" s="4"/>
      <c r="F12" s="12"/>
      <c r="G12" s="4"/>
      <c r="H12" s="4">
        <f>SUM(OSRRefH13x_0)</f>
        <v>97757.440000000002</v>
      </c>
      <c r="I12" s="4"/>
      <c r="J12" s="12"/>
      <c r="K12" s="4"/>
      <c r="L12" s="4">
        <f t="shared" ref="L12:L14" si="0">+D12-H12</f>
        <v>-7956.7300000000105</v>
      </c>
      <c r="M12" s="4"/>
      <c r="N12" s="12">
        <f t="shared" ref="N12:N14" si="1">IF(H12=0,0,L12/H12)</f>
        <v>-8.1392577383368567E-2</v>
      </c>
      <c r="O12" s="10"/>
      <c r="P12" s="4">
        <f>SUM(OSRRefP13x_0)</f>
        <v>846375.1100000001</v>
      </c>
      <c r="Q12" s="4"/>
      <c r="R12" s="12"/>
      <c r="S12" s="4"/>
      <c r="T12" s="4">
        <f>SUM(OSRRefT13x_0)</f>
        <v>862186.9</v>
      </c>
      <c r="U12" s="4"/>
      <c r="V12" s="12"/>
      <c r="W12" s="4"/>
      <c r="X12" s="4">
        <f t="shared" ref="X12:X14" si="2">+P12-T12</f>
        <v>-15811.789999999921</v>
      </c>
      <c r="Y12" s="4"/>
      <c r="Z12" s="12">
        <f t="shared" ref="Z12:Z14" si="3">IF(T12=0,0,X12/T12)</f>
        <v>-1.8339167528525335E-2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--31360</f>
        <v>31360</v>
      </c>
      <c r="E13" s="2"/>
      <c r="F13" s="19"/>
      <c r="G13" s="2"/>
      <c r="H13" s="2">
        <f>--38451.58</f>
        <v>38451.58</v>
      </c>
      <c r="I13" s="2"/>
      <c r="J13" s="19"/>
      <c r="K13" s="2"/>
      <c r="L13" s="2">
        <f t="shared" si="0"/>
        <v>-7091.5800000000017</v>
      </c>
      <c r="M13" s="2"/>
      <c r="N13" s="19">
        <f t="shared" si="1"/>
        <v>-0.1844288323132626</v>
      </c>
      <c r="O13" s="11"/>
      <c r="P13" s="2">
        <f>--303213.95</f>
        <v>303213.95</v>
      </c>
      <c r="Q13" s="2"/>
      <c r="R13" s="19"/>
      <c r="S13" s="2"/>
      <c r="T13" s="2">
        <f>--354772.53</f>
        <v>354772.53</v>
      </c>
      <c r="U13" s="2"/>
      <c r="V13" s="19"/>
      <c r="W13" s="2"/>
      <c r="X13" s="2">
        <f t="shared" si="2"/>
        <v>-51558.580000000016</v>
      </c>
      <c r="Y13" s="2"/>
      <c r="Z13" s="19">
        <f t="shared" si="3"/>
        <v>-0.14532855742805117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--58440.71</f>
        <v>58440.71</v>
      </c>
      <c r="E14" s="2"/>
      <c r="F14" s="19"/>
      <c r="G14" s="2"/>
      <c r="H14" s="2">
        <f>--59305.86</f>
        <v>59305.86</v>
      </c>
      <c r="I14" s="2"/>
      <c r="J14" s="19"/>
      <c r="K14" s="2"/>
      <c r="L14" s="2">
        <f t="shared" si="0"/>
        <v>-865.15000000000146</v>
      </c>
      <c r="M14" s="2"/>
      <c r="N14" s="19">
        <f t="shared" si="1"/>
        <v>-1.4587934480673604E-2</v>
      </c>
      <c r="O14" s="11"/>
      <c r="P14" s="2">
        <f>--543161.16</f>
        <v>543161.16</v>
      </c>
      <c r="Q14" s="2"/>
      <c r="R14" s="19"/>
      <c r="S14" s="2"/>
      <c r="T14" s="2">
        <f>--507414.37</f>
        <v>507414.37</v>
      </c>
      <c r="U14" s="2"/>
      <c r="V14" s="19"/>
      <c r="W14" s="2"/>
      <c r="X14" s="2">
        <f t="shared" si="2"/>
        <v>35746.790000000037</v>
      </c>
      <c r="Y14" s="2"/>
      <c r="Z14" s="19">
        <f t="shared" si="3"/>
        <v>7.0448911409426648E-2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36191.35</v>
      </c>
      <c r="E16" s="4"/>
      <c r="F16" s="12">
        <f t="shared" ref="F16:F18" si="4">IF(D$12=0,0,D16/D$12)</f>
        <v>0.40301852847265907</v>
      </c>
      <c r="G16" s="4"/>
      <c r="H16" s="4">
        <f>SUM(OSRRefH16x_0)</f>
        <v>31729.390000000003</v>
      </c>
      <c r="I16" s="4"/>
      <c r="J16" s="12">
        <f t="shared" ref="J16:J18" si="5">IF(H$12=0,0,H16/H$12)</f>
        <v>0.32457263610831055</v>
      </c>
      <c r="K16" s="4"/>
      <c r="L16" s="4">
        <f t="shared" ref="L16:L18" si="6">+D16-H16</f>
        <v>4461.9599999999955</v>
      </c>
      <c r="M16" s="4"/>
      <c r="N16" s="12">
        <f t="shared" ref="N16:N18" si="7">IF(H16=0,0,L16/H16)</f>
        <v>0.14062545797445192</v>
      </c>
      <c r="O16" s="10"/>
      <c r="P16" s="4">
        <f>SUM(OSRRefP16x_0)</f>
        <v>282237.07999999996</v>
      </c>
      <c r="Q16" s="4"/>
      <c r="R16" s="12">
        <f t="shared" ref="R16:R18" si="8">IF(P$12=0,0,P16/P$12)</f>
        <v>0.33346571356522986</v>
      </c>
      <c r="S16" s="4"/>
      <c r="T16" s="4">
        <f>SUM(OSRRefT16x_0)</f>
        <v>276346.05000000005</v>
      </c>
      <c r="U16" s="4"/>
      <c r="V16" s="12">
        <f t="shared" ref="V16:V18" si="9">IF(T$12=0,0,T16/T$12)</f>
        <v>0.32051756991436547</v>
      </c>
      <c r="W16" s="4"/>
      <c r="X16" s="4">
        <f t="shared" ref="X16:X18" si="10">+P16-T16</f>
        <v>5891.0299999999115</v>
      </c>
      <c r="Y16" s="4"/>
      <c r="Z16" s="12">
        <f t="shared" ref="Z16:Z18" si="11">IF(T16=0,0,X16/T16)</f>
        <v>2.1317583515305938E-2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31746.68</v>
      </c>
      <c r="E17" s="2"/>
      <c r="F17" s="19">
        <f t="shared" si="4"/>
        <v>0.35352370822012436</v>
      </c>
      <c r="G17" s="2"/>
      <c r="H17" s="2">
        <v>31718.390000000003</v>
      </c>
      <c r="I17" s="2"/>
      <c r="J17" s="19">
        <f t="shared" si="5"/>
        <v>0.32446011270344233</v>
      </c>
      <c r="K17" s="2"/>
      <c r="L17" s="2">
        <f t="shared" si="6"/>
        <v>28.289999999997235</v>
      </c>
      <c r="M17" s="2"/>
      <c r="N17" s="19">
        <f t="shared" si="7"/>
        <v>8.9191160080941156E-4</v>
      </c>
      <c r="O17" s="11"/>
      <c r="P17" s="2">
        <v>286893.40999999997</v>
      </c>
      <c r="Q17" s="2"/>
      <c r="R17" s="19">
        <f t="shared" si="8"/>
        <v>0.33896721041335909</v>
      </c>
      <c r="S17" s="2"/>
      <c r="T17" s="2">
        <v>267033.05000000005</v>
      </c>
      <c r="U17" s="2"/>
      <c r="V17" s="19">
        <f t="shared" si="9"/>
        <v>0.30971596761676617</v>
      </c>
      <c r="W17" s="2"/>
      <c r="X17" s="2">
        <f t="shared" si="10"/>
        <v>19860.359999999928</v>
      </c>
      <c r="Y17" s="2"/>
      <c r="Z17" s="19">
        <f t="shared" si="11"/>
        <v>7.4374164546298388E-2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4444.67</v>
      </c>
      <c r="E18" s="2"/>
      <c r="F18" s="19">
        <f t="shared" si="4"/>
        <v>4.9494820252534759E-2</v>
      </c>
      <c r="G18" s="2"/>
      <c r="H18" s="2">
        <v>11</v>
      </c>
      <c r="I18" s="2"/>
      <c r="J18" s="19">
        <f t="shared" si="5"/>
        <v>1.1252340486821258E-4</v>
      </c>
      <c r="K18" s="2"/>
      <c r="L18" s="2">
        <f t="shared" si="6"/>
        <v>4433.67</v>
      </c>
      <c r="M18" s="2"/>
      <c r="N18" s="19">
        <f t="shared" si="7"/>
        <v>403.06090909090909</v>
      </c>
      <c r="O18" s="11"/>
      <c r="P18" s="2">
        <v>-4656.33</v>
      </c>
      <c r="Q18" s="2"/>
      <c r="R18" s="19">
        <f t="shared" si="8"/>
        <v>-5.5014968481291934E-3</v>
      </c>
      <c r="S18" s="2"/>
      <c r="T18" s="2">
        <v>9313</v>
      </c>
      <c r="U18" s="2"/>
      <c r="V18" s="19">
        <f t="shared" si="9"/>
        <v>1.0801602297599279E-2</v>
      </c>
      <c r="W18" s="2"/>
      <c r="X18" s="2">
        <f t="shared" si="10"/>
        <v>-13969.33</v>
      </c>
      <c r="Y18" s="2"/>
      <c r="Z18" s="19">
        <f t="shared" si="11"/>
        <v>-1.4999817459465263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53609.359999999993</v>
      </c>
      <c r="E20" s="14"/>
      <c r="F20" s="22">
        <f>IF(D$12=0,0,D20/D$12)</f>
        <v>0.59698147152734093</v>
      </c>
      <c r="G20" s="14"/>
      <c r="H20" s="21">
        <f>H12-H16</f>
        <v>66028.05</v>
      </c>
      <c r="I20" s="14"/>
      <c r="J20" s="22">
        <f>IF(H$12=0,0,H20/H$12)</f>
        <v>0.67542736389168945</v>
      </c>
      <c r="K20" s="16"/>
      <c r="L20" s="21">
        <f>+D20-H20</f>
        <v>-12418.69000000001</v>
      </c>
      <c r="M20" s="16"/>
      <c r="N20" s="22">
        <f>IF(H20=0,0,L20/H20)</f>
        <v>-0.18808203483216615</v>
      </c>
      <c r="O20" s="29"/>
      <c r="P20" s="21">
        <f>P12-P16</f>
        <v>564138.03000000014</v>
      </c>
      <c r="Q20" s="14"/>
      <c r="R20" s="22">
        <f>IF(P$12=0,0,P20/P$12)</f>
        <v>0.66653428643477008</v>
      </c>
      <c r="S20" s="14"/>
      <c r="T20" s="21">
        <f>T12-T16</f>
        <v>585840.85</v>
      </c>
      <c r="U20" s="14"/>
      <c r="V20" s="22">
        <f>IF(T$12=0,0,T20/T$12)</f>
        <v>0.67948243008563447</v>
      </c>
      <c r="W20" s="16"/>
      <c r="X20" s="21">
        <f>+P20-T20</f>
        <v>-21702.819999999832</v>
      </c>
      <c r="Y20" s="16"/>
      <c r="Z20" s="22">
        <f>IF(T20=0,0,X20/T20)</f>
        <v>-3.7045590112058303E-2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65696.899999999994</v>
      </c>
      <c r="E22" s="20"/>
      <c r="F22" s="32">
        <f t="shared" ref="F22:F31" si="12">IF(D$12=0,0,D22/D$12)</f>
        <v>0.73158552978033242</v>
      </c>
      <c r="G22" s="20"/>
      <c r="H22" s="20">
        <f>SUM(OSRRefH22x_0)</f>
        <v>57903.799999999996</v>
      </c>
      <c r="I22" s="20"/>
      <c r="J22" s="32">
        <f t="shared" ref="J22:J31" si="13">IF(H$12=0,0,H22/H$12)</f>
        <v>0.59232115734618251</v>
      </c>
      <c r="K22" s="4"/>
      <c r="L22" s="20">
        <f t="shared" ref="L22:L31" si="14">+D22-H22</f>
        <v>7793.0999999999985</v>
      </c>
      <c r="M22" s="4"/>
      <c r="N22" s="32">
        <f t="shared" ref="N22:N31" si="15">IF(H22=0,0,L22/H22)</f>
        <v>0.13458702192256811</v>
      </c>
      <c r="O22" s="10"/>
      <c r="P22" s="20">
        <f>SUM(OSRRefP22x_0)</f>
        <v>432665.19000000006</v>
      </c>
      <c r="Q22" s="20"/>
      <c r="R22" s="32">
        <f t="shared" ref="R22:R31" si="16">IF(P$12=0,0,P22/P$12)</f>
        <v>0.51119791318059904</v>
      </c>
      <c r="S22" s="20"/>
      <c r="T22" s="20">
        <f>SUM(OSRRefT22x_0)</f>
        <v>409697.95</v>
      </c>
      <c r="U22" s="20"/>
      <c r="V22" s="32">
        <f t="shared" ref="V22:V31" si="17">IF(T$12=0,0,T22/T$12)</f>
        <v>0.47518461484395091</v>
      </c>
      <c r="W22" s="4"/>
      <c r="X22" s="20">
        <f t="shared" ref="X22:X31" si="18">+P22-T22</f>
        <v>22967.240000000049</v>
      </c>
      <c r="Y22" s="4"/>
      <c r="Z22" s="32">
        <f t="shared" ref="Z22:Z31" si="19">IF(T22=0,0,X22/T22)</f>
        <v>5.6058957580822771E-2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10893.82</v>
      </c>
      <c r="E23" s="1"/>
      <c r="F23" s="5">
        <f t="shared" si="12"/>
        <v>0.12131106758510039</v>
      </c>
      <c r="G23" s="1"/>
      <c r="H23" s="1">
        <f>SUM(OSRRefH22_0x_0)</f>
        <v>8780.5899999999983</v>
      </c>
      <c r="I23" s="1"/>
      <c r="J23" s="5">
        <f t="shared" si="13"/>
        <v>8.982017123197987E-2</v>
      </c>
      <c r="K23" s="1"/>
      <c r="L23" s="1">
        <f t="shared" si="14"/>
        <v>2113.2300000000014</v>
      </c>
      <c r="M23" s="1"/>
      <c r="N23" s="5">
        <f t="shared" si="15"/>
        <v>0.24067061552811392</v>
      </c>
      <c r="O23" s="13"/>
      <c r="P23" s="1">
        <f>SUM(OSRRefP22_0x_0)</f>
        <v>60778.11</v>
      </c>
      <c r="Q23" s="1"/>
      <c r="R23" s="5">
        <f t="shared" si="16"/>
        <v>7.1809897623289029E-2</v>
      </c>
      <c r="S23" s="1"/>
      <c r="T23" s="1">
        <f>SUM(OSRRefT22_0x_0)</f>
        <v>60691.73</v>
      </c>
      <c r="U23" s="1"/>
      <c r="V23" s="5">
        <f t="shared" si="17"/>
        <v>7.0392776786564498E-2</v>
      </c>
      <c r="W23" s="1"/>
      <c r="X23" s="1">
        <f t="shared" si="18"/>
        <v>86.379999999997381</v>
      </c>
      <c r="Y23" s="1"/>
      <c r="Z23" s="5">
        <f t="shared" si="19"/>
        <v>1.4232581605434114E-3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1613.91</v>
      </c>
      <c r="E24" s="2"/>
      <c r="F24" s="7">
        <f t="shared" si="12"/>
        <v>1.7972129619019717E-2</v>
      </c>
      <c r="G24" s="2"/>
      <c r="H24" s="6">
        <v>1186.07</v>
      </c>
      <c r="I24" s="2"/>
      <c r="J24" s="7">
        <f t="shared" si="13"/>
        <v>1.2132784982912809E-2</v>
      </c>
      <c r="K24" s="2"/>
      <c r="L24" s="6">
        <f t="shared" si="14"/>
        <v>427.84000000000015</v>
      </c>
      <c r="M24" s="2"/>
      <c r="N24" s="7">
        <f t="shared" si="15"/>
        <v>0.36072069945281487</v>
      </c>
      <c r="O24" s="11"/>
      <c r="P24" s="6">
        <v>12666.18</v>
      </c>
      <c r="Q24" s="2"/>
      <c r="R24" s="7">
        <f t="shared" si="16"/>
        <v>1.4965208511389234E-2</v>
      </c>
      <c r="S24" s="2"/>
      <c r="T24" s="6">
        <v>10062.73</v>
      </c>
      <c r="U24" s="2"/>
      <c r="V24" s="7">
        <f t="shared" si="17"/>
        <v>1.1671170137240543E-2</v>
      </c>
      <c r="W24" s="2"/>
      <c r="X24" s="6">
        <f t="shared" si="18"/>
        <v>2603.4500000000007</v>
      </c>
      <c r="Y24" s="2"/>
      <c r="Z24" s="7">
        <f t="shared" si="19"/>
        <v>0.25872203666400678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>
        <v>918.44</v>
      </c>
      <c r="E25" s="2"/>
      <c r="F25" s="7">
        <f t="shared" si="12"/>
        <v>1.0227536062910863E-2</v>
      </c>
      <c r="G25" s="2"/>
      <c r="H25" s="6">
        <v>756.43</v>
      </c>
      <c r="I25" s="2"/>
      <c r="J25" s="7">
        <f t="shared" si="13"/>
        <v>7.7378253767692766E-3</v>
      </c>
      <c r="K25" s="2"/>
      <c r="L25" s="6">
        <f t="shared" si="14"/>
        <v>162.0100000000001</v>
      </c>
      <c r="M25" s="2"/>
      <c r="N25" s="7">
        <f t="shared" si="15"/>
        <v>0.21417712147852427</v>
      </c>
      <c r="O25" s="11"/>
      <c r="P25" s="6">
        <v>6724.77</v>
      </c>
      <c r="Q25" s="2"/>
      <c r="R25" s="7">
        <f t="shared" si="16"/>
        <v>7.9453777888151746E-3</v>
      </c>
      <c r="S25" s="2"/>
      <c r="T25" s="6">
        <v>7925.57</v>
      </c>
      <c r="U25" s="2"/>
      <c r="V25" s="7">
        <f t="shared" si="17"/>
        <v>9.1924036424121027E-3</v>
      </c>
      <c r="W25" s="2"/>
      <c r="X25" s="6">
        <f t="shared" si="18"/>
        <v>-1200.7999999999993</v>
      </c>
      <c r="Y25" s="2"/>
      <c r="Z25" s="7">
        <f t="shared" si="19"/>
        <v>-0.15150960751087925</v>
      </c>
    </row>
    <row r="26" spans="1:26" s="24" customFormat="1" hidden="1" outlineLevel="2" x14ac:dyDescent="0.25">
      <c r="A26" s="25"/>
      <c r="B26" s="11" t="str">
        <f>CONCATENATE("          ", "6113", " - ", "GROUP INSURANCE")</f>
        <v xml:space="preserve">          6113 - GROUP INSURANCE</v>
      </c>
      <c r="C26" s="11"/>
      <c r="D26" s="6">
        <v>5413.82</v>
      </c>
      <c r="E26" s="2"/>
      <c r="F26" s="7">
        <f t="shared" si="12"/>
        <v>6.028705118255747E-2</v>
      </c>
      <c r="G26" s="2"/>
      <c r="H26" s="6">
        <v>3876.56</v>
      </c>
      <c r="I26" s="2"/>
      <c r="J26" s="7">
        <f t="shared" si="13"/>
        <v>3.9654884579628923E-2</v>
      </c>
      <c r="K26" s="2"/>
      <c r="L26" s="6">
        <f t="shared" si="14"/>
        <v>1537.2599999999998</v>
      </c>
      <c r="M26" s="2"/>
      <c r="N26" s="7">
        <f t="shared" si="15"/>
        <v>0.39655261365746947</v>
      </c>
      <c r="O26" s="11"/>
      <c r="P26" s="6">
        <v>25842.12</v>
      </c>
      <c r="Q26" s="2"/>
      <c r="R26" s="7">
        <f t="shared" si="16"/>
        <v>3.0532703165148601E-2</v>
      </c>
      <c r="S26" s="2"/>
      <c r="T26" s="6">
        <v>25953.550000000003</v>
      </c>
      <c r="U26" s="2"/>
      <c r="V26" s="7">
        <f t="shared" si="17"/>
        <v>3.0101999926002126E-2</v>
      </c>
      <c r="W26" s="2"/>
      <c r="X26" s="6">
        <f t="shared" si="18"/>
        <v>-111.43000000000393</v>
      </c>
      <c r="Y26" s="2"/>
      <c r="Z26" s="7">
        <f t="shared" si="19"/>
        <v>-4.2934396257931539E-3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61.55</v>
      </c>
      <c r="E27" s="2"/>
      <c r="F27" s="7">
        <f t="shared" si="12"/>
        <v>6.8540660758695563E-4</v>
      </c>
      <c r="G27" s="2"/>
      <c r="H27" s="6">
        <v>56.19</v>
      </c>
      <c r="I27" s="2"/>
      <c r="J27" s="7">
        <f t="shared" si="13"/>
        <v>5.7479001086771498E-4</v>
      </c>
      <c r="K27" s="2"/>
      <c r="L27" s="6">
        <f t="shared" si="14"/>
        <v>5.3599999999999994</v>
      </c>
      <c r="M27" s="2"/>
      <c r="N27" s="7">
        <f t="shared" si="15"/>
        <v>9.5390638903719516E-2</v>
      </c>
      <c r="O27" s="11"/>
      <c r="P27" s="6">
        <v>587.9</v>
      </c>
      <c r="Q27" s="2"/>
      <c r="R27" s="7">
        <f t="shared" si="16"/>
        <v>6.9460927318621161E-4</v>
      </c>
      <c r="S27" s="2"/>
      <c r="T27" s="6">
        <v>588.76</v>
      </c>
      <c r="U27" s="2"/>
      <c r="V27" s="7">
        <f t="shared" si="17"/>
        <v>6.8286818090137992E-4</v>
      </c>
      <c r="W27" s="2"/>
      <c r="X27" s="6">
        <f t="shared" si="18"/>
        <v>-0.86000000000001364</v>
      </c>
      <c r="Y27" s="2"/>
      <c r="Z27" s="7">
        <f t="shared" si="19"/>
        <v>-1.4606970582240874E-3</v>
      </c>
    </row>
    <row r="28" spans="1:26" s="24" customFormat="1" hidden="1" outlineLevel="2" x14ac:dyDescent="0.25">
      <c r="A28" s="25"/>
      <c r="B28" s="11" t="str">
        <f>CONCATENATE("          ", "6115", " - ", "P.E.R.S.")</f>
        <v xml:space="preserve">          6115 - P.E.R.S.</v>
      </c>
      <c r="C28" s="11"/>
      <c r="D28" s="6">
        <v>948.56</v>
      </c>
      <c r="E28" s="2"/>
      <c r="F28" s="7">
        <f t="shared" si="12"/>
        <v>1.0562945437736518E-2</v>
      </c>
      <c r="G28" s="2"/>
      <c r="H28" s="6">
        <v>889.48</v>
      </c>
      <c r="I28" s="2"/>
      <c r="J28" s="7">
        <f t="shared" si="13"/>
        <v>9.0988471056525216E-3</v>
      </c>
      <c r="K28" s="2"/>
      <c r="L28" s="6">
        <f t="shared" si="14"/>
        <v>59.079999999999927</v>
      </c>
      <c r="M28" s="2"/>
      <c r="N28" s="7">
        <f t="shared" si="15"/>
        <v>6.6420830147951526E-2</v>
      </c>
      <c r="O28" s="11"/>
      <c r="P28" s="6">
        <v>3850.11</v>
      </c>
      <c r="Q28" s="2"/>
      <c r="R28" s="7">
        <f t="shared" si="16"/>
        <v>4.548940481012018E-3</v>
      </c>
      <c r="S28" s="2"/>
      <c r="T28" s="6">
        <v>4649.93</v>
      </c>
      <c r="U28" s="2"/>
      <c r="V28" s="7">
        <f t="shared" si="17"/>
        <v>5.3931809912676704E-3</v>
      </c>
      <c r="W28" s="2"/>
      <c r="X28" s="6">
        <f t="shared" si="18"/>
        <v>-799.82000000000016</v>
      </c>
      <c r="Y28" s="2"/>
      <c r="Z28" s="7">
        <f t="shared" si="19"/>
        <v>-0.17200689042630751</v>
      </c>
    </row>
    <row r="29" spans="1:26" s="24" customFormat="1" hidden="1" outlineLevel="2" x14ac:dyDescent="0.25">
      <c r="A29" s="25"/>
      <c r="B29" s="11" t="str">
        <f>CONCATENATE("          ", "6118", " - ", "VACATION")</f>
        <v xml:space="preserve">          6118 - VACATION</v>
      </c>
      <c r="C29" s="11"/>
      <c r="D29" s="6">
        <v>647.76</v>
      </c>
      <c r="E29" s="2"/>
      <c r="F29" s="7">
        <f t="shared" si="12"/>
        <v>7.2133059972465706E-3</v>
      </c>
      <c r="G29" s="2"/>
      <c r="H29" s="6">
        <v>615.87</v>
      </c>
      <c r="I29" s="2"/>
      <c r="J29" s="7">
        <f t="shared" si="13"/>
        <v>6.2999808505623716E-3</v>
      </c>
      <c r="K29" s="2"/>
      <c r="L29" s="6">
        <f t="shared" si="14"/>
        <v>31.889999999999986</v>
      </c>
      <c r="M29" s="2"/>
      <c r="N29" s="7">
        <f t="shared" si="15"/>
        <v>5.1780408203029836E-2</v>
      </c>
      <c r="O29" s="11"/>
      <c r="P29" s="6">
        <v>4068.67</v>
      </c>
      <c r="Q29" s="2"/>
      <c r="R29" s="7">
        <f t="shared" si="16"/>
        <v>4.8071711371569037E-3</v>
      </c>
      <c r="S29" s="2"/>
      <c r="T29" s="6">
        <v>3880.27</v>
      </c>
      <c r="U29" s="2"/>
      <c r="V29" s="7">
        <f t="shared" si="17"/>
        <v>4.500497513938103E-3</v>
      </c>
      <c r="W29" s="2"/>
      <c r="X29" s="6">
        <f t="shared" si="18"/>
        <v>188.40000000000009</v>
      </c>
      <c r="Y29" s="2"/>
      <c r="Z29" s="7">
        <f t="shared" si="19"/>
        <v>4.8553322320354017E-2</v>
      </c>
    </row>
    <row r="30" spans="1:26" s="24" customFormat="1" hidden="1" outlineLevel="2" x14ac:dyDescent="0.25">
      <c r="A30" s="25"/>
      <c r="B30" s="11" t="str">
        <f>CONCATENATE("          ", "6119", " - ", "SICK LEAVE")</f>
        <v xml:space="preserve">          6119 - SICK LEAVE</v>
      </c>
      <c r="C30" s="11"/>
      <c r="D30" s="6">
        <v>680.72</v>
      </c>
      <c r="E30" s="2"/>
      <c r="F30" s="7">
        <f t="shared" si="12"/>
        <v>7.5803409572151497E-3</v>
      </c>
      <c r="G30" s="2"/>
      <c r="H30" s="6">
        <v>967.6</v>
      </c>
      <c r="I30" s="2"/>
      <c r="J30" s="7">
        <f t="shared" si="13"/>
        <v>9.8979678682256812E-3</v>
      </c>
      <c r="K30" s="2"/>
      <c r="L30" s="6">
        <f t="shared" si="14"/>
        <v>-286.88</v>
      </c>
      <c r="M30" s="2"/>
      <c r="N30" s="7">
        <f t="shared" si="15"/>
        <v>-0.29648615130219097</v>
      </c>
      <c r="O30" s="11"/>
      <c r="P30" s="6">
        <v>4180.62</v>
      </c>
      <c r="Q30" s="2"/>
      <c r="R30" s="7">
        <f t="shared" si="16"/>
        <v>4.9394410948592283E-3</v>
      </c>
      <c r="S30" s="2"/>
      <c r="T30" s="6">
        <v>4583.6000000000004</v>
      </c>
      <c r="U30" s="2"/>
      <c r="V30" s="7">
        <f t="shared" si="17"/>
        <v>5.3162487159106693E-3</v>
      </c>
      <c r="W30" s="2"/>
      <c r="X30" s="6">
        <f t="shared" si="18"/>
        <v>-402.98000000000047</v>
      </c>
      <c r="Y30" s="2"/>
      <c r="Z30" s="7">
        <f t="shared" si="19"/>
        <v>-8.7917793873811073E-2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6">
        <v>609.05999999999995</v>
      </c>
      <c r="E31" s="2"/>
      <c r="F31" s="7">
        <f t="shared" si="12"/>
        <v>6.7823517208271513E-3</v>
      </c>
      <c r="G31" s="2"/>
      <c r="H31" s="6">
        <v>432.39</v>
      </c>
      <c r="I31" s="2"/>
      <c r="J31" s="7">
        <f t="shared" si="13"/>
        <v>4.4230904573605853E-3</v>
      </c>
      <c r="K31" s="2"/>
      <c r="L31" s="6">
        <f t="shared" si="14"/>
        <v>176.66999999999996</v>
      </c>
      <c r="M31" s="2"/>
      <c r="N31" s="7">
        <f t="shared" si="15"/>
        <v>0.40858946784153188</v>
      </c>
      <c r="O31" s="11"/>
      <c r="P31" s="6">
        <v>2857.74</v>
      </c>
      <c r="Q31" s="2"/>
      <c r="R31" s="7">
        <f t="shared" si="16"/>
        <v>3.3764461717216607E-3</v>
      </c>
      <c r="S31" s="2"/>
      <c r="T31" s="6">
        <v>3047.32</v>
      </c>
      <c r="U31" s="2"/>
      <c r="V31" s="7">
        <f t="shared" si="17"/>
        <v>3.534407678891897E-3</v>
      </c>
      <c r="W31" s="2"/>
      <c r="X31" s="6">
        <f t="shared" si="18"/>
        <v>-189.58000000000038</v>
      </c>
      <c r="Y31" s="2"/>
      <c r="Z31" s="7">
        <f t="shared" si="19"/>
        <v>-6.2212042056626927E-2</v>
      </c>
    </row>
    <row r="32" spans="1:26" s="26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33110.880000000005</v>
      </c>
      <c r="E32" s="1"/>
      <c r="F32" s="5">
        <f t="shared" ref="F32:F38" si="20">IF(D$12=0,0,D32/D$12)</f>
        <v>0.36871512485814428</v>
      </c>
      <c r="G32" s="1"/>
      <c r="H32" s="1">
        <f>SUM(OSRRefH22_1x_0)</f>
        <v>30560.15</v>
      </c>
      <c r="I32" s="1"/>
      <c r="J32" s="5">
        <f t="shared" ref="J32:J38" si="21">IF(H$12=0,0,H32/H$12)</f>
        <v>0.31261201193484611</v>
      </c>
      <c r="K32" s="1"/>
      <c r="L32" s="1">
        <f t="shared" ref="L32:L38" si="22">+D32-H32</f>
        <v>2550.7300000000032</v>
      </c>
      <c r="M32" s="1"/>
      <c r="N32" s="5">
        <f t="shared" ref="N32:N38" si="23">IF(H32=0,0,L32/H32)</f>
        <v>8.3465886129485717E-2</v>
      </c>
      <c r="O32" s="13"/>
      <c r="P32" s="1">
        <f>SUM(OSRRefP22_1x_0)</f>
        <v>229649.16000000003</v>
      </c>
      <c r="Q32" s="1"/>
      <c r="R32" s="5">
        <f t="shared" ref="R32:R38" si="24">IF(P$12=0,0,P32/P$12)</f>
        <v>0.27133260097877882</v>
      </c>
      <c r="S32" s="1"/>
      <c r="T32" s="1">
        <f>SUM(OSRRefT22_1x_0)</f>
        <v>211747.38999999998</v>
      </c>
      <c r="U32" s="1"/>
      <c r="V32" s="5">
        <f t="shared" ref="V32:V38" si="25">IF(T$12=0,0,T32/T$12)</f>
        <v>0.24559337424402988</v>
      </c>
      <c r="W32" s="1"/>
      <c r="X32" s="1">
        <f t="shared" ref="X32:X38" si="26">+P32-T32</f>
        <v>17901.770000000048</v>
      </c>
      <c r="Y32" s="1"/>
      <c r="Z32" s="5">
        <f t="shared" ref="Z32:Z38" si="27">IF(T32=0,0,X32/T32)</f>
        <v>8.4543049149271923E-2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10826</v>
      </c>
      <c r="E33" s="2"/>
      <c r="F33" s="7">
        <f t="shared" si="20"/>
        <v>0.12055583970327184</v>
      </c>
      <c r="G33" s="2"/>
      <c r="H33" s="6">
        <v>10762.08</v>
      </c>
      <c r="I33" s="2"/>
      <c r="J33" s="7">
        <f t="shared" si="21"/>
        <v>0.11008962591491757</v>
      </c>
      <c r="K33" s="2"/>
      <c r="L33" s="6">
        <f t="shared" si="22"/>
        <v>63.920000000000073</v>
      </c>
      <c r="M33" s="2"/>
      <c r="N33" s="7">
        <f t="shared" si="23"/>
        <v>5.9393723146455024E-3</v>
      </c>
      <c r="O33" s="11"/>
      <c r="P33" s="6">
        <v>55442</v>
      </c>
      <c r="Q33" s="2"/>
      <c r="R33" s="7">
        <f t="shared" si="24"/>
        <v>6.5505234434410517E-2</v>
      </c>
      <c r="S33" s="2"/>
      <c r="T33" s="6">
        <v>63304.23</v>
      </c>
      <c r="U33" s="2"/>
      <c r="V33" s="7">
        <f t="shared" si="25"/>
        <v>7.3422862258751553E-2</v>
      </c>
      <c r="W33" s="2"/>
      <c r="X33" s="6">
        <f t="shared" si="26"/>
        <v>-7862.2300000000032</v>
      </c>
      <c r="Y33" s="2"/>
      <c r="Z33" s="7">
        <f t="shared" si="27"/>
        <v>-0.12419754572482759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4734.8599999999997</v>
      </c>
      <c r="E34" s="2"/>
      <c r="F34" s="7">
        <f t="shared" si="20"/>
        <v>5.2726309179515395E-2</v>
      </c>
      <c r="G34" s="2"/>
      <c r="H34" s="6">
        <v>2443.75</v>
      </c>
      <c r="I34" s="2"/>
      <c r="J34" s="7">
        <f t="shared" si="21"/>
        <v>2.4998097331517682E-2</v>
      </c>
      <c r="K34" s="2"/>
      <c r="L34" s="6">
        <f t="shared" si="22"/>
        <v>2291.1099999999997</v>
      </c>
      <c r="M34" s="2"/>
      <c r="N34" s="7">
        <f t="shared" si="23"/>
        <v>0.93753861892583101</v>
      </c>
      <c r="O34" s="11"/>
      <c r="P34" s="6">
        <v>26562.070000000003</v>
      </c>
      <c r="Q34" s="2"/>
      <c r="R34" s="7">
        <f t="shared" si="24"/>
        <v>3.13833307314531E-2</v>
      </c>
      <c r="S34" s="2"/>
      <c r="T34" s="6">
        <v>15941.750000000002</v>
      </c>
      <c r="U34" s="2"/>
      <c r="V34" s="7">
        <f t="shared" si="25"/>
        <v>1.8489900507650953E-2</v>
      </c>
      <c r="W34" s="2"/>
      <c r="X34" s="6">
        <f t="shared" si="26"/>
        <v>10620.320000000002</v>
      </c>
      <c r="Y34" s="2"/>
      <c r="Z34" s="7">
        <f t="shared" si="27"/>
        <v>0.66619536750984054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6786.93</v>
      </c>
      <c r="E35" s="2"/>
      <c r="F35" s="7">
        <f t="shared" si="20"/>
        <v>7.5577687526078588E-2</v>
      </c>
      <c r="G35" s="2"/>
      <c r="H35" s="6">
        <v>4161.45</v>
      </c>
      <c r="I35" s="2"/>
      <c r="J35" s="7">
        <f t="shared" si="21"/>
        <v>4.2569138471711204E-2</v>
      </c>
      <c r="K35" s="2"/>
      <c r="L35" s="6">
        <f t="shared" si="22"/>
        <v>2625.4800000000005</v>
      </c>
      <c r="M35" s="2"/>
      <c r="N35" s="7">
        <f t="shared" si="23"/>
        <v>0.63090509317665733</v>
      </c>
      <c r="O35" s="11"/>
      <c r="P35" s="6">
        <v>65194.879999999997</v>
      </c>
      <c r="Q35" s="2"/>
      <c r="R35" s="7">
        <f t="shared" si="24"/>
        <v>7.7028352121555163E-2</v>
      </c>
      <c r="S35" s="2"/>
      <c r="T35" s="6">
        <v>38305.219999999994</v>
      </c>
      <c r="U35" s="2"/>
      <c r="V35" s="7">
        <f t="shared" si="25"/>
        <v>4.4427977274996866E-2</v>
      </c>
      <c r="W35" s="2"/>
      <c r="X35" s="6">
        <f t="shared" si="26"/>
        <v>26889.660000000003</v>
      </c>
      <c r="Y35" s="2"/>
      <c r="Z35" s="7">
        <f t="shared" si="27"/>
        <v>0.70198422042739883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7215.01</v>
      </c>
      <c r="Q36" s="2"/>
      <c r="R36" s="7">
        <f t="shared" si="24"/>
        <v>8.524600871119661E-3</v>
      </c>
      <c r="S36" s="2"/>
      <c r="T36" s="6"/>
      <c r="U36" s="2"/>
      <c r="V36" s="7">
        <f t="shared" si="25"/>
        <v>0</v>
      </c>
      <c r="W36" s="2"/>
      <c r="X36" s="6">
        <f t="shared" si="26"/>
        <v>7215.01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10763.09</v>
      </c>
      <c r="E37" s="2"/>
      <c r="F37" s="7">
        <f t="shared" si="20"/>
        <v>0.11985528844927842</v>
      </c>
      <c r="G37" s="2"/>
      <c r="H37" s="6">
        <v>13087.87</v>
      </c>
      <c r="I37" s="2"/>
      <c r="J37" s="7">
        <f t="shared" si="21"/>
        <v>0.13388106317023032</v>
      </c>
      <c r="K37" s="2"/>
      <c r="L37" s="6">
        <f t="shared" si="22"/>
        <v>-2324.7800000000007</v>
      </c>
      <c r="M37" s="2"/>
      <c r="N37" s="7">
        <f t="shared" si="23"/>
        <v>-0.17762859808356901</v>
      </c>
      <c r="O37" s="11"/>
      <c r="P37" s="6">
        <v>73405.2</v>
      </c>
      <c r="Q37" s="2"/>
      <c r="R37" s="7">
        <f t="shared" si="24"/>
        <v>8.6728920939085727E-2</v>
      </c>
      <c r="S37" s="2"/>
      <c r="T37" s="6">
        <v>87886.23</v>
      </c>
      <c r="U37" s="2"/>
      <c r="V37" s="7">
        <f t="shared" si="25"/>
        <v>0.10193408180987207</v>
      </c>
      <c r="W37" s="2"/>
      <c r="X37" s="6">
        <f t="shared" si="26"/>
        <v>-14481.029999999999</v>
      </c>
      <c r="Y37" s="2"/>
      <c r="Z37" s="7">
        <f t="shared" si="27"/>
        <v>-0.16477018072114369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105</v>
      </c>
      <c r="I38" s="2"/>
      <c r="J38" s="7">
        <f t="shared" si="21"/>
        <v>1.074087046469302E-3</v>
      </c>
      <c r="K38" s="2"/>
      <c r="L38" s="6">
        <f t="shared" si="22"/>
        <v>-105</v>
      </c>
      <c r="M38" s="2"/>
      <c r="N38" s="7">
        <f t="shared" si="23"/>
        <v>-1</v>
      </c>
      <c r="O38" s="11"/>
      <c r="P38" s="6">
        <v>1830</v>
      </c>
      <c r="Q38" s="2"/>
      <c r="R38" s="7">
        <f t="shared" si="24"/>
        <v>2.1621618811545626E-3</v>
      </c>
      <c r="S38" s="2"/>
      <c r="T38" s="6">
        <v>6309.96</v>
      </c>
      <c r="U38" s="2"/>
      <c r="V38" s="7">
        <f t="shared" si="25"/>
        <v>7.318552392758461E-3</v>
      </c>
      <c r="W38" s="2"/>
      <c r="X38" s="6">
        <f t="shared" si="26"/>
        <v>-4479.96</v>
      </c>
      <c r="Y38" s="2"/>
      <c r="Z38" s="7">
        <f t="shared" si="27"/>
        <v>-0.70998231367552256</v>
      </c>
    </row>
    <row r="39" spans="1:26" s="26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1054.52</v>
      </c>
      <c r="E39" s="1"/>
      <c r="F39" s="5">
        <f t="shared" ref="F39:F47" si="28">IF(D$12=0,0,D39/D$12)</f>
        <v>1.1742891565111234E-2</v>
      </c>
      <c r="G39" s="1"/>
      <c r="H39" s="1">
        <f>SUM(OSRRefH22_2x_0)</f>
        <v>570.82000000000005</v>
      </c>
      <c r="I39" s="1"/>
      <c r="J39" s="5">
        <f t="shared" ref="J39:J47" si="29">IF(H$12=0,0,H39/H$12)</f>
        <v>5.8391463606248285E-3</v>
      </c>
      <c r="K39" s="1"/>
      <c r="L39" s="1">
        <f t="shared" ref="L39:L47" si="30">+D39-H39</f>
        <v>483.69999999999993</v>
      </c>
      <c r="M39" s="1"/>
      <c r="N39" s="5">
        <f t="shared" ref="N39:N47" si="31">IF(H39=0,0,L39/H39)</f>
        <v>0.84737745699169598</v>
      </c>
      <c r="O39" s="13"/>
      <c r="P39" s="1">
        <f>SUM(OSRRefP22_2x_0)</f>
        <v>4095.63</v>
      </c>
      <c r="Q39" s="1"/>
      <c r="R39" s="5">
        <f t="shared" ref="R39:R47" si="32">IF(P$12=0,0,P39/P$12)</f>
        <v>4.8390246258541315E-3</v>
      </c>
      <c r="S39" s="1"/>
      <c r="T39" s="1">
        <f>SUM(OSRRefT22_2x_0)</f>
        <v>3906.97</v>
      </c>
      <c r="U39" s="1"/>
      <c r="V39" s="5">
        <f t="shared" ref="V39:V47" si="33">IF(T$12=0,0,T39/T$12)</f>
        <v>4.5314652774241871E-3</v>
      </c>
      <c r="W39" s="1"/>
      <c r="X39" s="1">
        <f t="shared" ref="X39:X47" si="34">+P39-T39</f>
        <v>188.66000000000031</v>
      </c>
      <c r="Y39" s="1"/>
      <c r="Z39" s="5">
        <f t="shared" ref="Z39:Z47" si="35">IF(T39=0,0,X39/T39)</f>
        <v>4.8288059544864773E-2</v>
      </c>
    </row>
    <row r="40" spans="1:26" s="24" customFormat="1" hidden="1" outlineLevel="2" x14ac:dyDescent="0.25">
      <c r="A40" s="25"/>
      <c r="B40" s="11" t="str">
        <f>CONCATENATE("          ", "6362", " - ", "ADVERTISING EXPENSE")</f>
        <v xml:space="preserve">          6362 - ADVERTISING EXPENSE</v>
      </c>
      <c r="C40" s="11"/>
      <c r="D40" s="6">
        <v>1054.52</v>
      </c>
      <c r="E40" s="2"/>
      <c r="F40" s="7">
        <f t="shared" si="28"/>
        <v>1.1742891565111234E-2</v>
      </c>
      <c r="G40" s="2"/>
      <c r="H40" s="6">
        <v>570.82000000000005</v>
      </c>
      <c r="I40" s="2"/>
      <c r="J40" s="7">
        <f t="shared" si="29"/>
        <v>5.8391463606248285E-3</v>
      </c>
      <c r="K40" s="2"/>
      <c r="L40" s="6">
        <f t="shared" si="30"/>
        <v>483.69999999999993</v>
      </c>
      <c r="M40" s="2"/>
      <c r="N40" s="7">
        <f t="shared" si="31"/>
        <v>0.84737745699169598</v>
      </c>
      <c r="O40" s="11"/>
      <c r="P40" s="6">
        <v>4095.63</v>
      </c>
      <c r="Q40" s="2"/>
      <c r="R40" s="7">
        <f t="shared" si="32"/>
        <v>4.8390246258541315E-3</v>
      </c>
      <c r="S40" s="2"/>
      <c r="T40" s="6">
        <v>3906.97</v>
      </c>
      <c r="U40" s="2"/>
      <c r="V40" s="7">
        <f t="shared" si="33"/>
        <v>4.5314652774241871E-3</v>
      </c>
      <c r="W40" s="2"/>
      <c r="X40" s="6">
        <f t="shared" si="34"/>
        <v>188.66000000000031</v>
      </c>
      <c r="Y40" s="2"/>
      <c r="Z40" s="7">
        <f t="shared" si="35"/>
        <v>4.8288059544864773E-2</v>
      </c>
    </row>
    <row r="41" spans="1:26" s="26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-287.11</v>
      </c>
      <c r="E41" s="1"/>
      <c r="F41" s="5">
        <f t="shared" si="28"/>
        <v>-3.1971907571777553E-3</v>
      </c>
      <c r="G41" s="1"/>
      <c r="H41" s="1">
        <f>SUM(OSRRefH22_3x_0)</f>
        <v>-13.07</v>
      </c>
      <c r="I41" s="1"/>
      <c r="J41" s="5">
        <f t="shared" si="29"/>
        <v>-1.3369826378432169E-4</v>
      </c>
      <c r="K41" s="1"/>
      <c r="L41" s="1">
        <f t="shared" si="30"/>
        <v>-274.04000000000002</v>
      </c>
      <c r="M41" s="1"/>
      <c r="N41" s="5">
        <f t="shared" si="31"/>
        <v>20.967100229533283</v>
      </c>
      <c r="O41" s="13"/>
      <c r="P41" s="1">
        <f>SUM(OSRRefP22_3x_0)</f>
        <v>-323.87</v>
      </c>
      <c r="Q41" s="1"/>
      <c r="R41" s="5">
        <f t="shared" si="32"/>
        <v>-3.8265539259537058E-4</v>
      </c>
      <c r="S41" s="1"/>
      <c r="T41" s="1">
        <f>SUM(OSRRefT22_3x_0)</f>
        <v>-20.65</v>
      </c>
      <c r="U41" s="1"/>
      <c r="V41" s="5">
        <f t="shared" si="33"/>
        <v>-2.3950723445229798E-5</v>
      </c>
      <c r="W41" s="1"/>
      <c r="X41" s="1">
        <f t="shared" si="34"/>
        <v>-303.22000000000003</v>
      </c>
      <c r="Y41" s="1"/>
      <c r="Z41" s="5">
        <f t="shared" si="35"/>
        <v>14.683777239709446</v>
      </c>
    </row>
    <row r="42" spans="1:26" s="24" customFormat="1" hidden="1" outlineLevel="2" x14ac:dyDescent="0.25">
      <c r="A42" s="25"/>
      <c r="B42" s="11" t="str">
        <f>CONCATENATE("          ", "6272", " - ", "CASH (OVER/SHORT)")</f>
        <v xml:space="preserve">          6272 - CASH (OVER/SHORT)</v>
      </c>
      <c r="C42" s="11"/>
      <c r="D42" s="6">
        <v>-287.11</v>
      </c>
      <c r="E42" s="2"/>
      <c r="F42" s="7">
        <f t="shared" si="28"/>
        <v>-3.1971907571777553E-3</v>
      </c>
      <c r="G42" s="2"/>
      <c r="H42" s="6">
        <v>-13.07</v>
      </c>
      <c r="I42" s="2"/>
      <c r="J42" s="7">
        <f t="shared" si="29"/>
        <v>-1.3369826378432169E-4</v>
      </c>
      <c r="K42" s="2"/>
      <c r="L42" s="6">
        <f t="shared" si="30"/>
        <v>-274.04000000000002</v>
      </c>
      <c r="M42" s="2"/>
      <c r="N42" s="7">
        <f t="shared" si="31"/>
        <v>20.967100229533283</v>
      </c>
      <c r="O42" s="11"/>
      <c r="P42" s="6">
        <v>-323.87</v>
      </c>
      <c r="Q42" s="2"/>
      <c r="R42" s="7">
        <f t="shared" si="32"/>
        <v>-3.8265539259537058E-4</v>
      </c>
      <c r="S42" s="2"/>
      <c r="T42" s="6">
        <v>-20.65</v>
      </c>
      <c r="U42" s="2"/>
      <c r="V42" s="7">
        <f t="shared" si="33"/>
        <v>-2.3950723445229798E-5</v>
      </c>
      <c r="W42" s="2"/>
      <c r="X42" s="6">
        <f t="shared" si="34"/>
        <v>-303.22000000000003</v>
      </c>
      <c r="Y42" s="2"/>
      <c r="Z42" s="7">
        <f t="shared" si="35"/>
        <v>14.683777239709446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3025.86</v>
      </c>
      <c r="E43" s="1"/>
      <c r="F43" s="5">
        <f t="shared" si="28"/>
        <v>3.3695279246678568E-2</v>
      </c>
      <c r="G43" s="1"/>
      <c r="H43" s="1">
        <f>SUM(OSRRefH22_4x_0)</f>
        <v>3820.43</v>
      </c>
      <c r="I43" s="1"/>
      <c r="J43" s="5">
        <f t="shared" si="29"/>
        <v>3.9080708332787761E-2</v>
      </c>
      <c r="K43" s="1"/>
      <c r="L43" s="1">
        <f t="shared" si="30"/>
        <v>-794.56999999999971</v>
      </c>
      <c r="M43" s="1"/>
      <c r="N43" s="5">
        <f t="shared" si="31"/>
        <v>-0.20797920652910792</v>
      </c>
      <c r="O43" s="13"/>
      <c r="P43" s="1">
        <f>SUM(OSRRefP22_4x_0)</f>
        <v>33916.19</v>
      </c>
      <c r="Q43" s="1"/>
      <c r="R43" s="5">
        <f t="shared" si="32"/>
        <v>4.0072291350817246E-2</v>
      </c>
      <c r="S43" s="1"/>
      <c r="T43" s="1">
        <f>SUM(OSRRefT22_4x_0)</f>
        <v>34511.71</v>
      </c>
      <c r="U43" s="1"/>
      <c r="V43" s="5">
        <f t="shared" si="33"/>
        <v>4.0028107594768603E-2</v>
      </c>
      <c r="W43" s="1"/>
      <c r="X43" s="1">
        <f t="shared" si="34"/>
        <v>-595.5199999999968</v>
      </c>
      <c r="Y43" s="1"/>
      <c r="Z43" s="5">
        <f t="shared" si="35"/>
        <v>-1.7255592377195938E-2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3025.86</v>
      </c>
      <c r="E44" s="2"/>
      <c r="F44" s="7">
        <f t="shared" si="28"/>
        <v>3.3695279246678568E-2</v>
      </c>
      <c r="G44" s="2"/>
      <c r="H44" s="6">
        <v>3820.43</v>
      </c>
      <c r="I44" s="2"/>
      <c r="J44" s="7">
        <f t="shared" si="29"/>
        <v>3.9080708332787761E-2</v>
      </c>
      <c r="K44" s="2"/>
      <c r="L44" s="6">
        <f t="shared" si="30"/>
        <v>-794.56999999999971</v>
      </c>
      <c r="M44" s="2"/>
      <c r="N44" s="7">
        <f t="shared" si="31"/>
        <v>-0.20797920652910792</v>
      </c>
      <c r="O44" s="11"/>
      <c r="P44" s="6">
        <v>33916.19</v>
      </c>
      <c r="Q44" s="2"/>
      <c r="R44" s="7">
        <f t="shared" si="32"/>
        <v>4.0072291350817246E-2</v>
      </c>
      <c r="S44" s="2"/>
      <c r="T44" s="6">
        <v>34511.71</v>
      </c>
      <c r="U44" s="2"/>
      <c r="V44" s="7">
        <f t="shared" si="33"/>
        <v>4.0028107594768603E-2</v>
      </c>
      <c r="W44" s="2"/>
      <c r="X44" s="6">
        <f t="shared" si="34"/>
        <v>-595.5199999999968</v>
      </c>
      <c r="Y44" s="2"/>
      <c r="Z44" s="7">
        <f t="shared" si="35"/>
        <v>-1.7255592377195938E-2</v>
      </c>
    </row>
    <row r="45" spans="1:26" s="26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8263.4700000000012</v>
      </c>
      <c r="E45" s="1"/>
      <c r="F45" s="5">
        <f t="shared" si="28"/>
        <v>9.2020096500350632E-2</v>
      </c>
      <c r="G45" s="1"/>
      <c r="H45" s="1">
        <f>SUM(OSRRefH22_5x_0)</f>
        <v>8410.08</v>
      </c>
      <c r="I45" s="1"/>
      <c r="J45" s="5">
        <f t="shared" si="29"/>
        <v>8.6030076074005202E-2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3"/>
      <c r="P45" s="1">
        <f>SUM(OSRRefP22_5x_0)</f>
        <v>57844.29</v>
      </c>
      <c r="Q45" s="1"/>
      <c r="R45" s="5">
        <f t="shared" si="32"/>
        <v>6.8343562229754129E-2</v>
      </c>
      <c r="S45" s="1"/>
      <c r="T45" s="1">
        <f>SUM(OSRRefT22_5x_0)</f>
        <v>58870.559999999998</v>
      </c>
      <c r="U45" s="1"/>
      <c r="V45" s="5">
        <f t="shared" si="33"/>
        <v>6.8280508553307875E-2</v>
      </c>
      <c r="W45" s="1"/>
      <c r="X45" s="1">
        <f t="shared" si="34"/>
        <v>-1026.2699999999968</v>
      </c>
      <c r="Y45" s="1"/>
      <c r="Z45" s="5">
        <f t="shared" si="35"/>
        <v>-1.7432652245876323E-2</v>
      </c>
    </row>
    <row r="46" spans="1:26" s="24" customFormat="1" hidden="1" outlineLevel="2" x14ac:dyDescent="0.25">
      <c r="A46" s="25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8"/>
        <v>7.2795081464277961E-2</v>
      </c>
      <c r="G46" s="2"/>
      <c r="H46" s="6">
        <v>6537.05</v>
      </c>
      <c r="I46" s="2"/>
      <c r="J46" s="7">
        <f t="shared" si="29"/>
        <v>6.6870102163068101E-2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45759.35</v>
      </c>
      <c r="Q46" s="2"/>
      <c r="R46" s="7">
        <f t="shared" si="32"/>
        <v>5.4065094140114768E-2</v>
      </c>
      <c r="S46" s="2"/>
      <c r="T46" s="6">
        <v>45759.35</v>
      </c>
      <c r="U46" s="2"/>
      <c r="V46" s="7">
        <f t="shared" si="33"/>
        <v>5.3073585321233713E-2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5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1726.42</v>
      </c>
      <c r="E47" s="2"/>
      <c r="F47" s="7">
        <f t="shared" si="28"/>
        <v>1.9225015036072657E-2</v>
      </c>
      <c r="G47" s="2"/>
      <c r="H47" s="6">
        <v>1873.03</v>
      </c>
      <c r="I47" s="2"/>
      <c r="J47" s="7">
        <f t="shared" si="29"/>
        <v>1.9159973910937111E-2</v>
      </c>
      <c r="K47" s="2"/>
      <c r="L47" s="6">
        <f t="shared" si="30"/>
        <v>-146.6099999999999</v>
      </c>
      <c r="M47" s="2"/>
      <c r="N47" s="7">
        <f t="shared" si="31"/>
        <v>-7.827424013496842E-2</v>
      </c>
      <c r="O47" s="11"/>
      <c r="P47" s="6">
        <v>12084.94</v>
      </c>
      <c r="Q47" s="2"/>
      <c r="R47" s="7">
        <f t="shared" si="32"/>
        <v>1.4278468089639356E-2</v>
      </c>
      <c r="S47" s="2"/>
      <c r="T47" s="6">
        <v>13111.21</v>
      </c>
      <c r="U47" s="2"/>
      <c r="V47" s="7">
        <f t="shared" si="33"/>
        <v>1.5206923232074157E-2</v>
      </c>
      <c r="W47" s="2"/>
      <c r="X47" s="6">
        <f t="shared" si="34"/>
        <v>-1026.2699999999986</v>
      </c>
      <c r="Y47" s="2"/>
      <c r="Z47" s="7">
        <f t="shared" si="35"/>
        <v>-7.8274240134968379E-2</v>
      </c>
    </row>
    <row r="48" spans="1:26" s="26" customFormat="1" outlineLevel="1" collapsed="1" x14ac:dyDescent="0.25">
      <c r="A48" s="27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0.09</v>
      </c>
      <c r="E48" s="1"/>
      <c r="F48" s="5">
        <f t="shared" ref="F48:F58" si="36">IF(D$12=0,0,D48/D$12)</f>
        <v>1.0022192474870189E-6</v>
      </c>
      <c r="G48" s="1"/>
      <c r="H48" s="1">
        <f>SUM(OSRRefH22_6x_0)</f>
        <v>0</v>
      </c>
      <c r="I48" s="1"/>
      <c r="J48" s="5">
        <f t="shared" ref="J48:J58" si="37">IF(H$12=0,0,H48/H$12)</f>
        <v>0</v>
      </c>
      <c r="K48" s="1"/>
      <c r="L48" s="1">
        <f t="shared" ref="L48:L58" si="38">+D48-H48</f>
        <v>0.09</v>
      </c>
      <c r="M48" s="1"/>
      <c r="N48" s="5">
        <f t="shared" ref="N48:N58" si="39">IF(H48=0,0,L48/H48)</f>
        <v>0</v>
      </c>
      <c r="O48" s="13"/>
      <c r="P48" s="1">
        <f>SUM(OSRRefP22_6x_0)</f>
        <v>0.09</v>
      </c>
      <c r="Q48" s="1"/>
      <c r="R48" s="5">
        <f t="shared" ref="R48:R58" si="40">IF(P$12=0,0,P48/P$12)</f>
        <v>1.0633583022071619E-7</v>
      </c>
      <c r="S48" s="1"/>
      <c r="T48" s="1">
        <f>SUM(OSRRefT22_6x_0)</f>
        <v>0</v>
      </c>
      <c r="U48" s="1"/>
      <c r="V48" s="5">
        <f t="shared" ref="V48:V58" si="41">IF(T$12=0,0,T48/T$12)</f>
        <v>0</v>
      </c>
      <c r="W48" s="1"/>
      <c r="X48" s="1">
        <f t="shared" ref="X48:X58" si="42">+P48-T48</f>
        <v>0.09</v>
      </c>
      <c r="Y48" s="1"/>
      <c r="Z48" s="5">
        <f t="shared" ref="Z48:Z58" si="43">IF(T48=0,0,X48/T48)</f>
        <v>0</v>
      </c>
    </row>
    <row r="49" spans="1:26" s="24" customFormat="1" hidden="1" outlineLevel="2" x14ac:dyDescent="0.25">
      <c r="A49" s="25"/>
      <c r="B49" s="11" t="str">
        <f>CONCATENATE("          ", "6382", " - ", "DISCOUNTS/MARK DOWNS")</f>
        <v xml:space="preserve">          6382 - DISCOUNTS/MARK DOWNS</v>
      </c>
      <c r="C49" s="11"/>
      <c r="D49" s="6">
        <v>0.09</v>
      </c>
      <c r="E49" s="2"/>
      <c r="F49" s="7">
        <f t="shared" si="36"/>
        <v>1.0022192474870189E-6</v>
      </c>
      <c r="G49" s="2"/>
      <c r="H49" s="6"/>
      <c r="I49" s="2"/>
      <c r="J49" s="7">
        <f t="shared" si="37"/>
        <v>0</v>
      </c>
      <c r="K49" s="2"/>
      <c r="L49" s="6">
        <f t="shared" si="38"/>
        <v>0.09</v>
      </c>
      <c r="M49" s="2"/>
      <c r="N49" s="7">
        <f t="shared" si="39"/>
        <v>0</v>
      </c>
      <c r="O49" s="11"/>
      <c r="P49" s="6">
        <v>0.09</v>
      </c>
      <c r="Q49" s="2"/>
      <c r="R49" s="7">
        <f t="shared" si="40"/>
        <v>1.0633583022071619E-7</v>
      </c>
      <c r="S49" s="2"/>
      <c r="T49" s="6"/>
      <c r="U49" s="2"/>
      <c r="V49" s="7">
        <f t="shared" si="41"/>
        <v>0</v>
      </c>
      <c r="W49" s="2"/>
      <c r="X49" s="6">
        <f t="shared" si="42"/>
        <v>0.09</v>
      </c>
      <c r="Y49" s="2"/>
      <c r="Z49" s="7">
        <f t="shared" si="43"/>
        <v>0</v>
      </c>
    </row>
    <row r="50" spans="1:26" s="26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6"/>
        <v>0</v>
      </c>
      <c r="G50" s="1"/>
      <c r="H50" s="1">
        <f>SUM(OSRRefH22_7x_0)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SUM(OSRRefP22_7x_0)</f>
        <v>73</v>
      </c>
      <c r="Q50" s="1"/>
      <c r="R50" s="5">
        <f t="shared" si="40"/>
        <v>8.625017340124758E-5</v>
      </c>
      <c r="S50" s="1"/>
      <c r="T50" s="1">
        <f>SUM(OSRRefT22_7x_0)</f>
        <v>62</v>
      </c>
      <c r="U50" s="1"/>
      <c r="V50" s="5">
        <f t="shared" si="41"/>
        <v>7.191016240214274E-5</v>
      </c>
      <c r="W50" s="1"/>
      <c r="X50" s="1">
        <f t="shared" si="42"/>
        <v>11</v>
      </c>
      <c r="Y50" s="1"/>
      <c r="Z50" s="5">
        <f t="shared" si="43"/>
        <v>0.17741935483870969</v>
      </c>
    </row>
    <row r="51" spans="1:26" s="24" customFormat="1" hidden="1" outlineLevel="2" x14ac:dyDescent="0.25">
      <c r="A51" s="25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6"/>
        <v>0</v>
      </c>
      <c r="G51" s="2"/>
      <c r="H51" s="6"/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>
        <v>73</v>
      </c>
      <c r="Q51" s="2"/>
      <c r="R51" s="7">
        <f t="shared" si="40"/>
        <v>8.625017340124758E-5</v>
      </c>
      <c r="S51" s="2"/>
      <c r="T51" s="6">
        <v>62</v>
      </c>
      <c r="U51" s="2"/>
      <c r="V51" s="7">
        <f t="shared" si="41"/>
        <v>7.191016240214274E-5</v>
      </c>
      <c r="W51" s="2"/>
      <c r="X51" s="6">
        <f t="shared" si="42"/>
        <v>11</v>
      </c>
      <c r="Y51" s="2"/>
      <c r="Z51" s="7">
        <f t="shared" si="43"/>
        <v>0.17741935483870969</v>
      </c>
    </row>
    <row r="52" spans="1:26" s="26" customFormat="1" outlineLevel="1" collapsed="1" x14ac:dyDescent="0.25">
      <c r="A52" s="27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7.64</v>
      </c>
      <c r="I52" s="1"/>
      <c r="J52" s="5">
        <f t="shared" si="37"/>
        <v>7.8152619381194926E-5</v>
      </c>
      <c r="K52" s="1"/>
      <c r="L52" s="1">
        <f t="shared" si="38"/>
        <v>-7.64</v>
      </c>
      <c r="M52" s="1"/>
      <c r="N52" s="5">
        <f t="shared" si="39"/>
        <v>-1</v>
      </c>
      <c r="O52" s="13"/>
      <c r="P52" s="1">
        <f>SUM(OSRRefP22_8x_0)</f>
        <v>8.25</v>
      </c>
      <c r="Q52" s="1"/>
      <c r="R52" s="5">
        <f t="shared" si="40"/>
        <v>9.7474511035656499E-6</v>
      </c>
      <c r="S52" s="1"/>
      <c r="T52" s="1">
        <f>SUM(OSRRefT22_8x_0)</f>
        <v>211.54</v>
      </c>
      <c r="U52" s="1"/>
      <c r="V52" s="5">
        <f t="shared" si="41"/>
        <v>2.4535283475079475E-4</v>
      </c>
      <c r="W52" s="1"/>
      <c r="X52" s="1">
        <f t="shared" si="42"/>
        <v>-203.29</v>
      </c>
      <c r="Y52" s="1"/>
      <c r="Z52" s="5">
        <f t="shared" si="43"/>
        <v>-0.96100028363430079</v>
      </c>
    </row>
    <row r="53" spans="1:26" s="24" customFormat="1" hidden="1" outlineLevel="2" x14ac:dyDescent="0.25">
      <c r="A53" s="25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6"/>
        <v>0</v>
      </c>
      <c r="G53" s="2"/>
      <c r="H53" s="6">
        <v>7.64</v>
      </c>
      <c r="I53" s="2"/>
      <c r="J53" s="7">
        <f t="shared" si="37"/>
        <v>7.8152619381194926E-5</v>
      </c>
      <c r="K53" s="2"/>
      <c r="L53" s="6">
        <f t="shared" si="38"/>
        <v>-7.64</v>
      </c>
      <c r="M53" s="2"/>
      <c r="N53" s="7">
        <f t="shared" si="39"/>
        <v>-1</v>
      </c>
      <c r="O53" s="11"/>
      <c r="P53" s="6">
        <v>8.25</v>
      </c>
      <c r="Q53" s="2"/>
      <c r="R53" s="7">
        <f t="shared" si="40"/>
        <v>9.7474511035656499E-6</v>
      </c>
      <c r="S53" s="2"/>
      <c r="T53" s="6">
        <v>211.54</v>
      </c>
      <c r="U53" s="2"/>
      <c r="V53" s="7">
        <f t="shared" si="41"/>
        <v>2.4535283475079475E-4</v>
      </c>
      <c r="W53" s="2"/>
      <c r="X53" s="6">
        <f t="shared" si="42"/>
        <v>-203.29</v>
      </c>
      <c r="Y53" s="2"/>
      <c r="Z53" s="7">
        <f t="shared" si="43"/>
        <v>-0.96100028363430079</v>
      </c>
    </row>
    <row r="54" spans="1:26" s="26" customFormat="1" outlineLevel="1" collapsed="1" x14ac:dyDescent="0.25">
      <c r="A54" s="27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2316.36</v>
      </c>
      <c r="E54" s="1"/>
      <c r="F54" s="5">
        <f t="shared" si="36"/>
        <v>2.5794450845655899E-2</v>
      </c>
      <c r="G54" s="1"/>
      <c r="H54" s="1">
        <f>SUM(OSRRefH22_9x_0)</f>
        <v>0</v>
      </c>
      <c r="I54" s="1"/>
      <c r="J54" s="5">
        <f t="shared" si="37"/>
        <v>0</v>
      </c>
      <c r="K54" s="1"/>
      <c r="L54" s="1">
        <f t="shared" si="38"/>
        <v>2316.36</v>
      </c>
      <c r="M54" s="1"/>
      <c r="N54" s="5">
        <f t="shared" si="39"/>
        <v>0</v>
      </c>
      <c r="O54" s="13"/>
      <c r="P54" s="1">
        <f>SUM(OSRRefP22_9x_0)</f>
        <v>5304.03</v>
      </c>
      <c r="Q54" s="1"/>
      <c r="R54" s="5">
        <f t="shared" si="40"/>
        <v>6.2667603729509476E-3</v>
      </c>
      <c r="S54" s="1"/>
      <c r="T54" s="1">
        <f>SUM(OSRRefT22_9x_0)</f>
        <v>0</v>
      </c>
      <c r="U54" s="1"/>
      <c r="V54" s="5">
        <f t="shared" si="41"/>
        <v>0</v>
      </c>
      <c r="W54" s="1"/>
      <c r="X54" s="1">
        <f t="shared" si="42"/>
        <v>5304.03</v>
      </c>
      <c r="Y54" s="1"/>
      <c r="Z54" s="5">
        <f t="shared" si="43"/>
        <v>0</v>
      </c>
    </row>
    <row r="55" spans="1:26" s="24" customFormat="1" hidden="1" outlineLevel="2" x14ac:dyDescent="0.25">
      <c r="A55" s="25"/>
      <c r="B55" s="11" t="str">
        <f>CONCATENATE("          ", "6351", " - ", "EQUIPMENT RENTAL")</f>
        <v xml:space="preserve">          6351 - EQUIPMENT RENTAL</v>
      </c>
      <c r="C55" s="11"/>
      <c r="D55" s="6">
        <v>2316.36</v>
      </c>
      <c r="E55" s="2"/>
      <c r="F55" s="7">
        <f t="shared" si="36"/>
        <v>2.5794450845655899E-2</v>
      </c>
      <c r="G55" s="2"/>
      <c r="H55" s="6"/>
      <c r="I55" s="2"/>
      <c r="J55" s="7">
        <f t="shared" si="37"/>
        <v>0</v>
      </c>
      <c r="K55" s="2"/>
      <c r="L55" s="6">
        <f t="shared" si="38"/>
        <v>2316.36</v>
      </c>
      <c r="M55" s="2"/>
      <c r="N55" s="7">
        <f t="shared" si="39"/>
        <v>0</v>
      </c>
      <c r="O55" s="11"/>
      <c r="P55" s="6">
        <v>5304.03</v>
      </c>
      <c r="Q55" s="2"/>
      <c r="R55" s="7">
        <f t="shared" si="40"/>
        <v>6.2667603729509476E-3</v>
      </c>
      <c r="S55" s="2"/>
      <c r="T55" s="6"/>
      <c r="U55" s="2"/>
      <c r="V55" s="7">
        <f t="shared" si="41"/>
        <v>0</v>
      </c>
      <c r="W55" s="2"/>
      <c r="X55" s="6">
        <f t="shared" si="42"/>
        <v>5304.03</v>
      </c>
      <c r="Y55" s="2"/>
      <c r="Z55" s="7">
        <f t="shared" si="43"/>
        <v>0</v>
      </c>
    </row>
    <row r="56" spans="1:26" s="26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1780.7</v>
      </c>
      <c r="E56" s="1"/>
      <c r="F56" s="5">
        <f t="shared" si="36"/>
        <v>1.9829464600001494E-2</v>
      </c>
      <c r="G56" s="1"/>
      <c r="H56" s="1">
        <f>SUM(OSRRefH22_10x_0)</f>
        <v>2619.48</v>
      </c>
      <c r="I56" s="1"/>
      <c r="J56" s="5">
        <f t="shared" si="37"/>
        <v>2.679570987128959E-2</v>
      </c>
      <c r="K56" s="1"/>
      <c r="L56" s="1">
        <f t="shared" si="38"/>
        <v>-838.78</v>
      </c>
      <c r="M56" s="1"/>
      <c r="N56" s="5">
        <f t="shared" si="39"/>
        <v>-0.32020859101806465</v>
      </c>
      <c r="O56" s="13"/>
      <c r="P56" s="1">
        <f>SUM(OSRRefP22_10x_0)</f>
        <v>10559.48</v>
      </c>
      <c r="Q56" s="1"/>
      <c r="R56" s="5">
        <f t="shared" si="40"/>
        <v>1.2476123027767202E-2</v>
      </c>
      <c r="S56" s="1"/>
      <c r="T56" s="1">
        <f>SUM(OSRRefT22_10x_0)</f>
        <v>8889.01</v>
      </c>
      <c r="U56" s="1"/>
      <c r="V56" s="5">
        <f t="shared" si="41"/>
        <v>1.0309841172488239E-2</v>
      </c>
      <c r="W56" s="1"/>
      <c r="X56" s="1">
        <f t="shared" si="42"/>
        <v>1670.4699999999993</v>
      </c>
      <c r="Y56" s="1"/>
      <c r="Z56" s="5">
        <f t="shared" si="43"/>
        <v>0.18792531451758962</v>
      </c>
    </row>
    <row r="57" spans="1:26" s="24" customFormat="1" hidden="1" outlineLevel="2" x14ac:dyDescent="0.25">
      <c r="A57" s="25"/>
      <c r="B57" s="11" t="str">
        <f>CONCATENATE("          ", "6269", " - ", "ENTERTAINMENT")</f>
        <v xml:space="preserve">          6269 - ENTERTAINMENT</v>
      </c>
      <c r="C57" s="11"/>
      <c r="D57" s="6"/>
      <c r="E57" s="2"/>
      <c r="F57" s="7">
        <f t="shared" si="36"/>
        <v>0</v>
      </c>
      <c r="G57" s="2"/>
      <c r="H57" s="6">
        <v>1250</v>
      </c>
      <c r="I57" s="2"/>
      <c r="J57" s="7">
        <f t="shared" si="37"/>
        <v>1.2786750553205975E-2</v>
      </c>
      <c r="K57" s="2"/>
      <c r="L57" s="6">
        <f t="shared" si="38"/>
        <v>-1250</v>
      </c>
      <c r="M57" s="2"/>
      <c r="N57" s="7">
        <f t="shared" si="39"/>
        <v>-1</v>
      </c>
      <c r="O57" s="11"/>
      <c r="P57" s="6">
        <v>7350</v>
      </c>
      <c r="Q57" s="2"/>
      <c r="R57" s="7">
        <f t="shared" si="40"/>
        <v>8.6840928013584891E-3</v>
      </c>
      <c r="S57" s="2"/>
      <c r="T57" s="6">
        <v>6110</v>
      </c>
      <c r="U57" s="2"/>
      <c r="V57" s="7">
        <f t="shared" si="41"/>
        <v>7.0866305205982598E-3</v>
      </c>
      <c r="W57" s="2"/>
      <c r="X57" s="6">
        <f t="shared" si="42"/>
        <v>1240</v>
      </c>
      <c r="Y57" s="2"/>
      <c r="Z57" s="7">
        <f t="shared" si="43"/>
        <v>0.20294599018003273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1780.7</v>
      </c>
      <c r="E58" s="2"/>
      <c r="F58" s="7">
        <f t="shared" si="36"/>
        <v>1.9829464600001494E-2</v>
      </c>
      <c r="G58" s="2"/>
      <c r="H58" s="6">
        <v>1369.48</v>
      </c>
      <c r="I58" s="2"/>
      <c r="J58" s="7">
        <f t="shared" si="37"/>
        <v>1.4008959318083616E-2</v>
      </c>
      <c r="K58" s="2"/>
      <c r="L58" s="6">
        <f t="shared" si="38"/>
        <v>411.22</v>
      </c>
      <c r="M58" s="2"/>
      <c r="N58" s="7">
        <f t="shared" si="39"/>
        <v>0.30027455676607179</v>
      </c>
      <c r="O58" s="11"/>
      <c r="P58" s="6">
        <v>3209.48</v>
      </c>
      <c r="Q58" s="2"/>
      <c r="R58" s="7">
        <f t="shared" si="40"/>
        <v>3.7920302264087134E-3</v>
      </c>
      <c r="S58" s="2"/>
      <c r="T58" s="6">
        <v>2779.01</v>
      </c>
      <c r="U58" s="2"/>
      <c r="V58" s="7">
        <f t="shared" si="41"/>
        <v>3.2232106518899789E-3</v>
      </c>
      <c r="W58" s="2"/>
      <c r="X58" s="6">
        <f t="shared" si="42"/>
        <v>430.4699999999998</v>
      </c>
      <c r="Y58" s="2"/>
      <c r="Z58" s="7">
        <f t="shared" si="43"/>
        <v>0.15490048614434629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3012.26</v>
      </c>
      <c r="E59" s="1"/>
      <c r="F59" s="5">
        <f t="shared" ref="F59:F62" si="44">IF(D$12=0,0,D59/D$12)</f>
        <v>3.3543832782613865E-2</v>
      </c>
      <c r="G59" s="1"/>
      <c r="H59" s="1">
        <f>SUM(OSRRefH22_11x_0)</f>
        <v>1279.92</v>
      </c>
      <c r="I59" s="1"/>
      <c r="J59" s="5">
        <f t="shared" ref="J59:J62" si="45">IF(H$12=0,0,H59/H$12)</f>
        <v>1.3092814214447515E-2</v>
      </c>
      <c r="K59" s="1"/>
      <c r="L59" s="1">
        <f t="shared" ref="L59:L62" si="46">+D59-H59</f>
        <v>1732.3400000000001</v>
      </c>
      <c r="M59" s="1"/>
      <c r="N59" s="5">
        <f t="shared" ref="N59:N62" si="47">IF(H59=0,0,L59/H59)</f>
        <v>1.3534752172010751</v>
      </c>
      <c r="O59" s="13"/>
      <c r="P59" s="1">
        <f>SUM(OSRRefP22_11x_0)</f>
        <v>16779.79</v>
      </c>
      <c r="Q59" s="1"/>
      <c r="R59" s="5">
        <f t="shared" ref="R59:R62" si="48">IF(P$12=0,0,P59/P$12)</f>
        <v>1.9825476673103016E-2</v>
      </c>
      <c r="S59" s="1"/>
      <c r="T59" s="1">
        <f>SUM(OSRRefT22_11x_0)</f>
        <v>15069.17</v>
      </c>
      <c r="U59" s="1"/>
      <c r="V59" s="5">
        <f t="shared" ref="V59:V62" si="49">IF(T$12=0,0,T59/T$12)</f>
        <v>1.7477846160733827E-2</v>
      </c>
      <c r="W59" s="1"/>
      <c r="X59" s="1">
        <f t="shared" ref="X59:X62" si="50">+P59-T59</f>
        <v>1710.6200000000008</v>
      </c>
      <c r="Y59" s="1"/>
      <c r="Z59" s="5">
        <f t="shared" ref="Z59:Z62" si="51">IF(T59=0,0,X59/T59)</f>
        <v>0.11351786462028106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2623.85</v>
      </c>
      <c r="Q60" s="2"/>
      <c r="R60" s="7">
        <f t="shared" si="48"/>
        <v>3.1001029791625128E-3</v>
      </c>
      <c r="S60" s="2"/>
      <c r="T60" s="6"/>
      <c r="U60" s="2"/>
      <c r="V60" s="7">
        <f t="shared" si="49"/>
        <v>0</v>
      </c>
      <c r="W60" s="2"/>
      <c r="X60" s="6">
        <f t="shared" si="50"/>
        <v>2623.85</v>
      </c>
      <c r="Y60" s="2"/>
      <c r="Z60" s="7">
        <f t="shared" si="51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44"/>
        <v>0</v>
      </c>
      <c r="G61" s="2"/>
      <c r="H61" s="6"/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>
        <v>1245.08</v>
      </c>
      <c r="Q61" s="2"/>
      <c r="R61" s="7">
        <f t="shared" si="48"/>
        <v>1.4710735054578811E-3</v>
      </c>
      <c r="S61" s="2"/>
      <c r="T61" s="6">
        <v>376.4</v>
      </c>
      <c r="U61" s="2"/>
      <c r="V61" s="7">
        <f t="shared" si="49"/>
        <v>4.365642762607504E-4</v>
      </c>
      <c r="W61" s="2"/>
      <c r="X61" s="6">
        <f t="shared" si="50"/>
        <v>868.68</v>
      </c>
      <c r="Y61" s="2"/>
      <c r="Z61" s="7">
        <f t="shared" si="51"/>
        <v>2.3078639744952181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3012.26</v>
      </c>
      <c r="E62" s="2"/>
      <c r="F62" s="7">
        <f t="shared" si="44"/>
        <v>3.3543832782613865E-2</v>
      </c>
      <c r="G62" s="2"/>
      <c r="H62" s="6">
        <v>1279.92</v>
      </c>
      <c r="I62" s="2"/>
      <c r="J62" s="7">
        <f t="shared" si="45"/>
        <v>1.3092814214447515E-2</v>
      </c>
      <c r="K62" s="2"/>
      <c r="L62" s="6">
        <f t="shared" si="46"/>
        <v>1732.3400000000001</v>
      </c>
      <c r="M62" s="2"/>
      <c r="N62" s="7">
        <f t="shared" si="47"/>
        <v>1.3534752172010751</v>
      </c>
      <c r="O62" s="11"/>
      <c r="P62" s="6">
        <v>12910.86</v>
      </c>
      <c r="Q62" s="2"/>
      <c r="R62" s="7">
        <f t="shared" si="48"/>
        <v>1.525430018848262E-2</v>
      </c>
      <c r="S62" s="2"/>
      <c r="T62" s="6">
        <v>14692.77</v>
      </c>
      <c r="U62" s="2"/>
      <c r="V62" s="7">
        <f t="shared" si="49"/>
        <v>1.7041281884473077E-2</v>
      </c>
      <c r="W62" s="2"/>
      <c r="X62" s="6">
        <f t="shared" si="50"/>
        <v>-1781.9099999999999</v>
      </c>
      <c r="Y62" s="2"/>
      <c r="Z62" s="7">
        <f t="shared" si="51"/>
        <v>-0.1212780163304809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813.5</v>
      </c>
      <c r="E63" s="1"/>
      <c r="F63" s="5">
        <f t="shared" ref="F63:F66" si="52">IF(D$12=0,0,D63/D$12)</f>
        <v>9.0589484203409988E-3</v>
      </c>
      <c r="G63" s="1"/>
      <c r="H63" s="1">
        <f>SUM(OSRRefH22_12x_0)</f>
        <v>843.5</v>
      </c>
      <c r="I63" s="1"/>
      <c r="J63" s="5">
        <f t="shared" ref="J63:J66" si="53">IF(H$12=0,0,H63/H$12)</f>
        <v>8.6284992733033916E-3</v>
      </c>
      <c r="K63" s="1"/>
      <c r="L63" s="1">
        <f t="shared" ref="L63:L66" si="54">+D63-H63</f>
        <v>-30</v>
      </c>
      <c r="M63" s="1"/>
      <c r="N63" s="5">
        <f t="shared" ref="N63:N66" si="55">IF(H63=0,0,L63/H63)</f>
        <v>-3.5566093657379963E-2</v>
      </c>
      <c r="O63" s="13"/>
      <c r="P63" s="1">
        <f>SUM(OSRRefP22_12x_0)</f>
        <v>2434.65</v>
      </c>
      <c r="Q63" s="1"/>
      <c r="R63" s="5">
        <f t="shared" ref="R63:R66" si="56">IF(P$12=0,0,P63/P$12)</f>
        <v>2.8765614338540743E-3</v>
      </c>
      <c r="S63" s="1"/>
      <c r="T63" s="1">
        <f>SUM(OSRRefT22_12x_0)</f>
        <v>2288.2200000000003</v>
      </c>
      <c r="U63" s="1"/>
      <c r="V63" s="5">
        <f t="shared" ref="V63:V66" si="57">IF(T$12=0,0,T63/T$12)</f>
        <v>2.6539721259972752E-3</v>
      </c>
      <c r="W63" s="1"/>
      <c r="X63" s="1">
        <f t="shared" ref="X63:X66" si="58">+P63-T63</f>
        <v>146.42999999999984</v>
      </c>
      <c r="Y63" s="1"/>
      <c r="Z63" s="5">
        <f t="shared" ref="Z63:Z66" si="59">IF(T63=0,0,X63/T63)</f>
        <v>6.3992972703673517E-2</v>
      </c>
    </row>
    <row r="64" spans="1:26" s="24" customFormat="1" hidden="1" outlineLevel="2" x14ac:dyDescent="0.25">
      <c r="A64" s="25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52"/>
        <v>0</v>
      </c>
      <c r="G64" s="2"/>
      <c r="H64" s="6">
        <v>30</v>
      </c>
      <c r="I64" s="2"/>
      <c r="J64" s="7">
        <f t="shared" si="53"/>
        <v>3.0688201327694342E-4</v>
      </c>
      <c r="K64" s="2"/>
      <c r="L64" s="6">
        <f t="shared" si="54"/>
        <v>-30</v>
      </c>
      <c r="M64" s="2"/>
      <c r="N64" s="7">
        <f t="shared" si="55"/>
        <v>-1</v>
      </c>
      <c r="O64" s="11"/>
      <c r="P64" s="6">
        <v>159</v>
      </c>
      <c r="Q64" s="2"/>
      <c r="R64" s="7">
        <f t="shared" si="56"/>
        <v>1.8785996672326526E-4</v>
      </c>
      <c r="S64" s="2"/>
      <c r="T64" s="6">
        <v>210</v>
      </c>
      <c r="U64" s="2"/>
      <c r="V64" s="7">
        <f t="shared" si="57"/>
        <v>2.4356667910403184E-4</v>
      </c>
      <c r="W64" s="2"/>
      <c r="X64" s="6">
        <f t="shared" si="58"/>
        <v>-51</v>
      </c>
      <c r="Y64" s="2"/>
      <c r="Z64" s="7">
        <f t="shared" si="59"/>
        <v>-0.24285714285714285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584</v>
      </c>
      <c r="E65" s="2"/>
      <c r="F65" s="7">
        <f t="shared" si="52"/>
        <v>6.5032893392490999E-3</v>
      </c>
      <c r="G65" s="2"/>
      <c r="H65" s="6">
        <v>584</v>
      </c>
      <c r="I65" s="2"/>
      <c r="J65" s="7">
        <f t="shared" si="53"/>
        <v>5.9739698584578317E-3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>
        <v>934</v>
      </c>
      <c r="Q65" s="2"/>
      <c r="R65" s="7">
        <f t="shared" si="56"/>
        <v>1.1035296158460992E-3</v>
      </c>
      <c r="S65" s="2"/>
      <c r="T65" s="6">
        <v>584</v>
      </c>
      <c r="U65" s="2"/>
      <c r="V65" s="7">
        <f t="shared" si="57"/>
        <v>6.7734733617502187E-4</v>
      </c>
      <c r="W65" s="2"/>
      <c r="X65" s="6">
        <f t="shared" si="58"/>
        <v>350</v>
      </c>
      <c r="Y65" s="2"/>
      <c r="Z65" s="7">
        <f t="shared" si="59"/>
        <v>0.59931506849315064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229.5</v>
      </c>
      <c r="E66" s="2"/>
      <c r="F66" s="7">
        <f t="shared" si="52"/>
        <v>2.555659081091898E-3</v>
      </c>
      <c r="G66" s="2"/>
      <c r="H66" s="6">
        <v>229.5</v>
      </c>
      <c r="I66" s="2"/>
      <c r="J66" s="7">
        <f t="shared" si="53"/>
        <v>2.3476474015686169E-3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>
        <v>1341.65</v>
      </c>
      <c r="Q66" s="2"/>
      <c r="R66" s="7">
        <f t="shared" si="56"/>
        <v>1.5851718512847098E-3</v>
      </c>
      <c r="S66" s="2"/>
      <c r="T66" s="6">
        <v>1494.22</v>
      </c>
      <c r="U66" s="2"/>
      <c r="V66" s="7">
        <f t="shared" si="57"/>
        <v>1.7330581107182213E-3</v>
      </c>
      <c r="W66" s="2"/>
      <c r="X66" s="6">
        <f t="shared" si="58"/>
        <v>-152.56999999999994</v>
      </c>
      <c r="Y66" s="2"/>
      <c r="Z66" s="7">
        <f t="shared" si="59"/>
        <v>-0.10210678481080425</v>
      </c>
    </row>
    <row r="67" spans="1:26" s="26" customFormat="1" outlineLevel="1" collapsed="1" x14ac:dyDescent="0.25">
      <c r="A67" s="27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196.71</v>
      </c>
      <c r="E67" s="1"/>
      <c r="F67" s="5">
        <f t="shared" ref="F67:F69" si="60">IF(D$12=0,0,D67/D$12)</f>
        <v>2.1905172019241275E-3</v>
      </c>
      <c r="G67" s="1"/>
      <c r="H67" s="1">
        <f>SUM(OSRRefH22_13x_0)</f>
        <v>193.71</v>
      </c>
      <c r="I67" s="1"/>
      <c r="J67" s="5">
        <f t="shared" ref="J67:J69" si="61">IF(H$12=0,0,H67/H$12)</f>
        <v>1.9815371597292236E-3</v>
      </c>
      <c r="K67" s="1"/>
      <c r="L67" s="1">
        <f t="shared" ref="L67:L69" si="62">+D67-H67</f>
        <v>3</v>
      </c>
      <c r="M67" s="1"/>
      <c r="N67" s="5">
        <f t="shared" ref="N67:N69" si="63">IF(H67=0,0,L67/H67)</f>
        <v>1.5487068297971194E-2</v>
      </c>
      <c r="O67" s="13"/>
      <c r="P67" s="1">
        <f>SUM(OSRRefP22_13x_0)</f>
        <v>2354.9700000000003</v>
      </c>
      <c r="Q67" s="1"/>
      <c r="R67" s="5">
        <f t="shared" ref="R67:R69" si="64">IF(P$12=0,0,P67/P$12)</f>
        <v>2.7824187788320002E-3</v>
      </c>
      <c r="S67" s="1"/>
      <c r="T67" s="1">
        <f>SUM(OSRRefT22_13x_0)</f>
        <v>936.51</v>
      </c>
      <c r="U67" s="1"/>
      <c r="V67" s="5">
        <f t="shared" ref="V67:V69" si="65">IF(T$12=0,0,T67/T$12)</f>
        <v>1.0862030030843661E-3</v>
      </c>
      <c r="W67" s="1"/>
      <c r="X67" s="1">
        <f t="shared" ref="X67:X69" si="66">+P67-T67</f>
        <v>1418.4600000000003</v>
      </c>
      <c r="Y67" s="1"/>
      <c r="Z67" s="5">
        <f t="shared" ref="Z67:Z69" si="67">IF(T67=0,0,X67/T67)</f>
        <v>1.5146234423551272</v>
      </c>
    </row>
    <row r="68" spans="1:26" s="24" customFormat="1" hidden="1" outlineLevel="2" x14ac:dyDescent="0.25">
      <c r="A68" s="25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60"/>
        <v>0</v>
      </c>
      <c r="G68" s="2"/>
      <c r="H68" s="6"/>
      <c r="I68" s="2"/>
      <c r="J68" s="7">
        <f t="shared" si="61"/>
        <v>0</v>
      </c>
      <c r="K68" s="2"/>
      <c r="L68" s="6">
        <f t="shared" si="62"/>
        <v>0</v>
      </c>
      <c r="M68" s="2"/>
      <c r="N68" s="7">
        <f t="shared" si="63"/>
        <v>0</v>
      </c>
      <c r="O68" s="11"/>
      <c r="P68" s="6">
        <v>978</v>
      </c>
      <c r="Q68" s="2"/>
      <c r="R68" s="7">
        <f t="shared" si="64"/>
        <v>1.1555160217317825E-3</v>
      </c>
      <c r="S68" s="2"/>
      <c r="T68" s="6"/>
      <c r="U68" s="2"/>
      <c r="V68" s="7">
        <f t="shared" si="65"/>
        <v>0</v>
      </c>
      <c r="W68" s="2"/>
      <c r="X68" s="6">
        <f t="shared" si="66"/>
        <v>978</v>
      </c>
      <c r="Y68" s="2"/>
      <c r="Z68" s="7">
        <f t="shared" si="67"/>
        <v>0</v>
      </c>
    </row>
    <row r="69" spans="1:26" s="24" customFormat="1" hidden="1" outlineLevel="2" x14ac:dyDescent="0.25">
      <c r="A69" s="25"/>
      <c r="B69" s="11" t="str">
        <f>CONCATENATE("          ", "6275", " - ", "SUBSCRIPTIONS")</f>
        <v xml:space="preserve">          6275 - SUBSCRIPTIONS</v>
      </c>
      <c r="C69" s="11"/>
      <c r="D69" s="6">
        <v>196.71</v>
      </c>
      <c r="E69" s="2"/>
      <c r="F69" s="7">
        <f t="shared" si="60"/>
        <v>2.1905172019241275E-3</v>
      </c>
      <c r="G69" s="2"/>
      <c r="H69" s="6">
        <v>193.71</v>
      </c>
      <c r="I69" s="2"/>
      <c r="J69" s="7">
        <f t="shared" si="61"/>
        <v>1.9815371597292236E-3</v>
      </c>
      <c r="K69" s="2"/>
      <c r="L69" s="6">
        <f t="shared" si="62"/>
        <v>3</v>
      </c>
      <c r="M69" s="2"/>
      <c r="N69" s="7">
        <f t="shared" si="63"/>
        <v>1.5487068297971194E-2</v>
      </c>
      <c r="O69" s="11"/>
      <c r="P69" s="6">
        <v>1376.97</v>
      </c>
      <c r="Q69" s="2"/>
      <c r="R69" s="7">
        <f t="shared" si="64"/>
        <v>1.6269027571002175E-3</v>
      </c>
      <c r="S69" s="2"/>
      <c r="T69" s="6">
        <v>936.51</v>
      </c>
      <c r="U69" s="2"/>
      <c r="V69" s="7">
        <f t="shared" si="65"/>
        <v>1.0862030030843661E-3</v>
      </c>
      <c r="W69" s="2"/>
      <c r="X69" s="6">
        <f t="shared" si="66"/>
        <v>440.46000000000004</v>
      </c>
      <c r="Y69" s="2"/>
      <c r="Z69" s="7">
        <f t="shared" si="67"/>
        <v>0.47032065861549799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1358.99</v>
      </c>
      <c r="E70" s="1"/>
      <c r="F70" s="5">
        <f t="shared" ref="F70:F77" si="68">IF(D$12=0,0,D70/D$12)</f>
        <v>1.5133399279359819E-2</v>
      </c>
      <c r="G70" s="1"/>
      <c r="H70" s="1">
        <f>SUM(OSRRefH22_14x_0)</f>
        <v>781.85</v>
      </c>
      <c r="I70" s="1"/>
      <c r="J70" s="5">
        <f t="shared" ref="J70:J77" si="69">IF(H$12=0,0,H70/H$12)</f>
        <v>7.9978567360192744E-3</v>
      </c>
      <c r="K70" s="1"/>
      <c r="L70" s="1">
        <f t="shared" ref="L70:L77" si="70">+D70-H70</f>
        <v>577.14</v>
      </c>
      <c r="M70" s="1"/>
      <c r="N70" s="5">
        <f t="shared" ref="N70:N77" si="71">IF(H70=0,0,L70/H70)</f>
        <v>0.73817228368612897</v>
      </c>
      <c r="O70" s="13"/>
      <c r="P70" s="1">
        <f>SUM(OSRRefP22_14x_0)</f>
        <v>7901.27</v>
      </c>
      <c r="Q70" s="1"/>
      <c r="R70" s="5">
        <f t="shared" ref="R70:R77" si="72">IF(P$12=0,0,P70/P$12)</f>
        <v>9.33542339164487E-3</v>
      </c>
      <c r="S70" s="1"/>
      <c r="T70" s="1">
        <f>SUM(OSRRefT22_14x_0)</f>
        <v>11390.739999999998</v>
      </c>
      <c r="U70" s="1"/>
      <c r="V70" s="5">
        <f t="shared" ref="V70:V77" si="73">IF(T$12=0,0,T70/T$12)</f>
        <v>1.3211451020654567E-2</v>
      </c>
      <c r="W70" s="1"/>
      <c r="X70" s="1">
        <f t="shared" ref="X70:X77" si="74">+P70-T70</f>
        <v>-3489.4699999999975</v>
      </c>
      <c r="Y70" s="1"/>
      <c r="Z70" s="5">
        <f t="shared" ref="Z70:Z77" si="75">IF(T70=0,0,X70/T70)</f>
        <v>-0.30634269590913304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>
        <v>17.62</v>
      </c>
      <c r="E71" s="2"/>
      <c r="F71" s="7">
        <f t="shared" si="68"/>
        <v>1.9621225711912525E-4</v>
      </c>
      <c r="G71" s="2"/>
      <c r="H71" s="6">
        <v>31.28</v>
      </c>
      <c r="I71" s="2"/>
      <c r="J71" s="7">
        <f t="shared" si="69"/>
        <v>3.1997564584342633E-4</v>
      </c>
      <c r="K71" s="2"/>
      <c r="L71" s="6">
        <f t="shared" si="70"/>
        <v>-13.66</v>
      </c>
      <c r="M71" s="2"/>
      <c r="N71" s="7">
        <f t="shared" si="71"/>
        <v>-0.4367007672634271</v>
      </c>
      <c r="O71" s="11"/>
      <c r="P71" s="6">
        <v>17.62</v>
      </c>
      <c r="Q71" s="2"/>
      <c r="R71" s="7">
        <f t="shared" si="72"/>
        <v>2.0818192538766881E-5</v>
      </c>
      <c r="S71" s="2"/>
      <c r="T71" s="6">
        <v>2578.09</v>
      </c>
      <c r="U71" s="2"/>
      <c r="V71" s="7">
        <f t="shared" si="73"/>
        <v>2.9901753320538738E-3</v>
      </c>
      <c r="W71" s="2"/>
      <c r="X71" s="6">
        <f t="shared" si="74"/>
        <v>-2560.4700000000003</v>
      </c>
      <c r="Y71" s="2"/>
      <c r="Z71" s="7">
        <f t="shared" si="75"/>
        <v>-0.99316548297382956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6">
        <v>77.55</v>
      </c>
      <c r="E72" s="2"/>
      <c r="F72" s="7">
        <f t="shared" si="68"/>
        <v>8.6357891825131455E-4</v>
      </c>
      <c r="G72" s="2"/>
      <c r="H72" s="6">
        <v>280.35000000000002</v>
      </c>
      <c r="I72" s="2"/>
      <c r="J72" s="7">
        <f t="shared" si="69"/>
        <v>2.8678124140730362E-3</v>
      </c>
      <c r="K72" s="2"/>
      <c r="L72" s="6">
        <f t="shared" si="70"/>
        <v>-202.8</v>
      </c>
      <c r="M72" s="2"/>
      <c r="N72" s="7">
        <f t="shared" si="71"/>
        <v>-0.72338148742643127</v>
      </c>
      <c r="O72" s="11"/>
      <c r="P72" s="6">
        <v>788.08</v>
      </c>
      <c r="Q72" s="2"/>
      <c r="R72" s="7">
        <f t="shared" si="72"/>
        <v>9.3112378978157798E-4</v>
      </c>
      <c r="S72" s="2"/>
      <c r="T72" s="6">
        <v>485.81</v>
      </c>
      <c r="U72" s="2"/>
      <c r="V72" s="7">
        <f t="shared" si="73"/>
        <v>5.6346251607395097E-4</v>
      </c>
      <c r="W72" s="2"/>
      <c r="X72" s="6">
        <f t="shared" si="74"/>
        <v>302.27000000000004</v>
      </c>
      <c r="Y72" s="2"/>
      <c r="Z72" s="7">
        <f t="shared" si="75"/>
        <v>0.62219797863362225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6">
        <v>34.51</v>
      </c>
      <c r="E73" s="2"/>
      <c r="F73" s="7">
        <f t="shared" si="68"/>
        <v>3.8429540256418912E-4</v>
      </c>
      <c r="G73" s="2"/>
      <c r="H73" s="6"/>
      <c r="I73" s="2"/>
      <c r="J73" s="7">
        <f t="shared" si="69"/>
        <v>0</v>
      </c>
      <c r="K73" s="2"/>
      <c r="L73" s="6">
        <f t="shared" si="70"/>
        <v>34.51</v>
      </c>
      <c r="M73" s="2"/>
      <c r="N73" s="7">
        <f t="shared" si="71"/>
        <v>0</v>
      </c>
      <c r="O73" s="11"/>
      <c r="P73" s="6">
        <v>1632.14</v>
      </c>
      <c r="Q73" s="2"/>
      <c r="R73" s="7">
        <f t="shared" si="72"/>
        <v>1.9283884659604415E-3</v>
      </c>
      <c r="S73" s="2"/>
      <c r="T73" s="6">
        <v>914.74</v>
      </c>
      <c r="U73" s="2"/>
      <c r="V73" s="7">
        <f t="shared" si="73"/>
        <v>1.0609532573505815E-3</v>
      </c>
      <c r="W73" s="2"/>
      <c r="X73" s="6">
        <f t="shared" si="74"/>
        <v>717.40000000000009</v>
      </c>
      <c r="Y73" s="2"/>
      <c r="Z73" s="7">
        <f t="shared" si="75"/>
        <v>0.78426656754924906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1109.31</v>
      </c>
      <c r="E74" s="2"/>
      <c r="F74" s="7">
        <f t="shared" si="68"/>
        <v>1.2353020371442498E-2</v>
      </c>
      <c r="G74" s="2"/>
      <c r="H74" s="6">
        <v>470.22</v>
      </c>
      <c r="I74" s="2"/>
      <c r="J74" s="7">
        <f t="shared" si="69"/>
        <v>4.8100686761028116E-3</v>
      </c>
      <c r="K74" s="2"/>
      <c r="L74" s="6">
        <f t="shared" si="70"/>
        <v>639.08999999999992</v>
      </c>
      <c r="M74" s="2"/>
      <c r="N74" s="7">
        <f t="shared" si="71"/>
        <v>1.359129769044277</v>
      </c>
      <c r="O74" s="11"/>
      <c r="P74" s="6">
        <v>3276.53</v>
      </c>
      <c r="Q74" s="2"/>
      <c r="R74" s="7">
        <f t="shared" si="72"/>
        <v>3.8712504199231472E-3</v>
      </c>
      <c r="S74" s="2"/>
      <c r="T74" s="6">
        <v>4756.18</v>
      </c>
      <c r="U74" s="2"/>
      <c r="V74" s="7">
        <f t="shared" si="73"/>
        <v>5.5164141324810199E-3</v>
      </c>
      <c r="W74" s="2"/>
      <c r="X74" s="6">
        <f t="shared" si="74"/>
        <v>-1479.65</v>
      </c>
      <c r="Y74" s="2"/>
      <c r="Z74" s="7">
        <f t="shared" si="75"/>
        <v>-0.31110050502714365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68"/>
        <v>0</v>
      </c>
      <c r="G75" s="2"/>
      <c r="H75" s="6"/>
      <c r="I75" s="2"/>
      <c r="J75" s="7">
        <f t="shared" si="69"/>
        <v>0</v>
      </c>
      <c r="K75" s="2"/>
      <c r="L75" s="6">
        <f t="shared" si="70"/>
        <v>0</v>
      </c>
      <c r="M75" s="2"/>
      <c r="N75" s="7">
        <f t="shared" si="71"/>
        <v>0</v>
      </c>
      <c r="O75" s="11"/>
      <c r="P75" s="6">
        <v>22.05</v>
      </c>
      <c r="Q75" s="2"/>
      <c r="R75" s="7">
        <f t="shared" si="72"/>
        <v>2.6052278404075466E-5</v>
      </c>
      <c r="S75" s="2"/>
      <c r="T75" s="6"/>
      <c r="U75" s="2"/>
      <c r="V75" s="7">
        <f t="shared" si="73"/>
        <v>0</v>
      </c>
      <c r="W75" s="2"/>
      <c r="X75" s="6">
        <f t="shared" si="74"/>
        <v>22.05</v>
      </c>
      <c r="Y75" s="2"/>
      <c r="Z75" s="7">
        <f t="shared" si="75"/>
        <v>0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>
        <v>120</v>
      </c>
      <c r="E76" s="2"/>
      <c r="F76" s="7">
        <f t="shared" si="68"/>
        <v>1.3362923299826918E-3</v>
      </c>
      <c r="G76" s="2"/>
      <c r="H76" s="6"/>
      <c r="I76" s="2"/>
      <c r="J76" s="7">
        <f t="shared" si="69"/>
        <v>0</v>
      </c>
      <c r="K76" s="2"/>
      <c r="L76" s="6">
        <f t="shared" si="70"/>
        <v>120</v>
      </c>
      <c r="M76" s="2"/>
      <c r="N76" s="7">
        <f t="shared" si="71"/>
        <v>0</v>
      </c>
      <c r="O76" s="11"/>
      <c r="P76" s="6">
        <v>1384.61</v>
      </c>
      <c r="Q76" s="2"/>
      <c r="R76" s="7">
        <f t="shared" si="72"/>
        <v>1.6359294875767315E-3</v>
      </c>
      <c r="S76" s="2"/>
      <c r="T76" s="6">
        <v>1201.3</v>
      </c>
      <c r="U76" s="2"/>
      <c r="V76" s="7">
        <f t="shared" si="73"/>
        <v>1.3933173886079688E-3</v>
      </c>
      <c r="W76" s="2"/>
      <c r="X76" s="6">
        <f t="shared" si="74"/>
        <v>183.30999999999995</v>
      </c>
      <c r="Y76" s="2"/>
      <c r="Z76" s="7">
        <f t="shared" si="75"/>
        <v>0.15259302422375756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68"/>
        <v>0</v>
      </c>
      <c r="G77" s="2"/>
      <c r="H77" s="6"/>
      <c r="I77" s="2"/>
      <c r="J77" s="7">
        <f t="shared" si="69"/>
        <v>0</v>
      </c>
      <c r="K77" s="2"/>
      <c r="L77" s="6">
        <f t="shared" si="70"/>
        <v>0</v>
      </c>
      <c r="M77" s="2"/>
      <c r="N77" s="7">
        <f t="shared" si="71"/>
        <v>0</v>
      </c>
      <c r="O77" s="11"/>
      <c r="P77" s="6">
        <v>780.24</v>
      </c>
      <c r="Q77" s="2"/>
      <c r="R77" s="7">
        <f t="shared" si="72"/>
        <v>9.2186075746012895E-4</v>
      </c>
      <c r="S77" s="2"/>
      <c r="T77" s="6">
        <v>1454.62</v>
      </c>
      <c r="U77" s="2"/>
      <c r="V77" s="7">
        <f t="shared" si="73"/>
        <v>1.6871283940871752E-3</v>
      </c>
      <c r="W77" s="2"/>
      <c r="X77" s="6">
        <f t="shared" si="74"/>
        <v>-674.37999999999988</v>
      </c>
      <c r="Y77" s="2"/>
      <c r="Z77" s="7">
        <f t="shared" si="75"/>
        <v>-0.46361248985989462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156.85</v>
      </c>
      <c r="E78" s="1"/>
      <c r="F78" s="5">
        <f t="shared" ref="F78:F81" si="76">IF(D$12=0,0,D78/D$12)</f>
        <v>1.7466454329815434E-3</v>
      </c>
      <c r="G78" s="1"/>
      <c r="H78" s="1">
        <f>SUM(OSRRefH22_15x_0)</f>
        <v>48.7</v>
      </c>
      <c r="I78" s="1"/>
      <c r="J78" s="5">
        <f t="shared" ref="J78:J81" si="77">IF(H$12=0,0,H78/H$12)</f>
        <v>4.9817180155290483E-4</v>
      </c>
      <c r="K78" s="1"/>
      <c r="L78" s="1">
        <f t="shared" ref="L78:L81" si="78">+D78-H78</f>
        <v>108.14999999999999</v>
      </c>
      <c r="M78" s="1"/>
      <c r="N78" s="5">
        <f t="shared" ref="N78:N81" si="79">IF(H78=0,0,L78/H78)</f>
        <v>2.2207392197125255</v>
      </c>
      <c r="O78" s="13"/>
      <c r="P78" s="1">
        <f>SUM(OSRRefP22_15x_0)</f>
        <v>1010.2</v>
      </c>
      <c r="Q78" s="1"/>
      <c r="R78" s="5">
        <f t="shared" ref="R78:R81" si="80">IF(P$12=0,0,P78/P$12)</f>
        <v>1.1935606187663055E-3</v>
      </c>
      <c r="S78" s="1"/>
      <c r="T78" s="1">
        <f>SUM(OSRRefT22_15x_0)</f>
        <v>1003.05</v>
      </c>
      <c r="U78" s="1"/>
      <c r="V78" s="5">
        <f t="shared" ref="V78:V81" si="81">IF(T$12=0,0,T78/T$12)</f>
        <v>1.1633788451204722E-3</v>
      </c>
      <c r="W78" s="1"/>
      <c r="X78" s="1">
        <f t="shared" ref="X78:X81" si="82">+P78-T78</f>
        <v>7.1500000000000909</v>
      </c>
      <c r="Y78" s="1"/>
      <c r="Z78" s="5">
        <f t="shared" ref="Z78:Z81" si="83">IF(T78=0,0,X78/T78)</f>
        <v>7.1282588106276771E-3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156.85</v>
      </c>
      <c r="E79" s="2"/>
      <c r="F79" s="7">
        <f t="shared" si="76"/>
        <v>1.7466454329815434E-3</v>
      </c>
      <c r="G79" s="2"/>
      <c r="H79" s="6">
        <v>48.7</v>
      </c>
      <c r="I79" s="2"/>
      <c r="J79" s="7">
        <f t="shared" si="77"/>
        <v>4.9817180155290483E-4</v>
      </c>
      <c r="K79" s="2"/>
      <c r="L79" s="6">
        <f t="shared" si="78"/>
        <v>108.14999999999999</v>
      </c>
      <c r="M79" s="2"/>
      <c r="N79" s="7">
        <f t="shared" si="79"/>
        <v>2.2207392197125255</v>
      </c>
      <c r="O79" s="11"/>
      <c r="P79" s="6">
        <v>1010.2</v>
      </c>
      <c r="Q79" s="2"/>
      <c r="R79" s="7">
        <f t="shared" si="80"/>
        <v>1.1935606187663055E-3</v>
      </c>
      <c r="S79" s="2"/>
      <c r="T79" s="6">
        <v>1003.05</v>
      </c>
      <c r="U79" s="2"/>
      <c r="V79" s="7">
        <f t="shared" si="81"/>
        <v>1.1633788451204722E-3</v>
      </c>
      <c r="W79" s="2"/>
      <c r="X79" s="6">
        <f t="shared" si="82"/>
        <v>7.1500000000000909</v>
      </c>
      <c r="Y79" s="2"/>
      <c r="Z79" s="7">
        <f t="shared" si="83"/>
        <v>7.1282588106276771E-3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76"/>
        <v>0</v>
      </c>
      <c r="G80" s="1"/>
      <c r="H80" s="1">
        <f>SUM(OSRRefH22_16x_0)</f>
        <v>0</v>
      </c>
      <c r="I80" s="1"/>
      <c r="J80" s="5">
        <f t="shared" si="77"/>
        <v>0</v>
      </c>
      <c r="K80" s="1"/>
      <c r="L80" s="1">
        <f t="shared" si="78"/>
        <v>0</v>
      </c>
      <c r="M80" s="1"/>
      <c r="N80" s="5">
        <f t="shared" si="79"/>
        <v>0</v>
      </c>
      <c r="O80" s="13"/>
      <c r="P80" s="1">
        <f>SUM(OSRRefP22_16x_0)</f>
        <v>279.95</v>
      </c>
      <c r="Q80" s="1"/>
      <c r="R80" s="5">
        <f t="shared" si="80"/>
        <v>3.3076350744766107E-4</v>
      </c>
      <c r="S80" s="1"/>
      <c r="T80" s="1">
        <f>SUM(OSRRefT22_16x_0)</f>
        <v>140</v>
      </c>
      <c r="U80" s="1"/>
      <c r="V80" s="5">
        <f t="shared" si="81"/>
        <v>1.6237778606935455E-4</v>
      </c>
      <c r="W80" s="1"/>
      <c r="X80" s="1">
        <f t="shared" si="82"/>
        <v>139.94999999999999</v>
      </c>
      <c r="Y80" s="1"/>
      <c r="Z80" s="5">
        <f t="shared" si="83"/>
        <v>0.99964285714285706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76"/>
        <v>0</v>
      </c>
      <c r="G81" s="2"/>
      <c r="H81" s="6"/>
      <c r="I81" s="2"/>
      <c r="J81" s="7">
        <f t="shared" si="77"/>
        <v>0</v>
      </c>
      <c r="K81" s="2"/>
      <c r="L81" s="6">
        <f t="shared" si="78"/>
        <v>0</v>
      </c>
      <c r="M81" s="2"/>
      <c r="N81" s="7">
        <f t="shared" si="79"/>
        <v>0</v>
      </c>
      <c r="O81" s="11"/>
      <c r="P81" s="6">
        <v>279.95</v>
      </c>
      <c r="Q81" s="2"/>
      <c r="R81" s="7">
        <f t="shared" si="80"/>
        <v>3.3076350744766107E-4</v>
      </c>
      <c r="S81" s="2"/>
      <c r="T81" s="6">
        <v>140</v>
      </c>
      <c r="U81" s="2"/>
      <c r="V81" s="7">
        <f t="shared" si="81"/>
        <v>1.6237778606935455E-4</v>
      </c>
      <c r="W81" s="2"/>
      <c r="X81" s="6">
        <f t="shared" si="82"/>
        <v>139.94999999999999</v>
      </c>
      <c r="Y81" s="2"/>
      <c r="Z81" s="7">
        <f t="shared" si="83"/>
        <v>0.99964285714285706</v>
      </c>
    </row>
    <row r="82" spans="1:26" s="59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0</v>
      </c>
      <c r="E83" s="4"/>
      <c r="F83" s="12">
        <f t="shared" ref="F83:F84" si="84">IF(D$12=0,0,D83/D$12)</f>
        <v>0</v>
      </c>
      <c r="G83" s="4"/>
      <c r="H83" s="4">
        <f>SUM(OSRRefH25x_0)</f>
        <v>0</v>
      </c>
      <c r="I83" s="4"/>
      <c r="J83" s="12">
        <f t="shared" ref="J83:J84" si="85">IF(H$12=0,0,H83/H$12)</f>
        <v>0</v>
      </c>
      <c r="K83" s="4"/>
      <c r="L83" s="4">
        <f t="shared" ref="L83:L84" si="86">+D83-H83</f>
        <v>0</v>
      </c>
      <c r="M83" s="4"/>
      <c r="N83" s="12">
        <f t="shared" ref="N83:N84" si="87">IF(H83=0,0,L83/H83)</f>
        <v>0</v>
      </c>
      <c r="O83" s="10"/>
      <c r="P83" s="4">
        <f>SUM(OSRRefP25x_0)</f>
        <v>0</v>
      </c>
      <c r="Q83" s="4"/>
      <c r="R83" s="12">
        <f t="shared" ref="R83:R84" si="88">IF(P$12=0,0,P83/P$12)</f>
        <v>0</v>
      </c>
      <c r="S83" s="4"/>
      <c r="T83" s="4">
        <f>SUM(OSRRefT25x_0)</f>
        <v>258</v>
      </c>
      <c r="U83" s="4"/>
      <c r="V83" s="12">
        <f t="shared" ref="V83:V84" si="89">IF(T$12=0,0,T83/T$12)</f>
        <v>2.9923906289923912E-4</v>
      </c>
      <c r="W83" s="4"/>
      <c r="X83" s="4">
        <f t="shared" ref="X83:X84" si="90">+P83-T83</f>
        <v>-258</v>
      </c>
      <c r="Y83" s="4"/>
      <c r="Z83" s="12">
        <f t="shared" ref="Z83:Z84" si="91">IF(T83=0,0,X83/T83)</f>
        <v>-1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0</f>
        <v>0</v>
      </c>
      <c r="E84" s="2"/>
      <c r="F84" s="19">
        <f t="shared" si="84"/>
        <v>0</v>
      </c>
      <c r="G84" s="2"/>
      <c r="H84" s="2">
        <f>0</f>
        <v>0</v>
      </c>
      <c r="I84" s="2"/>
      <c r="J84" s="19">
        <f t="shared" si="85"/>
        <v>0</v>
      </c>
      <c r="K84" s="2"/>
      <c r="L84" s="2">
        <f t="shared" si="86"/>
        <v>0</v>
      </c>
      <c r="M84" s="2"/>
      <c r="N84" s="19">
        <f t="shared" si="87"/>
        <v>0</v>
      </c>
      <c r="O84" s="11"/>
      <c r="P84" s="2">
        <f>0</f>
        <v>0</v>
      </c>
      <c r="Q84" s="2"/>
      <c r="R84" s="19">
        <f t="shared" si="88"/>
        <v>0</v>
      </c>
      <c r="S84" s="2"/>
      <c r="T84" s="2">
        <f>--258</f>
        <v>258</v>
      </c>
      <c r="U84" s="2"/>
      <c r="V84" s="19">
        <f t="shared" si="89"/>
        <v>2.9923906289923912E-4</v>
      </c>
      <c r="W84" s="2"/>
      <c r="X84" s="2">
        <f t="shared" si="90"/>
        <v>-258</v>
      </c>
      <c r="Y84" s="2"/>
      <c r="Z84" s="19">
        <f t="shared" si="91"/>
        <v>-1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1">
        <f>+D20-D22+D83</f>
        <v>-12087.54</v>
      </c>
      <c r="E86" s="14"/>
      <c r="F86" s="22">
        <f>IF(D$12=0,0,D86/D$12)</f>
        <v>-0.13460405825299157</v>
      </c>
      <c r="G86" s="14"/>
      <c r="H86" s="21">
        <f>+H20-H22+H83</f>
        <v>8124.2500000000073</v>
      </c>
      <c r="I86" s="14"/>
      <c r="J86" s="22">
        <f>IF(H$12=0,0,H86/H$12)</f>
        <v>8.3106206545506989E-2</v>
      </c>
      <c r="K86" s="16"/>
      <c r="L86" s="21">
        <f>+D86-H86</f>
        <v>-20211.790000000008</v>
      </c>
      <c r="M86" s="16"/>
      <c r="N86" s="22">
        <f>IF(H86=0,0,L86/H86)</f>
        <v>-2.4878345693448614</v>
      </c>
      <c r="O86" s="29"/>
      <c r="P86" s="21">
        <f>+P20-P22+P83</f>
        <v>131472.84000000008</v>
      </c>
      <c r="Q86" s="14"/>
      <c r="R86" s="22">
        <f>IF(P$12=0,0,P86/P$12)</f>
        <v>0.15533637325417105</v>
      </c>
      <c r="S86" s="14"/>
      <c r="T86" s="21">
        <f>+T20-T22+T83</f>
        <v>176400.89999999997</v>
      </c>
      <c r="U86" s="14"/>
      <c r="V86" s="22">
        <f>IF(T$12=0,0,T86/T$12)</f>
        <v>0.20459705430458286</v>
      </c>
      <c r="W86" s="16"/>
      <c r="X86" s="21">
        <f>+P86-T86</f>
        <v>-44928.059999999881</v>
      </c>
      <c r="Y86" s="16"/>
      <c r="Z86" s="22">
        <f>IF(T86=0,0,X86/T86)</f>
        <v>-0.25469291823340973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6549.08</v>
      </c>
      <c r="E88" s="4"/>
      <c r="F88" s="12">
        <f>IF(D$12=0,0,D88/D$12)</f>
        <v>7.292904477035872E-2</v>
      </c>
      <c r="G88" s="4"/>
      <c r="H88" s="4">
        <v>5234.42</v>
      </c>
      <c r="I88" s="4"/>
      <c r="J88" s="12">
        <f>IF(H$12=0,0,H88/H$12)</f>
        <v>5.3544978264569942E-2</v>
      </c>
      <c r="K88" s="4"/>
      <c r="L88" s="4">
        <f>+D88-H88</f>
        <v>1314.6599999999999</v>
      </c>
      <c r="M88" s="4"/>
      <c r="N88" s="12">
        <f>IF(H88=0,0,L88/H88)</f>
        <v>0.25115676617466687</v>
      </c>
      <c r="O88" s="10"/>
      <c r="P88" s="4">
        <v>88264.94</v>
      </c>
      <c r="Q88" s="4"/>
      <c r="R88" s="12">
        <f>IF(P$12=0,0,P88/P$12)</f>
        <v>0.10428584082535224</v>
      </c>
      <c r="S88" s="4"/>
      <c r="T88" s="4">
        <v>87727.93</v>
      </c>
      <c r="U88" s="4"/>
      <c r="V88" s="12">
        <f>IF(T$12=0,0,T88/T$12)</f>
        <v>0.10175047892748079</v>
      </c>
      <c r="W88" s="4"/>
      <c r="X88" s="4">
        <f>+P88-T88</f>
        <v>537.01000000000931</v>
      </c>
      <c r="Y88" s="4"/>
      <c r="Z88" s="12">
        <f>IF(T88=0,0,X88/T88)</f>
        <v>6.1213116506910557E-3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4">
        <f>+D86-D88</f>
        <v>-18636.620000000003</v>
      </c>
      <c r="E90" s="14"/>
      <c r="F90" s="31">
        <f>IF(D$12=0,0,D90/D$12)</f>
        <v>-0.20753310302335032</v>
      </c>
      <c r="G90" s="14"/>
      <c r="H90" s="34">
        <f>+H86-H88</f>
        <v>2889.8300000000072</v>
      </c>
      <c r="I90" s="14"/>
      <c r="J90" s="31">
        <f>IF(H$12=0,0,H90/H$12)</f>
        <v>2.9561228280937053E-2</v>
      </c>
      <c r="K90" s="16"/>
      <c r="L90" s="34">
        <f>D90-H90</f>
        <v>-21526.450000000012</v>
      </c>
      <c r="M90" s="16"/>
      <c r="N90" s="31">
        <f>IF(H90=0,0,L90/H90)</f>
        <v>-7.4490367945519145</v>
      </c>
      <c r="O90" s="29"/>
      <c r="P90" s="34">
        <f>+P86-P88</f>
        <v>43207.900000000081</v>
      </c>
      <c r="Q90" s="14"/>
      <c r="R90" s="31">
        <f>IF(P$12=0,0,P90/P$12)</f>
        <v>5.1050532428818796E-2</v>
      </c>
      <c r="S90" s="14"/>
      <c r="T90" s="34">
        <f>+T86-T88</f>
        <v>88672.969999999972</v>
      </c>
      <c r="U90" s="14"/>
      <c r="V90" s="31">
        <f>IF(T$12=0,0,T90/T$12)</f>
        <v>0.10284657537710208</v>
      </c>
      <c r="W90" s="16"/>
      <c r="X90" s="34">
        <f>P90-T90</f>
        <v>-45465.069999999891</v>
      </c>
      <c r="Y90" s="16"/>
      <c r="Z90" s="31">
        <f>IF(T90=0,0,X90/T90)</f>
        <v>-0.51272749745497304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0">
        <f>SUM(D90:D92)</f>
        <v>-18636.620000000003</v>
      </c>
      <c r="E93" s="14"/>
      <c r="F93" s="33">
        <f>IF(D$12=0,0,D93/D$12)</f>
        <v>-0.20753310302335032</v>
      </c>
      <c r="G93" s="14"/>
      <c r="H93" s="30">
        <f>SUM(H90:H92)</f>
        <v>2889.8300000000072</v>
      </c>
      <c r="I93" s="14"/>
      <c r="J93" s="33">
        <f>IF(H$12=0,0,H93/H$12)</f>
        <v>2.9561228280937053E-2</v>
      </c>
      <c r="K93" s="16"/>
      <c r="L93" s="30">
        <f>+D93-H93</f>
        <v>-21526.450000000012</v>
      </c>
      <c r="M93" s="16"/>
      <c r="N93" s="33">
        <f>IF(H93=0,0,L93/H93)</f>
        <v>-7.4490367945519145</v>
      </c>
      <c r="O93" s="29"/>
      <c r="P93" s="30">
        <f>SUM(P90:P92)</f>
        <v>43207.900000000081</v>
      </c>
      <c r="Q93" s="14"/>
      <c r="R93" s="33">
        <f>IF(P$12=0,0,P93/P$12)</f>
        <v>5.1050532428818796E-2</v>
      </c>
      <c r="S93" s="14"/>
      <c r="T93" s="30">
        <f>SUM(T90:T92)</f>
        <v>88672.969999999972</v>
      </c>
      <c r="U93" s="14"/>
      <c r="V93" s="33">
        <f>IF(T$12=0,0,T93/T$12)</f>
        <v>0.10284657537710208</v>
      </c>
      <c r="W93" s="16"/>
      <c r="X93" s="30">
        <f>+P93-T93</f>
        <v>-45465.069999999891</v>
      </c>
      <c r="Y93" s="16"/>
      <c r="Z93" s="33">
        <f>IF(T93=0,0,X93/T93)</f>
        <v>-0.51272749745497304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1">
        <v>43879.554260613426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8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","423", " - ", "Contract Revenue")</f>
        <v>Department 423 - Contract Revenue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D12-D14</f>
        <v>0</v>
      </c>
      <c r="E17" s="14"/>
      <c r="F17" s="22">
        <f>IF(D$12=0,0,D17/D$12)</f>
        <v>0</v>
      </c>
      <c r="G17" s="14"/>
      <c r="H17" s="21">
        <f>H12-H14</f>
        <v>0</v>
      </c>
      <c r="I17" s="14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9"/>
      <c r="P17" s="21">
        <f>P12-P14</f>
        <v>805.48</v>
      </c>
      <c r="Q17" s="14"/>
      <c r="R17" s="22">
        <f>IF(P$12=0,0,P17/P$12)</f>
        <v>0</v>
      </c>
      <c r="S17" s="14"/>
      <c r="T17" s="21">
        <f>T12-T14</f>
        <v>0</v>
      </c>
      <c r="U17" s="14"/>
      <c r="V17" s="22">
        <f>IF(T$12=0,0,T17/T$12)</f>
        <v>0</v>
      </c>
      <c r="W17" s="16"/>
      <c r="X17" s="21">
        <f>+P17-T17</f>
        <v>805.48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8884.119999999999</v>
      </c>
      <c r="E19" s="20"/>
      <c r="F19" s="32">
        <f t="shared" ref="F19:F28" si="8">IF(D$12=0,0,D19/D$12)</f>
        <v>0</v>
      </c>
      <c r="G19" s="20"/>
      <c r="H19" s="20">
        <f>SUM(OSRRefH22x_0)</f>
        <v>14929.51</v>
      </c>
      <c r="I19" s="20"/>
      <c r="J19" s="32">
        <f t="shared" ref="J19:J28" si="9">IF(H$12=0,0,H19/H$12)</f>
        <v>0</v>
      </c>
      <c r="K19" s="4"/>
      <c r="L19" s="20">
        <f t="shared" ref="L19:L28" si="10">+D19-H19</f>
        <v>-6045.3900000000012</v>
      </c>
      <c r="M19" s="4"/>
      <c r="N19" s="32">
        <f t="shared" ref="N19:N28" si="11">IF(H19=0,0,L19/H19)</f>
        <v>-0.40492889585793512</v>
      </c>
      <c r="O19" s="10"/>
      <c r="P19" s="20">
        <f>SUM(OSRRefP22x_0)</f>
        <v>77859.519999999975</v>
      </c>
      <c r="Q19" s="20"/>
      <c r="R19" s="32">
        <f t="shared" ref="R19:R28" si="12">IF(P$12=0,0,P19/P$12)</f>
        <v>0</v>
      </c>
      <c r="S19" s="20"/>
      <c r="T19" s="20">
        <f>SUM(OSRRefT22x_0)</f>
        <v>69092.37</v>
      </c>
      <c r="U19" s="20"/>
      <c r="V19" s="32">
        <f t="shared" ref="V19:V28" si="13">IF(T$12=0,0,T19/T$12)</f>
        <v>0</v>
      </c>
      <c r="W19" s="4"/>
      <c r="X19" s="20">
        <f t="shared" ref="X19:X28" si="14">+P19-T19</f>
        <v>8767.1499999999796</v>
      </c>
      <c r="Y19" s="4"/>
      <c r="Z19" s="32">
        <f t="shared" ref="Z19:Z28" si="15">IF(T19=0,0,X19/T19)</f>
        <v>0.1268902774647907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3069.4399999999996</v>
      </c>
      <c r="E20" s="1"/>
      <c r="F20" s="5">
        <f t="shared" si="8"/>
        <v>0</v>
      </c>
      <c r="G20" s="1"/>
      <c r="H20" s="1">
        <f>SUM(OSRRefH22_0x_0)</f>
        <v>2908.75</v>
      </c>
      <c r="I20" s="1"/>
      <c r="J20" s="5">
        <f t="shared" si="9"/>
        <v>0</v>
      </c>
      <c r="K20" s="1"/>
      <c r="L20" s="1">
        <f t="shared" si="10"/>
        <v>160.6899999999996</v>
      </c>
      <c r="M20" s="1"/>
      <c r="N20" s="5">
        <f t="shared" si="11"/>
        <v>5.5243661366566256E-2</v>
      </c>
      <c r="O20" s="13"/>
      <c r="P20" s="1">
        <f>SUM(OSRRefP22_0x_0)</f>
        <v>30526.05</v>
      </c>
      <c r="Q20" s="1"/>
      <c r="R20" s="5">
        <f t="shared" si="12"/>
        <v>0</v>
      </c>
      <c r="S20" s="1"/>
      <c r="T20" s="1">
        <f>SUM(OSRRefT22_0x_0)</f>
        <v>23461.039999999997</v>
      </c>
      <c r="U20" s="1"/>
      <c r="V20" s="5">
        <f t="shared" si="13"/>
        <v>0</v>
      </c>
      <c r="W20" s="1"/>
      <c r="X20" s="1">
        <f t="shared" si="14"/>
        <v>7065.010000000002</v>
      </c>
      <c r="Y20" s="1"/>
      <c r="Z20" s="5">
        <f t="shared" si="15"/>
        <v>0.30113797171821893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384.92</v>
      </c>
      <c r="E21" s="2"/>
      <c r="F21" s="7">
        <f t="shared" si="8"/>
        <v>0</v>
      </c>
      <c r="G21" s="2"/>
      <c r="H21" s="6">
        <v>339.74</v>
      </c>
      <c r="I21" s="2"/>
      <c r="J21" s="7">
        <f t="shared" si="9"/>
        <v>0</v>
      </c>
      <c r="K21" s="2"/>
      <c r="L21" s="6">
        <f t="shared" si="10"/>
        <v>45.180000000000007</v>
      </c>
      <c r="M21" s="2"/>
      <c r="N21" s="7">
        <f t="shared" si="11"/>
        <v>0.13298404662388888</v>
      </c>
      <c r="O21" s="11"/>
      <c r="P21" s="6">
        <v>4174.2299999999996</v>
      </c>
      <c r="Q21" s="2"/>
      <c r="R21" s="7">
        <f t="shared" si="12"/>
        <v>0</v>
      </c>
      <c r="S21" s="2"/>
      <c r="T21" s="6">
        <v>3817.2</v>
      </c>
      <c r="U21" s="2"/>
      <c r="V21" s="7">
        <f t="shared" si="13"/>
        <v>0</v>
      </c>
      <c r="W21" s="2"/>
      <c r="X21" s="6">
        <f t="shared" si="14"/>
        <v>357.02999999999975</v>
      </c>
      <c r="Y21" s="2"/>
      <c r="Z21" s="7">
        <f t="shared" si="15"/>
        <v>9.3531908204966929E-2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17.11</v>
      </c>
      <c r="E22" s="2"/>
      <c r="F22" s="7">
        <f t="shared" si="8"/>
        <v>0</v>
      </c>
      <c r="G22" s="2"/>
      <c r="H22" s="6">
        <v>155.43</v>
      </c>
      <c r="I22" s="2"/>
      <c r="J22" s="7">
        <f t="shared" si="9"/>
        <v>0</v>
      </c>
      <c r="K22" s="2"/>
      <c r="L22" s="6">
        <f t="shared" si="10"/>
        <v>-138.32</v>
      </c>
      <c r="M22" s="2"/>
      <c r="N22" s="7">
        <f t="shared" si="11"/>
        <v>-0.88991829119217647</v>
      </c>
      <c r="O22" s="11"/>
      <c r="P22" s="6">
        <v>142.21</v>
      </c>
      <c r="Q22" s="2"/>
      <c r="R22" s="7">
        <f t="shared" si="12"/>
        <v>0</v>
      </c>
      <c r="S22" s="2"/>
      <c r="T22" s="6">
        <v>1544.27</v>
      </c>
      <c r="U22" s="2"/>
      <c r="V22" s="7">
        <f t="shared" si="13"/>
        <v>0</v>
      </c>
      <c r="W22" s="2"/>
      <c r="X22" s="6">
        <f t="shared" si="14"/>
        <v>-1402.06</v>
      </c>
      <c r="Y22" s="2"/>
      <c r="Z22" s="7">
        <f t="shared" si="15"/>
        <v>-0.90791118133487014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1016.65</v>
      </c>
      <c r="E23" s="2"/>
      <c r="F23" s="7">
        <f t="shared" si="8"/>
        <v>0</v>
      </c>
      <c r="G23" s="2"/>
      <c r="H23" s="6">
        <v>1011.43</v>
      </c>
      <c r="I23" s="2"/>
      <c r="J23" s="7">
        <f t="shared" si="9"/>
        <v>0</v>
      </c>
      <c r="K23" s="2"/>
      <c r="L23" s="6">
        <f t="shared" si="10"/>
        <v>5.2200000000000273</v>
      </c>
      <c r="M23" s="2"/>
      <c r="N23" s="7">
        <f t="shared" si="11"/>
        <v>5.1610096595909039E-3</v>
      </c>
      <c r="O23" s="11"/>
      <c r="P23" s="6">
        <v>7085.23</v>
      </c>
      <c r="Q23" s="2"/>
      <c r="R23" s="7">
        <f t="shared" si="12"/>
        <v>0</v>
      </c>
      <c r="S23" s="2"/>
      <c r="T23" s="6">
        <v>6548.74</v>
      </c>
      <c r="U23" s="2"/>
      <c r="V23" s="7">
        <f t="shared" si="13"/>
        <v>0</v>
      </c>
      <c r="W23" s="2"/>
      <c r="X23" s="6">
        <f t="shared" si="14"/>
        <v>536.48999999999978</v>
      </c>
      <c r="Y23" s="2"/>
      <c r="Z23" s="7">
        <f t="shared" si="15"/>
        <v>8.1922629391302723E-2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13.08</v>
      </c>
      <c r="E24" s="2"/>
      <c r="F24" s="7">
        <f t="shared" si="8"/>
        <v>0</v>
      </c>
      <c r="G24" s="2"/>
      <c r="H24" s="6">
        <v>11.55</v>
      </c>
      <c r="I24" s="2"/>
      <c r="J24" s="7">
        <f t="shared" si="9"/>
        <v>0</v>
      </c>
      <c r="K24" s="2"/>
      <c r="L24" s="6">
        <f t="shared" si="10"/>
        <v>1.5299999999999994</v>
      </c>
      <c r="M24" s="2"/>
      <c r="N24" s="7">
        <f t="shared" si="11"/>
        <v>0.1324675324675324</v>
      </c>
      <c r="O24" s="11"/>
      <c r="P24" s="6">
        <v>121.23</v>
      </c>
      <c r="Q24" s="2"/>
      <c r="R24" s="7">
        <f t="shared" si="12"/>
        <v>0</v>
      </c>
      <c r="S24" s="2"/>
      <c r="T24" s="6">
        <v>114.73</v>
      </c>
      <c r="U24" s="2"/>
      <c r="V24" s="7">
        <f t="shared" si="13"/>
        <v>0</v>
      </c>
      <c r="W24" s="2"/>
      <c r="X24" s="6">
        <f t="shared" si="14"/>
        <v>6.5</v>
      </c>
      <c r="Y24" s="2"/>
      <c r="Z24" s="7">
        <f t="shared" si="15"/>
        <v>5.6654754641331823E-2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771.4</v>
      </c>
      <c r="E25" s="2"/>
      <c r="F25" s="7">
        <f t="shared" si="8"/>
        <v>0</v>
      </c>
      <c r="G25" s="2"/>
      <c r="H25" s="6">
        <v>626.76</v>
      </c>
      <c r="I25" s="2"/>
      <c r="J25" s="7">
        <f t="shared" si="9"/>
        <v>0</v>
      </c>
      <c r="K25" s="2"/>
      <c r="L25" s="6">
        <f t="shared" si="10"/>
        <v>144.63999999999999</v>
      </c>
      <c r="M25" s="2"/>
      <c r="N25" s="7">
        <f t="shared" si="11"/>
        <v>0.23077414002169888</v>
      </c>
      <c r="O25" s="11"/>
      <c r="P25" s="6">
        <v>4766.34</v>
      </c>
      <c r="Q25" s="2"/>
      <c r="R25" s="7">
        <f t="shared" si="12"/>
        <v>0</v>
      </c>
      <c r="S25" s="2"/>
      <c r="T25" s="6">
        <v>4151.43</v>
      </c>
      <c r="U25" s="2"/>
      <c r="V25" s="7">
        <f t="shared" si="13"/>
        <v>0</v>
      </c>
      <c r="W25" s="2"/>
      <c r="X25" s="6">
        <f t="shared" si="14"/>
        <v>614.90999999999985</v>
      </c>
      <c r="Y25" s="2"/>
      <c r="Z25" s="7">
        <f t="shared" si="15"/>
        <v>0.14812004538195267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8"/>
        <v>0</v>
      </c>
      <c r="G26" s="2"/>
      <c r="H26" s="6">
        <v>410.22</v>
      </c>
      <c r="I26" s="2"/>
      <c r="J26" s="7">
        <f t="shared" si="9"/>
        <v>0</v>
      </c>
      <c r="K26" s="2"/>
      <c r="L26" s="6">
        <f t="shared" si="10"/>
        <v>54.559999999999945</v>
      </c>
      <c r="M26" s="2"/>
      <c r="N26" s="7">
        <f t="shared" si="11"/>
        <v>0.13300180391009689</v>
      </c>
      <c r="O26" s="11"/>
      <c r="P26" s="6">
        <v>4848.59</v>
      </c>
      <c r="Q26" s="2"/>
      <c r="R26" s="7">
        <f t="shared" si="12"/>
        <v>0</v>
      </c>
      <c r="S26" s="2"/>
      <c r="T26" s="6">
        <v>3432.36</v>
      </c>
      <c r="U26" s="2"/>
      <c r="V26" s="7">
        <f t="shared" si="13"/>
        <v>0</v>
      </c>
      <c r="W26" s="2"/>
      <c r="X26" s="6">
        <f t="shared" si="14"/>
        <v>1416.23</v>
      </c>
      <c r="Y26" s="2"/>
      <c r="Z26" s="7">
        <f t="shared" si="15"/>
        <v>0.412611148014777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8"/>
        <v>0</v>
      </c>
      <c r="G27" s="2"/>
      <c r="H27" s="6">
        <v>204.83</v>
      </c>
      <c r="I27" s="2"/>
      <c r="J27" s="7">
        <f t="shared" si="9"/>
        <v>0</v>
      </c>
      <c r="K27" s="2"/>
      <c r="L27" s="6">
        <f t="shared" si="10"/>
        <v>27.25</v>
      </c>
      <c r="M27" s="2"/>
      <c r="N27" s="7">
        <f t="shared" si="11"/>
        <v>0.13303715276082603</v>
      </c>
      <c r="O27" s="11"/>
      <c r="P27" s="6">
        <v>8352.0400000000009</v>
      </c>
      <c r="Q27" s="2"/>
      <c r="R27" s="7">
        <f t="shared" si="12"/>
        <v>0</v>
      </c>
      <c r="S27" s="2"/>
      <c r="T27" s="6">
        <v>2906.58</v>
      </c>
      <c r="U27" s="2"/>
      <c r="V27" s="7">
        <f t="shared" si="13"/>
        <v>0</v>
      </c>
      <c r="W27" s="2"/>
      <c r="X27" s="6">
        <f t="shared" si="14"/>
        <v>5445.4600000000009</v>
      </c>
      <c r="Y27" s="2"/>
      <c r="Z27" s="7">
        <f t="shared" si="15"/>
        <v>1.8734939344521744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169.42</v>
      </c>
      <c r="E28" s="2"/>
      <c r="F28" s="7">
        <f t="shared" si="8"/>
        <v>0</v>
      </c>
      <c r="G28" s="2"/>
      <c r="H28" s="6">
        <v>148.79</v>
      </c>
      <c r="I28" s="2"/>
      <c r="J28" s="7">
        <f t="shared" si="9"/>
        <v>0</v>
      </c>
      <c r="K28" s="2"/>
      <c r="L28" s="6">
        <f t="shared" si="10"/>
        <v>20.629999999999995</v>
      </c>
      <c r="M28" s="2"/>
      <c r="N28" s="7">
        <f t="shared" si="11"/>
        <v>0.13865179111499426</v>
      </c>
      <c r="O28" s="11"/>
      <c r="P28" s="6">
        <v>1036.18</v>
      </c>
      <c r="Q28" s="2"/>
      <c r="R28" s="7">
        <f t="shared" si="12"/>
        <v>0</v>
      </c>
      <c r="S28" s="2"/>
      <c r="T28" s="6">
        <v>945.73</v>
      </c>
      <c r="U28" s="2"/>
      <c r="V28" s="7">
        <f t="shared" si="13"/>
        <v>0</v>
      </c>
      <c r="W28" s="2"/>
      <c r="X28" s="6">
        <f t="shared" si="14"/>
        <v>90.450000000000045</v>
      </c>
      <c r="Y28" s="2"/>
      <c r="Z28" s="7">
        <f t="shared" si="15"/>
        <v>9.5640404766688211E-2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5534.77</v>
      </c>
      <c r="E29" s="1"/>
      <c r="F29" s="5">
        <f t="shared" ref="F29:F38" si="16">IF(D$12=0,0,D29/D$12)</f>
        <v>0</v>
      </c>
      <c r="G29" s="1"/>
      <c r="H29" s="1">
        <f>SUM(OSRRefH22_1x_0)</f>
        <v>5106.7700000000004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428</v>
      </c>
      <c r="M29" s="1"/>
      <c r="N29" s="5">
        <f t="shared" ref="N29:N38" si="19">IF(H29=0,0,L29/H29)</f>
        <v>8.3810314543243572E-2</v>
      </c>
      <c r="O29" s="13"/>
      <c r="P29" s="1">
        <f>SUM(OSRRefP22_1x_0)</f>
        <v>33413.879999999997</v>
      </c>
      <c r="Q29" s="1"/>
      <c r="R29" s="5">
        <f t="shared" ref="R29:R38" si="20">IF(P$12=0,0,P29/P$12)</f>
        <v>0</v>
      </c>
      <c r="S29" s="1"/>
      <c r="T29" s="1">
        <f>SUM(OSRRefT22_1x_0)</f>
        <v>29753.550000000003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3660.3299999999945</v>
      </c>
      <c r="Y29" s="1"/>
      <c r="Z29" s="5">
        <f t="shared" ref="Z29:Z38" si="23">IF(T29=0,0,X29/T29)</f>
        <v>0.12302162262990447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5534.77</v>
      </c>
      <c r="E30" s="2"/>
      <c r="F30" s="7">
        <f t="shared" si="16"/>
        <v>0</v>
      </c>
      <c r="G30" s="2"/>
      <c r="H30" s="6">
        <v>5106.7700000000004</v>
      </c>
      <c r="I30" s="2"/>
      <c r="J30" s="7">
        <f t="shared" si="17"/>
        <v>0</v>
      </c>
      <c r="K30" s="2"/>
      <c r="L30" s="6">
        <f t="shared" si="18"/>
        <v>428</v>
      </c>
      <c r="M30" s="2"/>
      <c r="N30" s="7">
        <f t="shared" si="19"/>
        <v>8.3810314543243572E-2</v>
      </c>
      <c r="O30" s="11"/>
      <c r="P30" s="6">
        <v>33413.879999999997</v>
      </c>
      <c r="Q30" s="2"/>
      <c r="R30" s="7">
        <f t="shared" si="20"/>
        <v>0</v>
      </c>
      <c r="S30" s="2"/>
      <c r="T30" s="6">
        <v>29753.550000000003</v>
      </c>
      <c r="U30" s="2"/>
      <c r="V30" s="7">
        <f t="shared" si="21"/>
        <v>0</v>
      </c>
      <c r="W30" s="2"/>
      <c r="X30" s="6">
        <f t="shared" si="22"/>
        <v>3660.3299999999945</v>
      </c>
      <c r="Y30" s="2"/>
      <c r="Z30" s="7">
        <f t="shared" si="23"/>
        <v>0.12302162262990447</v>
      </c>
    </row>
    <row r="31" spans="1:26" s="26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5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2443.65</v>
      </c>
      <c r="Q32" s="2"/>
      <c r="R32" s="7">
        <f t="shared" si="20"/>
        <v>0</v>
      </c>
      <c r="S32" s="2"/>
      <c r="T32" s="6">
        <v>2357.6</v>
      </c>
      <c r="U32" s="2"/>
      <c r="V32" s="7">
        <f t="shared" si="21"/>
        <v>0</v>
      </c>
      <c r="W32" s="2"/>
      <c r="X32" s="6">
        <f t="shared" si="22"/>
        <v>86.050000000000182</v>
      </c>
      <c r="Y32" s="2"/>
      <c r="Z32" s="7">
        <f t="shared" si="23"/>
        <v>3.6498982015609173E-2</v>
      </c>
    </row>
    <row r="33" spans="1:26" s="26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5325.4</v>
      </c>
      <c r="I33" s="1"/>
      <c r="J33" s="5">
        <f t="shared" si="17"/>
        <v>0</v>
      </c>
      <c r="K33" s="1"/>
      <c r="L33" s="1">
        <f t="shared" si="18"/>
        <v>-5325.4</v>
      </c>
      <c r="M33" s="1"/>
      <c r="N33" s="5">
        <f t="shared" si="19"/>
        <v>-1</v>
      </c>
      <c r="O33" s="13"/>
      <c r="P33" s="1">
        <f>SUM(OSRRefP22_3x_0)</f>
        <v>10393.31</v>
      </c>
      <c r="Q33" s="1"/>
      <c r="R33" s="5">
        <f t="shared" si="20"/>
        <v>0</v>
      </c>
      <c r="S33" s="1"/>
      <c r="T33" s="1">
        <f>SUM(OSRRefT22_3x_0)</f>
        <v>10943.95</v>
      </c>
      <c r="U33" s="1"/>
      <c r="V33" s="5">
        <f t="shared" si="21"/>
        <v>0</v>
      </c>
      <c r="W33" s="1"/>
      <c r="X33" s="1">
        <f t="shared" si="22"/>
        <v>-550.64000000000124</v>
      </c>
      <c r="Y33" s="1"/>
      <c r="Z33" s="5">
        <f t="shared" si="23"/>
        <v>-5.0314557358175173E-2</v>
      </c>
    </row>
    <row r="34" spans="1:26" s="24" customFormat="1" hidden="1" outlineLevel="2" x14ac:dyDescent="0.25">
      <c r="A34" s="25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>
        <v>5325.4</v>
      </c>
      <c r="I34" s="2"/>
      <c r="J34" s="7">
        <f t="shared" si="17"/>
        <v>0</v>
      </c>
      <c r="K34" s="2"/>
      <c r="L34" s="6">
        <f t="shared" si="18"/>
        <v>-5325.4</v>
      </c>
      <c r="M34" s="2"/>
      <c r="N34" s="7">
        <f t="shared" si="19"/>
        <v>-1</v>
      </c>
      <c r="O34" s="11"/>
      <c r="P34" s="6">
        <v>10393.31</v>
      </c>
      <c r="Q34" s="2"/>
      <c r="R34" s="7">
        <f t="shared" si="20"/>
        <v>0</v>
      </c>
      <c r="S34" s="2"/>
      <c r="T34" s="6">
        <v>10943.95</v>
      </c>
      <c r="U34" s="2"/>
      <c r="V34" s="7">
        <f t="shared" si="21"/>
        <v>0</v>
      </c>
      <c r="W34" s="2"/>
      <c r="X34" s="6">
        <f t="shared" si="22"/>
        <v>-550.64000000000124</v>
      </c>
      <c r="Y34" s="2"/>
      <c r="Z34" s="7">
        <f t="shared" si="23"/>
        <v>-5.0314557358175173E-2</v>
      </c>
    </row>
    <row r="35" spans="1:26" s="26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11.01</v>
      </c>
      <c r="E35" s="1"/>
      <c r="F35" s="5">
        <f t="shared" si="16"/>
        <v>0</v>
      </c>
      <c r="G35" s="1"/>
      <c r="H35" s="1">
        <f>SUM(OSRRefH22_4x_0)</f>
        <v>1491.69</v>
      </c>
      <c r="I35" s="1"/>
      <c r="J35" s="5">
        <f t="shared" si="17"/>
        <v>0</v>
      </c>
      <c r="K35" s="1"/>
      <c r="L35" s="1">
        <f t="shared" si="18"/>
        <v>-1480.68</v>
      </c>
      <c r="M35" s="1"/>
      <c r="N35" s="5">
        <f t="shared" si="19"/>
        <v>-0.99261910986867241</v>
      </c>
      <c r="O35" s="13"/>
      <c r="P35" s="1">
        <f>SUM(OSRRefP22_4x_0)</f>
        <v>76.930000000000007</v>
      </c>
      <c r="Q35" s="1"/>
      <c r="R35" s="5">
        <f t="shared" si="20"/>
        <v>0</v>
      </c>
      <c r="S35" s="1"/>
      <c r="T35" s="1">
        <f>SUM(OSRRefT22_4x_0)</f>
        <v>2017.58</v>
      </c>
      <c r="U35" s="1"/>
      <c r="V35" s="5">
        <f t="shared" si="21"/>
        <v>0</v>
      </c>
      <c r="W35" s="1"/>
      <c r="X35" s="1">
        <f t="shared" si="22"/>
        <v>-1940.6499999999999</v>
      </c>
      <c r="Y35" s="1"/>
      <c r="Z35" s="5">
        <f t="shared" si="23"/>
        <v>-0.96187016128232827</v>
      </c>
    </row>
    <row r="36" spans="1:26" s="24" customFormat="1" hidden="1" outlineLevel="2" x14ac:dyDescent="0.25">
      <c r="A36" s="25"/>
      <c r="B36" s="11" t="str">
        <f>CONCATENATE("          ", "6241", " - ", "OFFICE EXPENSE")</f>
        <v xml:space="preserve">          6241 - OFFICE EXPENSE</v>
      </c>
      <c r="C36" s="11"/>
      <c r="D36" s="6">
        <v>11.01</v>
      </c>
      <c r="E36" s="2"/>
      <c r="F36" s="7">
        <f t="shared" si="16"/>
        <v>0</v>
      </c>
      <c r="G36" s="2"/>
      <c r="H36" s="6">
        <v>1491.69</v>
      </c>
      <c r="I36" s="2"/>
      <c r="J36" s="7">
        <f t="shared" si="17"/>
        <v>0</v>
      </c>
      <c r="K36" s="2"/>
      <c r="L36" s="6">
        <f t="shared" si="18"/>
        <v>-1480.68</v>
      </c>
      <c r="M36" s="2"/>
      <c r="N36" s="7">
        <f t="shared" si="19"/>
        <v>-0.99261910986867241</v>
      </c>
      <c r="O36" s="11"/>
      <c r="P36" s="6">
        <v>76.930000000000007</v>
      </c>
      <c r="Q36" s="2"/>
      <c r="R36" s="7">
        <f t="shared" si="20"/>
        <v>0</v>
      </c>
      <c r="S36" s="2"/>
      <c r="T36" s="6">
        <v>2017.58</v>
      </c>
      <c r="U36" s="2"/>
      <c r="V36" s="7">
        <f t="shared" si="21"/>
        <v>0</v>
      </c>
      <c r="W36" s="2"/>
      <c r="X36" s="6">
        <f t="shared" si="22"/>
        <v>-1940.6499999999999</v>
      </c>
      <c r="Y36" s="2"/>
      <c r="Z36" s="7">
        <f t="shared" si="23"/>
        <v>-0.96187016128232827</v>
      </c>
    </row>
    <row r="37" spans="1:26" s="26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268.89999999999998</v>
      </c>
      <c r="E37" s="1"/>
      <c r="F37" s="5">
        <f t="shared" si="16"/>
        <v>0</v>
      </c>
      <c r="G37" s="1"/>
      <c r="H37" s="1">
        <f>SUM(OSRRefH22_5x_0)</f>
        <v>96.9</v>
      </c>
      <c r="I37" s="1"/>
      <c r="J37" s="5">
        <f t="shared" si="17"/>
        <v>0</v>
      </c>
      <c r="K37" s="1"/>
      <c r="L37" s="1">
        <f t="shared" si="18"/>
        <v>171.99999999999997</v>
      </c>
      <c r="M37" s="1"/>
      <c r="N37" s="5">
        <f t="shared" si="19"/>
        <v>1.7750257997936012</v>
      </c>
      <c r="O37" s="13"/>
      <c r="P37" s="1">
        <f>SUM(OSRRefP22_5x_0)</f>
        <v>1005.7</v>
      </c>
      <c r="Q37" s="1"/>
      <c r="R37" s="5">
        <f t="shared" si="20"/>
        <v>0</v>
      </c>
      <c r="S37" s="1"/>
      <c r="T37" s="1">
        <f>SUM(OSRRefT22_5x_0)</f>
        <v>558.65</v>
      </c>
      <c r="U37" s="1"/>
      <c r="V37" s="5">
        <f t="shared" si="21"/>
        <v>0</v>
      </c>
      <c r="W37" s="1"/>
      <c r="X37" s="1">
        <f t="shared" si="22"/>
        <v>447.05000000000007</v>
      </c>
      <c r="Y37" s="1"/>
      <c r="Z37" s="5">
        <f t="shared" si="23"/>
        <v>0.80023270383961354</v>
      </c>
    </row>
    <row r="38" spans="1:26" s="24" customFormat="1" hidden="1" outlineLevel="2" x14ac:dyDescent="0.25">
      <c r="A38" s="25"/>
      <c r="B38" s="11" t="str">
        <f>CONCATENATE("          ", "6309", " - ", "TELEPHONE")</f>
        <v xml:space="preserve">          6309 - TELEPHONE</v>
      </c>
      <c r="C38" s="11"/>
      <c r="D38" s="6">
        <v>268.89999999999998</v>
      </c>
      <c r="E38" s="2"/>
      <c r="F38" s="7">
        <f t="shared" si="16"/>
        <v>0</v>
      </c>
      <c r="G38" s="2"/>
      <c r="H38" s="6">
        <v>96.9</v>
      </c>
      <c r="I38" s="2"/>
      <c r="J38" s="7">
        <f t="shared" si="17"/>
        <v>0</v>
      </c>
      <c r="K38" s="2"/>
      <c r="L38" s="6">
        <f t="shared" si="18"/>
        <v>171.99999999999997</v>
      </c>
      <c r="M38" s="2"/>
      <c r="N38" s="7">
        <f t="shared" si="19"/>
        <v>1.7750257997936012</v>
      </c>
      <c r="O38" s="11"/>
      <c r="P38" s="6">
        <v>1005.7</v>
      </c>
      <c r="Q38" s="2"/>
      <c r="R38" s="7">
        <f t="shared" si="20"/>
        <v>0</v>
      </c>
      <c r="S38" s="2"/>
      <c r="T38" s="6">
        <v>558.65</v>
      </c>
      <c r="U38" s="2"/>
      <c r="V38" s="7">
        <f t="shared" si="21"/>
        <v>0</v>
      </c>
      <c r="W38" s="2"/>
      <c r="X38" s="6">
        <f t="shared" si="22"/>
        <v>447.05000000000007</v>
      </c>
      <c r="Y38" s="2"/>
      <c r="Z38" s="7">
        <f t="shared" si="23"/>
        <v>0.80023270383961354</v>
      </c>
    </row>
    <row r="39" spans="1:26" s="59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35768.22</v>
      </c>
      <c r="E40" s="4"/>
      <c r="F40" s="12">
        <f t="shared" ref="F40:F41" si="24">IF(D$12=0,0,D40/D$12)</f>
        <v>0</v>
      </c>
      <c r="G40" s="4"/>
      <c r="H40" s="4">
        <f>SUM(OSRRefH25x_0)</f>
        <v>12631.77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23136.45</v>
      </c>
      <c r="M40" s="4"/>
      <c r="N40" s="12">
        <f t="shared" ref="N40:N41" si="27">IF(H40=0,0,L40/H40)</f>
        <v>1.8316079219301808</v>
      </c>
      <c r="O40" s="10"/>
      <c r="P40" s="4">
        <f>SUM(OSRRefP25x_0)</f>
        <v>114395.62</v>
      </c>
      <c r="Q40" s="4"/>
      <c r="R40" s="12">
        <f t="shared" ref="R40:R41" si="28">IF(P$12=0,0,P40/P$12)</f>
        <v>0</v>
      </c>
      <c r="S40" s="4"/>
      <c r="T40" s="4">
        <f>SUM(OSRRefT25x_0)</f>
        <v>113054.29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1341.3300000000017</v>
      </c>
      <c r="Y40" s="4"/>
      <c r="Z40" s="12">
        <f t="shared" ref="Z40:Z41" si="31">IF(T40=0,0,X40/T40)</f>
        <v>1.1864476792521556E-2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--35768.22</f>
        <v>35768.22</v>
      </c>
      <c r="E41" s="2"/>
      <c r="F41" s="19">
        <f t="shared" si="24"/>
        <v>0</v>
      </c>
      <c r="G41" s="2"/>
      <c r="H41" s="2">
        <f>--12631.77</f>
        <v>12631.77</v>
      </c>
      <c r="I41" s="2"/>
      <c r="J41" s="19">
        <f t="shared" si="25"/>
        <v>0</v>
      </c>
      <c r="K41" s="2"/>
      <c r="L41" s="2">
        <f t="shared" si="26"/>
        <v>23136.45</v>
      </c>
      <c r="M41" s="2"/>
      <c r="N41" s="19">
        <f t="shared" si="27"/>
        <v>1.8316079219301808</v>
      </c>
      <c r="O41" s="11"/>
      <c r="P41" s="2">
        <f>--114395.62</f>
        <v>114395.62</v>
      </c>
      <c r="Q41" s="2"/>
      <c r="R41" s="19">
        <f t="shared" si="28"/>
        <v>0</v>
      </c>
      <c r="S41" s="2"/>
      <c r="T41" s="2">
        <f>--113054.29</f>
        <v>113054.29</v>
      </c>
      <c r="U41" s="2"/>
      <c r="V41" s="19">
        <f t="shared" si="29"/>
        <v>0</v>
      </c>
      <c r="W41" s="2"/>
      <c r="X41" s="2">
        <f t="shared" si="30"/>
        <v>1341.3300000000017</v>
      </c>
      <c r="Y41" s="2"/>
      <c r="Z41" s="19">
        <f t="shared" si="31"/>
        <v>1.1864476792521556E-2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1">
        <f>+D17-D19+D40</f>
        <v>26884.100000000002</v>
      </c>
      <c r="E43" s="14"/>
      <c r="F43" s="22">
        <f>IF(D$12=0,0,D43/D$12)</f>
        <v>0</v>
      </c>
      <c r="G43" s="14"/>
      <c r="H43" s="21">
        <f>+H17-H19+H40</f>
        <v>-2297.7399999999998</v>
      </c>
      <c r="I43" s="14"/>
      <c r="J43" s="22">
        <f>IF(H$12=0,0,H43/H$12)</f>
        <v>0</v>
      </c>
      <c r="K43" s="16"/>
      <c r="L43" s="21">
        <f>+D43-H43</f>
        <v>29181.840000000004</v>
      </c>
      <c r="M43" s="16"/>
      <c r="N43" s="22">
        <f>IF(H43=0,0,L43/H43)</f>
        <v>-12.700235883955541</v>
      </c>
      <c r="O43" s="29"/>
      <c r="P43" s="21">
        <f>+P17-P19+P40</f>
        <v>37341.580000000016</v>
      </c>
      <c r="Q43" s="14"/>
      <c r="R43" s="22">
        <f>IF(P$12=0,0,P43/P$12)</f>
        <v>0</v>
      </c>
      <c r="S43" s="14"/>
      <c r="T43" s="21">
        <f>+T17-T19+T40</f>
        <v>43961.919999999998</v>
      </c>
      <c r="U43" s="14"/>
      <c r="V43" s="22">
        <f>IF(T$12=0,0,T43/T$12)</f>
        <v>0</v>
      </c>
      <c r="W43" s="16"/>
      <c r="X43" s="21">
        <f>+P43-T43</f>
        <v>-6620.339999999982</v>
      </c>
      <c r="Y43" s="16"/>
      <c r="Z43" s="22">
        <f>IF(T43=0,0,X43/T43)</f>
        <v>-0.1505926037807262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4">
        <f>+D43-D45</f>
        <v>26884.100000000002</v>
      </c>
      <c r="E47" s="14"/>
      <c r="F47" s="31">
        <f>IF(D$12=0,0,D47/D$12)</f>
        <v>0</v>
      </c>
      <c r="G47" s="14"/>
      <c r="H47" s="34">
        <f>+H43-H45</f>
        <v>-2297.7399999999998</v>
      </c>
      <c r="I47" s="14"/>
      <c r="J47" s="31">
        <f>IF(H$12=0,0,H47/H$12)</f>
        <v>0</v>
      </c>
      <c r="K47" s="16"/>
      <c r="L47" s="34">
        <f>D47-H47</f>
        <v>29181.840000000004</v>
      </c>
      <c r="M47" s="16"/>
      <c r="N47" s="31">
        <f>IF(H47=0,0,L47/H47)</f>
        <v>-12.700235883955541</v>
      </c>
      <c r="O47" s="29"/>
      <c r="P47" s="34">
        <f>+P43-P45</f>
        <v>37341.580000000016</v>
      </c>
      <c r="Q47" s="14"/>
      <c r="R47" s="31">
        <f>IF(P$12=0,0,P47/P$12)</f>
        <v>0</v>
      </c>
      <c r="S47" s="14"/>
      <c r="T47" s="34">
        <f>+T43-T45</f>
        <v>43961.919999999998</v>
      </c>
      <c r="U47" s="14"/>
      <c r="V47" s="31">
        <f>IF(T$12=0,0,T47/T$12)</f>
        <v>0</v>
      </c>
      <c r="W47" s="16"/>
      <c r="X47" s="34">
        <f>P47-T47</f>
        <v>-6620.339999999982</v>
      </c>
      <c r="Y47" s="16"/>
      <c r="Z47" s="31">
        <f>IF(T47=0,0,X47/T47)</f>
        <v>-0.1505926037807262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0">
        <f>SUM(D47:D49)</f>
        <v>26884.100000000002</v>
      </c>
      <c r="E50" s="14"/>
      <c r="F50" s="33">
        <f>IF(D$12=0,0,D50/D$12)</f>
        <v>0</v>
      </c>
      <c r="G50" s="14"/>
      <c r="H50" s="30">
        <f>SUM(H47:H49)</f>
        <v>-2297.7399999999998</v>
      </c>
      <c r="I50" s="14"/>
      <c r="J50" s="33">
        <f>IF(H$12=0,0,H50/H$12)</f>
        <v>0</v>
      </c>
      <c r="K50" s="16"/>
      <c r="L50" s="30">
        <f>+D50-H50</f>
        <v>29181.840000000004</v>
      </c>
      <c r="M50" s="16"/>
      <c r="N50" s="33">
        <f>IF(H50=0,0,L50/H50)</f>
        <v>-12.700235883955541</v>
      </c>
      <c r="O50" s="29"/>
      <c r="P50" s="30">
        <f>SUM(P47:P49)</f>
        <v>37341.580000000016</v>
      </c>
      <c r="Q50" s="14"/>
      <c r="R50" s="33">
        <f>IF(P$12=0,0,P50/P$12)</f>
        <v>0</v>
      </c>
      <c r="S50" s="14"/>
      <c r="T50" s="30">
        <f>SUM(T47:T49)</f>
        <v>43961.919999999998</v>
      </c>
      <c r="U50" s="14"/>
      <c r="V50" s="33">
        <f>IF(T$12=0,0,T50/T$12)</f>
        <v>0</v>
      </c>
      <c r="W50" s="16"/>
      <c r="X50" s="30">
        <f>+P50-T50</f>
        <v>-6620.339999999982</v>
      </c>
      <c r="Y50" s="16"/>
      <c r="Z50" s="33">
        <f>IF(T50=0,0,X50/T50)</f>
        <v>-0.1505926037807262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2"/>
      <c r="K51" s="17"/>
      <c r="L51" s="17"/>
      <c r="M51" s="17"/>
      <c r="P51" s="17"/>
      <c r="Q51" s="17"/>
      <c r="R51" s="42"/>
      <c r="S51" s="17"/>
      <c r="T51" s="17"/>
      <c r="U51" s="17"/>
      <c r="V51" s="42"/>
      <c r="W51" s="17"/>
      <c r="X51" s="17"/>
    </row>
    <row r="52" spans="1:26" x14ac:dyDescent="0.25">
      <c r="A52" s="9"/>
      <c r="B52" s="61">
        <v>43879.554291238426</v>
      </c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25">
      <c r="A53" s="9"/>
      <c r="B53" s="55" t="s">
        <v>313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25">
      <c r="A54" s="9"/>
      <c r="B54" s="58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","424", " - ", "Blair Field")</f>
        <v>Department 424 - Blair Field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--19851.87</f>
        <v>19851.87</v>
      </c>
      <c r="Q13" s="2"/>
      <c r="R13" s="19"/>
      <c r="S13" s="2"/>
      <c r="T13" s="2">
        <f>--17802.24</f>
        <v>17802.240000000002</v>
      </c>
      <c r="U13" s="2"/>
      <c r="V13" s="19"/>
      <c r="W13" s="2"/>
      <c r="X13" s="2">
        <f t="shared" si="2"/>
        <v>2049.6299999999974</v>
      </c>
      <c r="Y13" s="2"/>
      <c r="Z13" s="19">
        <f t="shared" si="3"/>
        <v>0.11513326412855894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0.15999999999985448</v>
      </c>
      <c r="E16" s="4"/>
      <c r="F16" s="12">
        <f t="shared" ref="F16:F18" si="6">IF(D$12=0,0,D16/D$12)</f>
        <v>0</v>
      </c>
      <c r="G16" s="4"/>
      <c r="H16" s="4">
        <f>SUM(OSRRefH16x_0)</f>
        <v>-0.4500000000007276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0.61000000000058208</v>
      </c>
      <c r="M16" s="4"/>
      <c r="N16" s="12">
        <f t="shared" ref="N16:N18" si="9">IF(H16=0,0,L16/H16)</f>
        <v>-1.3555555555546572</v>
      </c>
      <c r="O16" s="10"/>
      <c r="P16" s="4">
        <f>SUM(OSRRefP16x_0)</f>
        <v>9644.9500000000007</v>
      </c>
      <c r="Q16" s="4"/>
      <c r="R16" s="12">
        <f t="shared" ref="R16:R18" si="10">IF(P$12=0,0,P16/P$12)</f>
        <v>0.48584591779011255</v>
      </c>
      <c r="S16" s="4"/>
      <c r="T16" s="4">
        <f>SUM(OSRRefT16x_0)</f>
        <v>7325.48</v>
      </c>
      <c r="U16" s="4"/>
      <c r="V16" s="12">
        <f t="shared" ref="V16:V18" si="11">IF(T$12=0,0,T16/T$12)</f>
        <v>0.2499454079933616</v>
      </c>
      <c r="W16" s="4"/>
      <c r="X16" s="4">
        <f t="shared" ref="X16:X18" si="12">+P16-T16</f>
        <v>2319.4700000000012</v>
      </c>
      <c r="Y16" s="4"/>
      <c r="Z16" s="12">
        <f t="shared" ref="Z16:Z18" si="13">IF(T16=0,0,X16/T16)</f>
        <v>0.31663044605950752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10840.16</v>
      </c>
      <c r="E17" s="2"/>
      <c r="F17" s="19">
        <f t="shared" si="6"/>
        <v>0</v>
      </c>
      <c r="G17" s="2"/>
      <c r="H17" s="2">
        <v>13057.55</v>
      </c>
      <c r="I17" s="2"/>
      <c r="J17" s="19">
        <f t="shared" si="7"/>
        <v>0</v>
      </c>
      <c r="K17" s="2"/>
      <c r="L17" s="2">
        <f t="shared" si="8"/>
        <v>-2217.3899999999994</v>
      </c>
      <c r="M17" s="2"/>
      <c r="N17" s="19">
        <f t="shared" si="9"/>
        <v>-0.169816696087704</v>
      </c>
      <c r="O17" s="11"/>
      <c r="P17" s="2">
        <v>17207.95</v>
      </c>
      <c r="Q17" s="2"/>
      <c r="R17" s="19">
        <f t="shared" si="10"/>
        <v>0.86681758443914858</v>
      </c>
      <c r="S17" s="2"/>
      <c r="T17" s="2">
        <v>16517.48</v>
      </c>
      <c r="U17" s="2"/>
      <c r="V17" s="19">
        <f t="shared" si="11"/>
        <v>0.56357648613090072</v>
      </c>
      <c r="W17" s="2"/>
      <c r="X17" s="2">
        <f t="shared" si="12"/>
        <v>690.47000000000116</v>
      </c>
      <c r="Y17" s="2"/>
      <c r="Z17" s="19">
        <f t="shared" si="13"/>
        <v>4.1802381477077689E-2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-10840</v>
      </c>
      <c r="E18" s="2"/>
      <c r="F18" s="19">
        <f t="shared" si="6"/>
        <v>0</v>
      </c>
      <c r="G18" s="2"/>
      <c r="H18" s="2">
        <v>-13058</v>
      </c>
      <c r="I18" s="2"/>
      <c r="J18" s="19">
        <f t="shared" si="7"/>
        <v>0</v>
      </c>
      <c r="K18" s="2"/>
      <c r="L18" s="2">
        <f t="shared" si="8"/>
        <v>2218</v>
      </c>
      <c r="M18" s="2"/>
      <c r="N18" s="19">
        <f t="shared" si="9"/>
        <v>-0.16985755858477561</v>
      </c>
      <c r="O18" s="11"/>
      <c r="P18" s="2">
        <v>-7563</v>
      </c>
      <c r="Q18" s="2"/>
      <c r="R18" s="19">
        <f t="shared" si="10"/>
        <v>-0.38097166664903609</v>
      </c>
      <c r="S18" s="2"/>
      <c r="T18" s="2">
        <v>-9192</v>
      </c>
      <c r="U18" s="2"/>
      <c r="V18" s="19">
        <f t="shared" si="11"/>
        <v>-0.3136310781375391</v>
      </c>
      <c r="W18" s="2"/>
      <c r="X18" s="2">
        <f t="shared" si="12"/>
        <v>1629</v>
      </c>
      <c r="Y18" s="2"/>
      <c r="Z18" s="19">
        <f t="shared" si="13"/>
        <v>-0.17721932114882508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1">
        <f>D12-D16</f>
        <v>-0.15999999999985448</v>
      </c>
      <c r="E20" s="14"/>
      <c r="F20" s="22">
        <f>IF(D$12=0,0,D20/D$12)</f>
        <v>0</v>
      </c>
      <c r="G20" s="14"/>
      <c r="H20" s="21">
        <f>H12-H16</f>
        <v>0.4500000000007276</v>
      </c>
      <c r="I20" s="14"/>
      <c r="J20" s="22">
        <f>IF(H$12=0,0,H20/H$12)</f>
        <v>0</v>
      </c>
      <c r="K20" s="16"/>
      <c r="L20" s="21">
        <f>+D20-H20</f>
        <v>-0.61000000000058208</v>
      </c>
      <c r="M20" s="16"/>
      <c r="N20" s="22">
        <f>IF(H20=0,0,L20/H20)</f>
        <v>-1.3555555555546572</v>
      </c>
      <c r="O20" s="29"/>
      <c r="P20" s="21">
        <f>P12-P16</f>
        <v>10206.919999999998</v>
      </c>
      <c r="Q20" s="14"/>
      <c r="R20" s="22">
        <f>IF(P$12=0,0,P20/P$12)</f>
        <v>0.51415408220988745</v>
      </c>
      <c r="S20" s="14"/>
      <c r="T20" s="21">
        <f>T12-T16</f>
        <v>21982.84</v>
      </c>
      <c r="U20" s="14"/>
      <c r="V20" s="22">
        <f>IF(T$12=0,0,T20/T$12)</f>
        <v>0.75005459200663838</v>
      </c>
      <c r="W20" s="16"/>
      <c r="X20" s="21">
        <f>+P20-T20</f>
        <v>-11775.920000000002</v>
      </c>
      <c r="Y20" s="16"/>
      <c r="Z20" s="22">
        <f>IF(T20=0,0,X20/T20)</f>
        <v>-0.5356869267119263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0">
        <f>SUM(OSRRefD22x_0)</f>
        <v>2030.8000000000002</v>
      </c>
      <c r="E22" s="20"/>
      <c r="F22" s="32">
        <f t="shared" ref="F22:F26" si="14">IF(D$12=0,0,D22/D$12)</f>
        <v>0</v>
      </c>
      <c r="G22" s="20"/>
      <c r="H22" s="20">
        <f>SUM(OSRRefH22x_0)</f>
        <v>1600.07</v>
      </c>
      <c r="I22" s="20"/>
      <c r="J22" s="32">
        <f t="shared" ref="J22:J26" si="15">IF(H$12=0,0,H22/H$12)</f>
        <v>0</v>
      </c>
      <c r="K22" s="4"/>
      <c r="L22" s="20">
        <f t="shared" ref="L22:L26" si="16">+D22-H22</f>
        <v>430.73000000000025</v>
      </c>
      <c r="M22" s="4"/>
      <c r="N22" s="32">
        <f t="shared" ref="N22:N26" si="17">IF(H22=0,0,L22/H22)</f>
        <v>0.26919447274181774</v>
      </c>
      <c r="O22" s="10"/>
      <c r="P22" s="20">
        <f>SUM(OSRRefP22x_0)</f>
        <v>22671.649999999998</v>
      </c>
      <c r="Q22" s="20"/>
      <c r="R22" s="32">
        <f t="shared" ref="R22:R26" si="18">IF(P$12=0,0,P22/P$12)</f>
        <v>1.142041026865479</v>
      </c>
      <c r="S22" s="20"/>
      <c r="T22" s="20">
        <f>SUM(OSRRefT22x_0)</f>
        <v>23743.949999999997</v>
      </c>
      <c r="U22" s="20"/>
      <c r="V22" s="32">
        <f t="shared" ref="V22:V26" si="19">IF(T$12=0,0,T22/T$12)</f>
        <v>0.81014367251347053</v>
      </c>
      <c r="W22" s="4"/>
      <c r="X22" s="20">
        <f t="shared" ref="X22:X26" si="20">+P22-T22</f>
        <v>-1072.2999999999993</v>
      </c>
      <c r="Y22" s="4"/>
      <c r="Z22" s="32">
        <f t="shared" ref="Z22:Z26" si="21">IF(T22=0,0,X22/T22)</f>
        <v>-4.5160977849094168E-2</v>
      </c>
    </row>
    <row r="23" spans="1:26" s="26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25.15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25.15</v>
      </c>
      <c r="M23" s="1"/>
      <c r="N23" s="5">
        <f t="shared" si="17"/>
        <v>0</v>
      </c>
      <c r="O23" s="13"/>
      <c r="P23" s="1">
        <f>SUM(OSRRefP22_0x_0)</f>
        <v>381.07000000000005</v>
      </c>
      <c r="Q23" s="1"/>
      <c r="R23" s="5">
        <f t="shared" si="18"/>
        <v>1.9195672750224543E-2</v>
      </c>
      <c r="S23" s="1"/>
      <c r="T23" s="1">
        <f>SUM(OSRRefT22_0x_0)</f>
        <v>149.95999999999998</v>
      </c>
      <c r="U23" s="1"/>
      <c r="V23" s="5">
        <f t="shared" si="19"/>
        <v>5.1166358221829151E-3</v>
      </c>
      <c r="W23" s="1"/>
      <c r="X23" s="1">
        <f t="shared" si="20"/>
        <v>231.11000000000007</v>
      </c>
      <c r="Y23" s="1"/>
      <c r="Z23" s="5">
        <f t="shared" si="21"/>
        <v>1.5411443051480402</v>
      </c>
    </row>
    <row r="24" spans="1:26" s="24" customFormat="1" hidden="1" outlineLevel="2" x14ac:dyDescent="0.25">
      <c r="A24" s="25"/>
      <c r="B24" s="11" t="str">
        <f>CONCATENATE("          ", "6111", " - ", "F.I.C.A.")</f>
        <v xml:space="preserve">          6111 - F.I.C.A.</v>
      </c>
      <c r="C24" s="11"/>
      <c r="D24" s="6">
        <v>25.15</v>
      </c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25.15</v>
      </c>
      <c r="M24" s="2"/>
      <c r="N24" s="7">
        <f t="shared" si="17"/>
        <v>0</v>
      </c>
      <c r="O24" s="11"/>
      <c r="P24" s="6">
        <v>391.47</v>
      </c>
      <c r="Q24" s="2"/>
      <c r="R24" s="7">
        <f t="shared" si="18"/>
        <v>1.971955286831921E-2</v>
      </c>
      <c r="S24" s="2"/>
      <c r="T24" s="6">
        <v>71.17</v>
      </c>
      <c r="U24" s="2"/>
      <c r="V24" s="7">
        <f t="shared" si="19"/>
        <v>2.4283206952837966E-3</v>
      </c>
      <c r="W24" s="2"/>
      <c r="X24" s="6">
        <f t="shared" si="20"/>
        <v>320.3</v>
      </c>
      <c r="Y24" s="2"/>
      <c r="Z24" s="7">
        <f t="shared" si="21"/>
        <v>4.5004917802444853</v>
      </c>
    </row>
    <row r="25" spans="1:26" s="24" customFormat="1" hidden="1" outlineLevel="2" x14ac:dyDescent="0.25">
      <c r="A25" s="25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-10.4</v>
      </c>
      <c r="Q25" s="2"/>
      <c r="R25" s="7">
        <f t="shared" si="18"/>
        <v>-5.2388011809466816E-4</v>
      </c>
      <c r="S25" s="2"/>
      <c r="T25" s="6">
        <v>73.349999999999994</v>
      </c>
      <c r="U25" s="2"/>
      <c r="V25" s="7">
        <f t="shared" si="19"/>
        <v>2.5027023043286E-3</v>
      </c>
      <c r="W25" s="2"/>
      <c r="X25" s="6">
        <f t="shared" si="20"/>
        <v>-83.75</v>
      </c>
      <c r="Y25" s="2"/>
      <c r="Z25" s="7">
        <f t="shared" si="21"/>
        <v>-1.1417859577368781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5.44</v>
      </c>
      <c r="U26" s="2"/>
      <c r="V26" s="7">
        <f t="shared" si="19"/>
        <v>1.8561282257051925E-4</v>
      </c>
      <c r="W26" s="2"/>
      <c r="X26" s="6">
        <f t="shared" si="20"/>
        <v>-5.44</v>
      </c>
      <c r="Y26" s="2"/>
      <c r="Z26" s="7">
        <f t="shared" si="21"/>
        <v>-1</v>
      </c>
    </row>
    <row r="27" spans="1:26" s="26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486.57000000000005</v>
      </c>
      <c r="E27" s="1"/>
      <c r="F27" s="5">
        <f t="shared" ref="F27:F32" si="22">IF(D$12=0,0,D27/D$12)</f>
        <v>0</v>
      </c>
      <c r="G27" s="1"/>
      <c r="H27" s="1">
        <f>SUM(OSRRefH22_1x_0)</f>
        <v>0</v>
      </c>
      <c r="I27" s="1"/>
      <c r="J27" s="5">
        <f t="shared" ref="J27:J32" si="23">IF(H$12=0,0,H27/H$12)</f>
        <v>0</v>
      </c>
      <c r="K27" s="1"/>
      <c r="L27" s="1">
        <f t="shared" ref="L27:L32" si="24">+D27-H27</f>
        <v>486.57000000000005</v>
      </c>
      <c r="M27" s="1"/>
      <c r="N27" s="5">
        <f t="shared" ref="N27:N32" si="25">IF(H27=0,0,L27/H27)</f>
        <v>0</v>
      </c>
      <c r="O27" s="13"/>
      <c r="P27" s="1">
        <f>SUM(OSRRefP22_1x_0)</f>
        <v>6073.66</v>
      </c>
      <c r="Q27" s="1"/>
      <c r="R27" s="5">
        <f t="shared" ref="R27:R32" si="26">IF(P$12=0,0,P27/P$12)</f>
        <v>0.3059490113525829</v>
      </c>
      <c r="S27" s="1"/>
      <c r="T27" s="1">
        <f>SUM(OSRRefT22_1x_0)</f>
        <v>2164.14</v>
      </c>
      <c r="U27" s="1"/>
      <c r="V27" s="5">
        <f t="shared" ref="V27:V32" si="27">IF(T$12=0,0,T27/T$12)</f>
        <v>7.3840465779000636E-2</v>
      </c>
      <c r="W27" s="1"/>
      <c r="X27" s="1">
        <f t="shared" ref="X27:X32" si="28">+P27-T27</f>
        <v>3909.52</v>
      </c>
      <c r="Y27" s="1"/>
      <c r="Z27" s="5">
        <f t="shared" ref="Z27:Z32" si="29">IF(T27=0,0,X27/T27)</f>
        <v>1.8065005036642732</v>
      </c>
    </row>
    <row r="28" spans="1:26" s="24" customFormat="1" hidden="1" outlineLevel="2" x14ac:dyDescent="0.25">
      <c r="A28" s="25"/>
      <c r="B28" s="11" t="str">
        <f>CONCATENATE("          ", "6004", " - ", "STAFF HOURLY")</f>
        <v xml:space="preserve">          6004 - STAFF HOURLY</v>
      </c>
      <c r="C28" s="11"/>
      <c r="D28" s="6">
        <v>152.38</v>
      </c>
      <c r="E28" s="2"/>
      <c r="F28" s="7">
        <f t="shared" si="22"/>
        <v>0</v>
      </c>
      <c r="G28" s="2"/>
      <c r="H28" s="6"/>
      <c r="I28" s="2"/>
      <c r="J28" s="7">
        <f t="shared" si="23"/>
        <v>0</v>
      </c>
      <c r="K28" s="2"/>
      <c r="L28" s="6">
        <f t="shared" si="24"/>
        <v>152.38</v>
      </c>
      <c r="M28" s="2"/>
      <c r="N28" s="7">
        <f t="shared" si="25"/>
        <v>0</v>
      </c>
      <c r="O28" s="11"/>
      <c r="P28" s="6">
        <v>212.94</v>
      </c>
      <c r="Q28" s="2"/>
      <c r="R28" s="7">
        <f t="shared" si="26"/>
        <v>1.0726445417988331E-2</v>
      </c>
      <c r="S28" s="2"/>
      <c r="T28" s="6"/>
      <c r="U28" s="2"/>
      <c r="V28" s="7">
        <f t="shared" si="27"/>
        <v>0</v>
      </c>
      <c r="W28" s="2"/>
      <c r="X28" s="6">
        <f t="shared" si="28"/>
        <v>212.94</v>
      </c>
      <c r="Y28" s="2"/>
      <c r="Z28" s="7">
        <f t="shared" si="29"/>
        <v>0</v>
      </c>
    </row>
    <row r="29" spans="1:26" s="24" customFormat="1" hidden="1" outlineLevel="2" x14ac:dyDescent="0.25">
      <c r="A29" s="25"/>
      <c r="B29" s="11" t="str">
        <f>CONCATENATE("          ", "6005", " - ", "TEMPORARY WAGES-HOURLY")</f>
        <v xml:space="preserve">          6005 - TEMPORARY WAGES-HOURLY</v>
      </c>
      <c r="C29" s="11"/>
      <c r="D29" s="6">
        <v>176.47</v>
      </c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176.47</v>
      </c>
      <c r="M29" s="2"/>
      <c r="N29" s="7">
        <f t="shared" si="25"/>
        <v>0</v>
      </c>
      <c r="O29" s="11"/>
      <c r="P29" s="6">
        <v>2665.81</v>
      </c>
      <c r="Q29" s="2"/>
      <c r="R29" s="7">
        <f t="shared" si="26"/>
        <v>0.13428508246326418</v>
      </c>
      <c r="S29" s="2"/>
      <c r="T29" s="6"/>
      <c r="U29" s="2"/>
      <c r="V29" s="7">
        <f t="shared" si="27"/>
        <v>0</v>
      </c>
      <c r="W29" s="2"/>
      <c r="X29" s="6">
        <f t="shared" si="28"/>
        <v>2665.81</v>
      </c>
      <c r="Y29" s="2"/>
      <c r="Z29" s="7">
        <f t="shared" si="29"/>
        <v>0</v>
      </c>
    </row>
    <row r="30" spans="1:26" s="24" customFormat="1" hidden="1" outlineLevel="2" x14ac:dyDescent="0.25">
      <c r="A30" s="25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2"/>
        <v>0</v>
      </c>
      <c r="G30" s="2"/>
      <c r="H30" s="6"/>
      <c r="I30" s="2"/>
      <c r="J30" s="7">
        <f t="shared" si="23"/>
        <v>0</v>
      </c>
      <c r="K30" s="2"/>
      <c r="L30" s="6">
        <f t="shared" si="24"/>
        <v>0</v>
      </c>
      <c r="M30" s="2"/>
      <c r="N30" s="7">
        <f t="shared" si="25"/>
        <v>0</v>
      </c>
      <c r="O30" s="11"/>
      <c r="P30" s="6">
        <v>247.5</v>
      </c>
      <c r="Q30" s="2"/>
      <c r="R30" s="7">
        <f t="shared" si="26"/>
        <v>1.2467339348887536E-2</v>
      </c>
      <c r="S30" s="2"/>
      <c r="T30" s="6"/>
      <c r="U30" s="2"/>
      <c r="V30" s="7">
        <f t="shared" si="27"/>
        <v>0</v>
      </c>
      <c r="W30" s="2"/>
      <c r="X30" s="6">
        <f t="shared" si="28"/>
        <v>247.5</v>
      </c>
      <c r="Y30" s="2"/>
      <c r="Z30" s="7">
        <f t="shared" si="29"/>
        <v>0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>
        <v>157.72</v>
      </c>
      <c r="E31" s="2"/>
      <c r="F31" s="7">
        <f t="shared" si="22"/>
        <v>0</v>
      </c>
      <c r="G31" s="2"/>
      <c r="H31" s="6"/>
      <c r="I31" s="2"/>
      <c r="J31" s="7">
        <f t="shared" si="23"/>
        <v>0</v>
      </c>
      <c r="K31" s="2"/>
      <c r="L31" s="6">
        <f t="shared" si="24"/>
        <v>157.72</v>
      </c>
      <c r="M31" s="2"/>
      <c r="N31" s="7">
        <f t="shared" si="25"/>
        <v>0</v>
      </c>
      <c r="O31" s="11"/>
      <c r="P31" s="6">
        <v>2314.41</v>
      </c>
      <c r="Q31" s="2"/>
      <c r="R31" s="7">
        <f t="shared" si="26"/>
        <v>0.11658397924225779</v>
      </c>
      <c r="S31" s="2"/>
      <c r="T31" s="6">
        <v>2164.14</v>
      </c>
      <c r="U31" s="2"/>
      <c r="V31" s="7">
        <f t="shared" si="27"/>
        <v>7.3840465779000636E-2</v>
      </c>
      <c r="W31" s="2"/>
      <c r="X31" s="6">
        <f t="shared" si="28"/>
        <v>150.26999999999998</v>
      </c>
      <c r="Y31" s="2"/>
      <c r="Z31" s="7">
        <f t="shared" si="29"/>
        <v>6.9436358091435849E-2</v>
      </c>
    </row>
    <row r="32" spans="1:26" s="24" customFormat="1" hidden="1" outlineLevel="2" x14ac:dyDescent="0.25">
      <c r="A32" s="25"/>
      <c r="B32" s="11" t="str">
        <f>CONCATENATE("          ", "6008", " - ", "STUDENT HOURLY-FICA EXEMPT")</f>
        <v xml:space="preserve">          6008 - STUDENT HOURLY-FICA EXEMPT</v>
      </c>
      <c r="C32" s="11"/>
      <c r="D32" s="6"/>
      <c r="E32" s="2"/>
      <c r="F32" s="7">
        <f t="shared" si="22"/>
        <v>0</v>
      </c>
      <c r="G32" s="2"/>
      <c r="H32" s="6"/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>
        <v>633</v>
      </c>
      <c r="Q32" s="2"/>
      <c r="R32" s="7">
        <f t="shared" si="26"/>
        <v>3.1886164880185093E-2</v>
      </c>
      <c r="S32" s="2"/>
      <c r="T32" s="6"/>
      <c r="U32" s="2"/>
      <c r="V32" s="7">
        <f t="shared" si="27"/>
        <v>0</v>
      </c>
      <c r="W32" s="2"/>
      <c r="X32" s="6">
        <f t="shared" si="28"/>
        <v>633</v>
      </c>
      <c r="Y32" s="2"/>
      <c r="Z32" s="7">
        <f t="shared" si="29"/>
        <v>0</v>
      </c>
    </row>
    <row r="33" spans="1:26" s="26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477.35</v>
      </c>
      <c r="E33" s="1"/>
      <c r="F33" s="5">
        <f t="shared" ref="F33:F45" si="30">IF(D$12=0,0,D33/D$12)</f>
        <v>0</v>
      </c>
      <c r="G33" s="1"/>
      <c r="H33" s="1">
        <f>SUM(OSRRefH22_2x_0)</f>
        <v>702.72</v>
      </c>
      <c r="I33" s="1"/>
      <c r="J33" s="5">
        <f t="shared" ref="J33:J45" si="31">IF(H$12=0,0,H33/H$12)</f>
        <v>0</v>
      </c>
      <c r="K33" s="1"/>
      <c r="L33" s="1">
        <f t="shared" ref="L33:L45" si="32">+D33-H33</f>
        <v>-225.37</v>
      </c>
      <c r="M33" s="1"/>
      <c r="N33" s="5">
        <f t="shared" ref="N33:N45" si="33">IF(H33=0,0,L33/H33)</f>
        <v>-0.32071095173041891</v>
      </c>
      <c r="O33" s="13"/>
      <c r="P33" s="1">
        <f>SUM(OSRRefP22_2x_0)</f>
        <v>2077.88</v>
      </c>
      <c r="Q33" s="1"/>
      <c r="R33" s="5">
        <f t="shared" ref="R33:R45" si="34">IF(P$12=0,0,P33/P$12)</f>
        <v>0.10466923267178357</v>
      </c>
      <c r="S33" s="1"/>
      <c r="T33" s="1">
        <f>SUM(OSRRefT22_2x_0)</f>
        <v>734.22</v>
      </c>
      <c r="U33" s="1"/>
      <c r="V33" s="5">
        <f t="shared" ref="V33:V45" si="35">IF(T$12=0,0,T33/T$12)</f>
        <v>2.5051589446273278E-2</v>
      </c>
      <c r="W33" s="1"/>
      <c r="X33" s="1">
        <f t="shared" ref="X33:X45" si="36">+P33-T33</f>
        <v>1343.66</v>
      </c>
      <c r="Y33" s="1"/>
      <c r="Z33" s="5">
        <f t="shared" ref="Z33:Z45" si="37">IF(T33=0,0,X33/T33)</f>
        <v>1.8300509384108306</v>
      </c>
    </row>
    <row r="34" spans="1:26" s="24" customFormat="1" hidden="1" outlineLevel="2" x14ac:dyDescent="0.25">
      <c r="A34" s="25"/>
      <c r="B34" s="11" t="str">
        <f>CONCATENATE("          ", "6362", " - ", "ADVERTISING EXPENSE")</f>
        <v xml:space="preserve">          6362 - ADVERTISING EXPENSE</v>
      </c>
      <c r="C34" s="11"/>
      <c r="D34" s="6">
        <v>477.35</v>
      </c>
      <c r="E34" s="2"/>
      <c r="F34" s="7">
        <f t="shared" si="30"/>
        <v>0</v>
      </c>
      <c r="G34" s="2"/>
      <c r="H34" s="6">
        <v>702.72</v>
      </c>
      <c r="I34" s="2"/>
      <c r="J34" s="7">
        <f t="shared" si="31"/>
        <v>0</v>
      </c>
      <c r="K34" s="2"/>
      <c r="L34" s="6">
        <f t="shared" si="32"/>
        <v>-225.37</v>
      </c>
      <c r="M34" s="2"/>
      <c r="N34" s="7">
        <f t="shared" si="33"/>
        <v>-0.32071095173041891</v>
      </c>
      <c r="O34" s="11"/>
      <c r="P34" s="6">
        <v>2077.88</v>
      </c>
      <c r="Q34" s="2"/>
      <c r="R34" s="7">
        <f t="shared" si="34"/>
        <v>0.10466923267178357</v>
      </c>
      <c r="S34" s="2"/>
      <c r="T34" s="6">
        <v>734.22</v>
      </c>
      <c r="U34" s="2"/>
      <c r="V34" s="7">
        <f t="shared" si="35"/>
        <v>2.5051589446273278E-2</v>
      </c>
      <c r="W34" s="2"/>
      <c r="X34" s="6">
        <f t="shared" si="36"/>
        <v>1343.66</v>
      </c>
      <c r="Y34" s="2"/>
      <c r="Z34" s="7">
        <f t="shared" si="37"/>
        <v>1.8300509384108306</v>
      </c>
    </row>
    <row r="35" spans="1:26" s="26" customFormat="1" outlineLevel="1" collapsed="1" x14ac:dyDescent="0.25">
      <c r="A35" s="27"/>
      <c r="B35" s="13" t="str">
        <f>CONCATENATE("     ","Bad Debts/Over/Short                              ")</f>
        <v xml:space="preserve">     Bad Debts/Over/Short                              </v>
      </c>
      <c r="C35" s="13"/>
      <c r="D35" s="1">
        <f>SUM(OSRRefD22_3x_0)</f>
        <v>0</v>
      </c>
      <c r="E35" s="1"/>
      <c r="F35" s="5">
        <f t="shared" si="30"/>
        <v>0</v>
      </c>
      <c r="G35" s="1"/>
      <c r="H35" s="1">
        <f>SUM(OSRRefH22_3x_0)</f>
        <v>0</v>
      </c>
      <c r="I35" s="1"/>
      <c r="J35" s="5">
        <f t="shared" si="31"/>
        <v>0</v>
      </c>
      <c r="K35" s="1"/>
      <c r="L35" s="1">
        <f t="shared" si="32"/>
        <v>0</v>
      </c>
      <c r="M35" s="1"/>
      <c r="N35" s="5">
        <f t="shared" si="33"/>
        <v>0</v>
      </c>
      <c r="O35" s="13"/>
      <c r="P35" s="1">
        <f>SUM(OSRRefP22_3x_0)</f>
        <v>1.85</v>
      </c>
      <c r="Q35" s="1"/>
      <c r="R35" s="5">
        <f t="shared" si="34"/>
        <v>9.3190213314916939E-5</v>
      </c>
      <c r="S35" s="1"/>
      <c r="T35" s="1">
        <f>SUM(OSRRefT22_3x_0)</f>
        <v>-17.079999999999998</v>
      </c>
      <c r="U35" s="1"/>
      <c r="V35" s="5">
        <f t="shared" si="35"/>
        <v>-5.827696708647919E-4</v>
      </c>
      <c r="W35" s="1"/>
      <c r="X35" s="1">
        <f t="shared" si="36"/>
        <v>18.93</v>
      </c>
      <c r="Y35" s="1"/>
      <c r="Z35" s="5">
        <f t="shared" si="37"/>
        <v>-1.1083138173302109</v>
      </c>
    </row>
    <row r="36" spans="1:26" s="24" customFormat="1" hidden="1" outlineLevel="2" x14ac:dyDescent="0.25">
      <c r="A36" s="25"/>
      <c r="B36" s="11" t="str">
        <f>CONCATENATE("          ", "6272", " - ", "CASH (OVER/SHORT)")</f>
        <v xml:space="preserve">          6272 - CASH (OVER/SHORT)</v>
      </c>
      <c r="C36" s="11"/>
      <c r="D36" s="6"/>
      <c r="E36" s="2"/>
      <c r="F36" s="7">
        <f t="shared" si="30"/>
        <v>0</v>
      </c>
      <c r="G36" s="2"/>
      <c r="H36" s="6"/>
      <c r="I36" s="2"/>
      <c r="J36" s="7">
        <f t="shared" si="31"/>
        <v>0</v>
      </c>
      <c r="K36" s="2"/>
      <c r="L36" s="6">
        <f t="shared" si="32"/>
        <v>0</v>
      </c>
      <c r="M36" s="2"/>
      <c r="N36" s="7">
        <f t="shared" si="33"/>
        <v>0</v>
      </c>
      <c r="O36" s="11"/>
      <c r="P36" s="6">
        <v>1.85</v>
      </c>
      <c r="Q36" s="2"/>
      <c r="R36" s="7">
        <f t="shared" si="34"/>
        <v>9.3190213314916939E-5</v>
      </c>
      <c r="S36" s="2"/>
      <c r="T36" s="6">
        <v>-17.079999999999998</v>
      </c>
      <c r="U36" s="2"/>
      <c r="V36" s="7">
        <f t="shared" si="35"/>
        <v>-5.827696708647919E-4</v>
      </c>
      <c r="W36" s="2"/>
      <c r="X36" s="6">
        <f t="shared" si="36"/>
        <v>18.93</v>
      </c>
      <c r="Y36" s="2"/>
      <c r="Z36" s="7">
        <f t="shared" si="37"/>
        <v>-1.1083138173302109</v>
      </c>
    </row>
    <row r="37" spans="1:26" s="26" customFormat="1" outlineLevel="1" collapsed="1" x14ac:dyDescent="0.25">
      <c r="A37" s="27"/>
      <c r="B37" s="13" t="str">
        <f>CONCATENATE("     ","Bank/card Fees                                    ")</f>
        <v xml:space="preserve">     Bank/card Fees                                    </v>
      </c>
      <c r="C37" s="13"/>
      <c r="D37" s="1">
        <f>SUM(OSRRefD22_4x_0)</f>
        <v>0</v>
      </c>
      <c r="E37" s="1"/>
      <c r="F37" s="5">
        <f t="shared" si="30"/>
        <v>0</v>
      </c>
      <c r="G37" s="1"/>
      <c r="H37" s="1">
        <f>SUM(OSRRefH22_4x_0)</f>
        <v>0</v>
      </c>
      <c r="I37" s="1"/>
      <c r="J37" s="5">
        <f t="shared" si="31"/>
        <v>0</v>
      </c>
      <c r="K37" s="1"/>
      <c r="L37" s="1">
        <f t="shared" si="32"/>
        <v>0</v>
      </c>
      <c r="M37" s="1"/>
      <c r="N37" s="5">
        <f t="shared" si="33"/>
        <v>0</v>
      </c>
      <c r="O37" s="13"/>
      <c r="P37" s="1">
        <f>SUM(OSRRefP22_4x_0)</f>
        <v>348.55</v>
      </c>
      <c r="Q37" s="1"/>
      <c r="R37" s="5">
        <f t="shared" si="34"/>
        <v>1.7557539919413136E-2</v>
      </c>
      <c r="S37" s="1"/>
      <c r="T37" s="1">
        <f>SUM(OSRRefT22_4x_0)</f>
        <v>546</v>
      </c>
      <c r="U37" s="1"/>
      <c r="V37" s="5">
        <f t="shared" si="35"/>
        <v>1.8629522265349908E-2</v>
      </c>
      <c r="W37" s="1"/>
      <c r="X37" s="1">
        <f t="shared" si="36"/>
        <v>-197.45</v>
      </c>
      <c r="Y37" s="1"/>
      <c r="Z37" s="5">
        <f t="shared" si="37"/>
        <v>-0.36163003663003662</v>
      </c>
    </row>
    <row r="38" spans="1:26" s="24" customFormat="1" hidden="1" outlineLevel="2" x14ac:dyDescent="0.25">
      <c r="A38" s="25"/>
      <c r="B38" s="11" t="str">
        <f>CONCATENATE("          ", "6381", " - ", "BANK/CREDIT CARD FEES")</f>
        <v xml:space="preserve">          6381 - BANK/CREDIT CARD FEES</v>
      </c>
      <c r="C38" s="11"/>
      <c r="D38" s="6"/>
      <c r="E38" s="2"/>
      <c r="F38" s="7">
        <f t="shared" si="30"/>
        <v>0</v>
      </c>
      <c r="G38" s="2"/>
      <c r="H38" s="6"/>
      <c r="I38" s="2"/>
      <c r="J38" s="7">
        <f t="shared" si="31"/>
        <v>0</v>
      </c>
      <c r="K38" s="2"/>
      <c r="L38" s="6">
        <f t="shared" si="32"/>
        <v>0</v>
      </c>
      <c r="M38" s="2"/>
      <c r="N38" s="7">
        <f t="shared" si="33"/>
        <v>0</v>
      </c>
      <c r="O38" s="11"/>
      <c r="P38" s="6">
        <v>348.55</v>
      </c>
      <c r="Q38" s="2"/>
      <c r="R38" s="7">
        <f t="shared" si="34"/>
        <v>1.7557539919413136E-2</v>
      </c>
      <c r="S38" s="2"/>
      <c r="T38" s="6">
        <v>546</v>
      </c>
      <c r="U38" s="2"/>
      <c r="V38" s="7">
        <f t="shared" si="35"/>
        <v>1.8629522265349908E-2</v>
      </c>
      <c r="W38" s="2"/>
      <c r="X38" s="6">
        <f t="shared" si="36"/>
        <v>-197.45</v>
      </c>
      <c r="Y38" s="2"/>
      <c r="Z38" s="7">
        <f t="shared" si="37"/>
        <v>-0.36163003663003662</v>
      </c>
    </row>
    <row r="39" spans="1:26" s="26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78.63</v>
      </c>
      <c r="E39" s="1"/>
      <c r="F39" s="5">
        <f t="shared" si="30"/>
        <v>0</v>
      </c>
      <c r="G39" s="1"/>
      <c r="H39" s="1">
        <f>SUM(OSRRefH22_5x_0)</f>
        <v>0</v>
      </c>
      <c r="I39" s="1"/>
      <c r="J39" s="5">
        <f t="shared" si="31"/>
        <v>0</v>
      </c>
      <c r="K39" s="1"/>
      <c r="L39" s="1">
        <f t="shared" si="32"/>
        <v>78.63</v>
      </c>
      <c r="M39" s="1"/>
      <c r="N39" s="5">
        <f t="shared" si="33"/>
        <v>0</v>
      </c>
      <c r="O39" s="13"/>
      <c r="P39" s="1">
        <f>SUM(OSRRefP22_5x_0)</f>
        <v>193.27</v>
      </c>
      <c r="Q39" s="1"/>
      <c r="R39" s="5">
        <f t="shared" si="34"/>
        <v>9.7356067715535129E-3</v>
      </c>
      <c r="S39" s="1"/>
      <c r="T39" s="1">
        <f>SUM(OSRRefT22_5x_0)</f>
        <v>0</v>
      </c>
      <c r="U39" s="1"/>
      <c r="V39" s="5">
        <f t="shared" si="35"/>
        <v>0</v>
      </c>
      <c r="W39" s="1"/>
      <c r="X39" s="1">
        <f t="shared" si="36"/>
        <v>193.27</v>
      </c>
      <c r="Y39" s="1"/>
      <c r="Z39" s="5">
        <f t="shared" si="37"/>
        <v>0</v>
      </c>
    </row>
    <row r="40" spans="1:26" s="24" customFormat="1" hidden="1" outlineLevel="2" x14ac:dyDescent="0.25">
      <c r="A40" s="25"/>
      <c r="B40" s="11" t="str">
        <f>CONCATENATE("          ", "6277", " - ", "EMPLOYEE APPRECIATION")</f>
        <v xml:space="preserve">          6277 - EMPLOYEE APPRECIATION</v>
      </c>
      <c r="C40" s="11"/>
      <c r="D40" s="6">
        <v>78.63</v>
      </c>
      <c r="E40" s="2"/>
      <c r="F40" s="7">
        <f t="shared" si="30"/>
        <v>0</v>
      </c>
      <c r="G40" s="2"/>
      <c r="H40" s="6"/>
      <c r="I40" s="2"/>
      <c r="J40" s="7">
        <f t="shared" si="31"/>
        <v>0</v>
      </c>
      <c r="K40" s="2"/>
      <c r="L40" s="6">
        <f t="shared" si="32"/>
        <v>78.63</v>
      </c>
      <c r="M40" s="2"/>
      <c r="N40" s="7">
        <f t="shared" si="33"/>
        <v>0</v>
      </c>
      <c r="O40" s="11"/>
      <c r="P40" s="6">
        <v>193.27</v>
      </c>
      <c r="Q40" s="2"/>
      <c r="R40" s="7">
        <f t="shared" si="34"/>
        <v>9.7356067715535129E-3</v>
      </c>
      <c r="S40" s="2"/>
      <c r="T40" s="6"/>
      <c r="U40" s="2"/>
      <c r="V40" s="7">
        <f t="shared" si="35"/>
        <v>0</v>
      </c>
      <c r="W40" s="2"/>
      <c r="X40" s="6">
        <f t="shared" si="36"/>
        <v>193.27</v>
      </c>
      <c r="Y40" s="2"/>
      <c r="Z40" s="7">
        <f t="shared" si="37"/>
        <v>0</v>
      </c>
    </row>
    <row r="41" spans="1:26" s="26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SUM(OSRRefD22_6x_0)</f>
        <v>142.19999999999999</v>
      </c>
      <c r="E41" s="1"/>
      <c r="F41" s="5">
        <f t="shared" si="30"/>
        <v>0</v>
      </c>
      <c r="G41" s="1"/>
      <c r="H41" s="1">
        <f>SUM(OSRRefH22_6x_0)</f>
        <v>5</v>
      </c>
      <c r="I41" s="1"/>
      <c r="J41" s="5">
        <f t="shared" si="31"/>
        <v>0</v>
      </c>
      <c r="K41" s="1"/>
      <c r="L41" s="1">
        <f t="shared" si="32"/>
        <v>137.19999999999999</v>
      </c>
      <c r="M41" s="1"/>
      <c r="N41" s="5">
        <f t="shared" si="33"/>
        <v>27.439999999999998</v>
      </c>
      <c r="O41" s="13"/>
      <c r="P41" s="1">
        <f>SUM(OSRRefP22_6x_0)</f>
        <v>3413.95</v>
      </c>
      <c r="Q41" s="1"/>
      <c r="R41" s="5">
        <f t="shared" si="34"/>
        <v>0.17197120472781657</v>
      </c>
      <c r="S41" s="1"/>
      <c r="T41" s="1">
        <f>SUM(OSRRefT22_6x_0)</f>
        <v>1805.23</v>
      </c>
      <c r="U41" s="1"/>
      <c r="V41" s="5">
        <f t="shared" si="35"/>
        <v>6.1594455089885737E-2</v>
      </c>
      <c r="W41" s="1"/>
      <c r="X41" s="1">
        <f t="shared" si="36"/>
        <v>1608.7199999999998</v>
      </c>
      <c r="Y41" s="1"/>
      <c r="Z41" s="5">
        <f t="shared" si="37"/>
        <v>0.89114406474521235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6">
        <v>142.19999999999999</v>
      </c>
      <c r="E42" s="2"/>
      <c r="F42" s="7">
        <f t="shared" si="30"/>
        <v>0</v>
      </c>
      <c r="G42" s="2"/>
      <c r="H42" s="6">
        <v>5</v>
      </c>
      <c r="I42" s="2"/>
      <c r="J42" s="7">
        <f t="shared" si="31"/>
        <v>0</v>
      </c>
      <c r="K42" s="2"/>
      <c r="L42" s="6">
        <f t="shared" si="32"/>
        <v>137.19999999999999</v>
      </c>
      <c r="M42" s="2"/>
      <c r="N42" s="7">
        <f t="shared" si="33"/>
        <v>27.439999999999998</v>
      </c>
      <c r="O42" s="11"/>
      <c r="P42" s="6">
        <v>3413.95</v>
      </c>
      <c r="Q42" s="2"/>
      <c r="R42" s="7">
        <f t="shared" si="34"/>
        <v>0.17197120472781657</v>
      </c>
      <c r="S42" s="2"/>
      <c r="T42" s="6">
        <v>1805.23</v>
      </c>
      <c r="U42" s="2"/>
      <c r="V42" s="7">
        <f t="shared" si="35"/>
        <v>6.1594455089885737E-2</v>
      </c>
      <c r="W42" s="2"/>
      <c r="X42" s="6">
        <f t="shared" si="36"/>
        <v>1608.7199999999998</v>
      </c>
      <c r="Y42" s="2"/>
      <c r="Z42" s="7">
        <f t="shared" si="37"/>
        <v>0.89114406474521235</v>
      </c>
    </row>
    <row r="43" spans="1:26" s="26" customFormat="1" outlineLevel="1" collapsed="1" x14ac:dyDescent="0.25">
      <c r="A43" s="27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SUM(OSRRefD22_7x_0)</f>
        <v>0</v>
      </c>
      <c r="E43" s="1"/>
      <c r="F43" s="5">
        <f t="shared" si="30"/>
        <v>0</v>
      </c>
      <c r="G43" s="1"/>
      <c r="H43" s="1">
        <f>SUM(OSRRefH22_7x_0)</f>
        <v>132.56</v>
      </c>
      <c r="I43" s="1"/>
      <c r="J43" s="5">
        <f t="shared" si="31"/>
        <v>0</v>
      </c>
      <c r="K43" s="1"/>
      <c r="L43" s="1">
        <f t="shared" si="32"/>
        <v>-132.56</v>
      </c>
      <c r="M43" s="1"/>
      <c r="N43" s="5">
        <f t="shared" si="33"/>
        <v>-1</v>
      </c>
      <c r="O43" s="13"/>
      <c r="P43" s="1">
        <f>SUM(OSRRefP22_7x_0)</f>
        <v>434.72</v>
      </c>
      <c r="Q43" s="1"/>
      <c r="R43" s="5">
        <f t="shared" si="34"/>
        <v>2.1898188936357133E-2</v>
      </c>
      <c r="S43" s="1"/>
      <c r="T43" s="1">
        <f>SUM(OSRRefT22_7x_0)</f>
        <v>2012.54</v>
      </c>
      <c r="U43" s="1"/>
      <c r="V43" s="5">
        <f t="shared" si="35"/>
        <v>6.8667873150013381E-2</v>
      </c>
      <c r="W43" s="1"/>
      <c r="X43" s="1">
        <f t="shared" si="36"/>
        <v>-1577.82</v>
      </c>
      <c r="Y43" s="1"/>
      <c r="Z43" s="5">
        <f t="shared" si="37"/>
        <v>-0.78399435539169404</v>
      </c>
    </row>
    <row r="44" spans="1:26" s="24" customFormat="1" hidden="1" outlineLevel="2" x14ac:dyDescent="0.25">
      <c r="A44" s="25"/>
      <c r="B44" s="11" t="str">
        <f>CONCATENATE("          ", "6373", " - ", "MAINTENANCE CONTRACTS")</f>
        <v xml:space="preserve">          6373 - MAINTENANCE CONTRACTS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296.64</v>
      </c>
      <c r="Q44" s="2"/>
      <c r="R44" s="7">
        <f t="shared" si="34"/>
        <v>1.4942672906884842E-2</v>
      </c>
      <c r="S44" s="2"/>
      <c r="T44" s="6">
        <v>283.5</v>
      </c>
      <c r="U44" s="2"/>
      <c r="V44" s="7">
        <f t="shared" si="35"/>
        <v>9.6730211762393759E-3</v>
      </c>
      <c r="W44" s="2"/>
      <c r="X44" s="6">
        <f t="shared" si="36"/>
        <v>13.139999999999986</v>
      </c>
      <c r="Y44" s="2"/>
      <c r="Z44" s="7">
        <f t="shared" si="37"/>
        <v>4.63492063492063E-2</v>
      </c>
    </row>
    <row r="45" spans="1:26" s="24" customFormat="1" hidden="1" outlineLevel="2" x14ac:dyDescent="0.25">
      <c r="A45" s="25"/>
      <c r="B45" s="11" t="str">
        <f>CONCATENATE("          ", "6375", " - ", "OUTSIDE REPAIRS &amp; MAINTENANCE")</f>
        <v xml:space="preserve">          6375 - OUTSIDE REPAIRS &amp; MAINTENANCE</v>
      </c>
      <c r="C45" s="11"/>
      <c r="D45" s="6"/>
      <c r="E45" s="2"/>
      <c r="F45" s="7">
        <f t="shared" si="30"/>
        <v>0</v>
      </c>
      <c r="G45" s="2"/>
      <c r="H45" s="6">
        <v>132.56</v>
      </c>
      <c r="I45" s="2"/>
      <c r="J45" s="7">
        <f t="shared" si="31"/>
        <v>0</v>
      </c>
      <c r="K45" s="2"/>
      <c r="L45" s="6">
        <f t="shared" si="32"/>
        <v>-132.56</v>
      </c>
      <c r="M45" s="2"/>
      <c r="N45" s="7">
        <f t="shared" si="33"/>
        <v>-1</v>
      </c>
      <c r="O45" s="11"/>
      <c r="P45" s="6">
        <v>138.08000000000001</v>
      </c>
      <c r="Q45" s="2"/>
      <c r="R45" s="7">
        <f t="shared" si="34"/>
        <v>6.9555160294722876E-3</v>
      </c>
      <c r="S45" s="2"/>
      <c r="T45" s="6">
        <v>1729.04</v>
      </c>
      <c r="U45" s="2"/>
      <c r="V45" s="7">
        <f t="shared" si="35"/>
        <v>5.8994851973774E-2</v>
      </c>
      <c r="W45" s="2"/>
      <c r="X45" s="6">
        <f t="shared" si="36"/>
        <v>-1590.96</v>
      </c>
      <c r="Y45" s="2"/>
      <c r="Z45" s="7">
        <f t="shared" si="37"/>
        <v>-0.92014065608661455</v>
      </c>
    </row>
    <row r="46" spans="1:26" s="26" customFormat="1" outlineLevel="1" collapsed="1" x14ac:dyDescent="0.25">
      <c r="A46" s="27"/>
      <c r="B46" s="13" t="str">
        <f>CONCATENATE("     ","Royalty &amp; Commissions                             ")</f>
        <v xml:space="preserve">     Royalty &amp; Commissions                             </v>
      </c>
      <c r="C46" s="13"/>
      <c r="D46" s="1">
        <f>SUM(OSRRefD22_8x_0)</f>
        <v>0</v>
      </c>
      <c r="E46" s="1"/>
      <c r="F46" s="5">
        <f t="shared" ref="F46:F56" si="38">IF(D$12=0,0,D46/D$12)</f>
        <v>0</v>
      </c>
      <c r="G46" s="1"/>
      <c r="H46" s="1">
        <f>SUM(OSRRefH22_8x_0)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3"/>
      <c r="P46" s="1">
        <f>SUM(OSRRefP22_8x_0)</f>
        <v>6595.88</v>
      </c>
      <c r="Q46" s="1"/>
      <c r="R46" s="5">
        <f t="shared" ref="R46:R56" si="42">IF(P$12=0,0,P46/P$12)</f>
        <v>0.33225484551329426</v>
      </c>
      <c r="S46" s="1"/>
      <c r="T46" s="1">
        <f>SUM(OSRRefT22_8x_0)</f>
        <v>12443.41</v>
      </c>
      <c r="U46" s="1"/>
      <c r="V46" s="5">
        <f t="shared" ref="V46:V56" si="43">IF(T$12=0,0,T46/T$12)</f>
        <v>0.42456920082761485</v>
      </c>
      <c r="W46" s="1"/>
      <c r="X46" s="1">
        <f t="shared" ref="X46:X56" si="44">+P46-T46</f>
        <v>-5847.53</v>
      </c>
      <c r="Y46" s="1"/>
      <c r="Z46" s="5">
        <f t="shared" ref="Z46:Z56" si="45">IF(T46=0,0,X46/T46)</f>
        <v>-0.46992986649158069</v>
      </c>
    </row>
    <row r="47" spans="1:26" s="24" customFormat="1" hidden="1" outlineLevel="2" x14ac:dyDescent="0.25">
      <c r="A47" s="25"/>
      <c r="B47" s="11" t="str">
        <f>CONCATENATE("          ", "6254", " - ", "ROYALTY &amp; COMMISSIONS")</f>
        <v xml:space="preserve">          6254 - ROYALTY &amp; COMMISSIONS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>
        <v>6595.88</v>
      </c>
      <c r="Q47" s="2"/>
      <c r="R47" s="7">
        <f t="shared" si="42"/>
        <v>0.33225484551329426</v>
      </c>
      <c r="S47" s="2"/>
      <c r="T47" s="6">
        <v>12443.41</v>
      </c>
      <c r="U47" s="2"/>
      <c r="V47" s="7">
        <f t="shared" si="43"/>
        <v>0.42456920082761485</v>
      </c>
      <c r="W47" s="2"/>
      <c r="X47" s="6">
        <f t="shared" si="44"/>
        <v>-5847.53</v>
      </c>
      <c r="Y47" s="2"/>
      <c r="Z47" s="7">
        <f t="shared" si="45"/>
        <v>-0.46992986649158069</v>
      </c>
    </row>
    <row r="48" spans="1:26" s="26" customFormat="1" outlineLevel="1" collapsed="1" x14ac:dyDescent="0.25">
      <c r="A48" s="27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SUM(OSRRefD22_9x_0)</f>
        <v>12.25</v>
      </c>
      <c r="E48" s="1"/>
      <c r="F48" s="5">
        <f t="shared" si="38"/>
        <v>0</v>
      </c>
      <c r="G48" s="1"/>
      <c r="H48" s="1">
        <f>SUM(OSRRefH22_9x_0)</f>
        <v>19.5</v>
      </c>
      <c r="I48" s="1"/>
      <c r="J48" s="5">
        <f t="shared" si="39"/>
        <v>0</v>
      </c>
      <c r="K48" s="1"/>
      <c r="L48" s="1">
        <f t="shared" si="40"/>
        <v>-7.25</v>
      </c>
      <c r="M48" s="1"/>
      <c r="N48" s="5">
        <f t="shared" si="41"/>
        <v>-0.37179487179487181</v>
      </c>
      <c r="O48" s="13"/>
      <c r="P48" s="1">
        <f>SUM(OSRRefP22_9x_0)</f>
        <v>44.75</v>
      </c>
      <c r="Q48" s="1"/>
      <c r="R48" s="5">
        <f t="shared" si="42"/>
        <v>2.2541957004554233E-3</v>
      </c>
      <c r="S48" s="1"/>
      <c r="T48" s="1">
        <f>SUM(OSRRefT22_9x_0)</f>
        <v>19.5</v>
      </c>
      <c r="U48" s="1"/>
      <c r="V48" s="5">
        <f t="shared" si="43"/>
        <v>6.6534008090535386E-4</v>
      </c>
      <c r="W48" s="1"/>
      <c r="X48" s="1">
        <f t="shared" si="44"/>
        <v>25.25</v>
      </c>
      <c r="Y48" s="1"/>
      <c r="Z48" s="5">
        <f t="shared" si="45"/>
        <v>1.2948717948717949</v>
      </c>
    </row>
    <row r="49" spans="1:26" s="24" customFormat="1" hidden="1" outlineLevel="2" x14ac:dyDescent="0.25">
      <c r="A49" s="25"/>
      <c r="B49" s="11" t="str">
        <f>CONCATENATE("          ", "6286", " - ", "LAUNDRY EXPENSE")</f>
        <v xml:space="preserve">          6286 - LAUNDRY EXPENSE</v>
      </c>
      <c r="C49" s="11"/>
      <c r="D49" s="6">
        <v>12.25</v>
      </c>
      <c r="E49" s="2"/>
      <c r="F49" s="7">
        <f t="shared" si="38"/>
        <v>0</v>
      </c>
      <c r="G49" s="2"/>
      <c r="H49" s="6">
        <v>19.5</v>
      </c>
      <c r="I49" s="2"/>
      <c r="J49" s="7">
        <f t="shared" si="39"/>
        <v>0</v>
      </c>
      <c r="K49" s="2"/>
      <c r="L49" s="6">
        <f t="shared" si="40"/>
        <v>-7.25</v>
      </c>
      <c r="M49" s="2"/>
      <c r="N49" s="7">
        <f t="shared" si="41"/>
        <v>-0.37179487179487181</v>
      </c>
      <c r="O49" s="11"/>
      <c r="P49" s="6">
        <v>44.75</v>
      </c>
      <c r="Q49" s="2"/>
      <c r="R49" s="7">
        <f t="shared" si="42"/>
        <v>2.2541957004554233E-3</v>
      </c>
      <c r="S49" s="2"/>
      <c r="T49" s="6">
        <v>19.5</v>
      </c>
      <c r="U49" s="2"/>
      <c r="V49" s="7">
        <f t="shared" si="43"/>
        <v>6.6534008090535386E-4</v>
      </c>
      <c r="W49" s="2"/>
      <c r="X49" s="6">
        <f t="shared" si="44"/>
        <v>25.25</v>
      </c>
      <c r="Y49" s="2"/>
      <c r="Z49" s="7">
        <f t="shared" si="45"/>
        <v>1.2948717948717949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SUM(OSRRefD22_10x_0)</f>
        <v>594.64</v>
      </c>
      <c r="E50" s="1"/>
      <c r="F50" s="5">
        <f t="shared" si="38"/>
        <v>0</v>
      </c>
      <c r="G50" s="1"/>
      <c r="H50" s="1">
        <f>SUM(OSRRefH22_10x_0)</f>
        <v>825.28</v>
      </c>
      <c r="I50" s="1"/>
      <c r="J50" s="5">
        <f t="shared" si="39"/>
        <v>0</v>
      </c>
      <c r="K50" s="1"/>
      <c r="L50" s="1">
        <f t="shared" si="40"/>
        <v>-230.64</v>
      </c>
      <c r="M50" s="1"/>
      <c r="N50" s="5">
        <f t="shared" si="41"/>
        <v>-0.27946878635129896</v>
      </c>
      <c r="O50" s="13"/>
      <c r="P50" s="1">
        <f>SUM(OSRRefP22_10x_0)</f>
        <v>1608.01</v>
      </c>
      <c r="Q50" s="1"/>
      <c r="R50" s="5">
        <f t="shared" si="42"/>
        <v>8.1000429682443018E-2</v>
      </c>
      <c r="S50" s="1"/>
      <c r="T50" s="1">
        <f>SUM(OSRRefT22_10x_0)</f>
        <v>2395.96</v>
      </c>
      <c r="U50" s="1"/>
      <c r="V50" s="5">
        <f t="shared" si="43"/>
        <v>8.1750165140820077E-2</v>
      </c>
      <c r="W50" s="1"/>
      <c r="X50" s="1">
        <f t="shared" si="44"/>
        <v>-787.95</v>
      </c>
      <c r="Y50" s="1"/>
      <c r="Z50" s="5">
        <f t="shared" si="45"/>
        <v>-0.32886609125361027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106.94</v>
      </c>
      <c r="U51" s="2"/>
      <c r="V51" s="7">
        <f t="shared" si="43"/>
        <v>3.6487932436932583E-3</v>
      </c>
      <c r="W51" s="2"/>
      <c r="X51" s="6">
        <f t="shared" si="44"/>
        <v>-106.94</v>
      </c>
      <c r="Y51" s="2"/>
      <c r="Z51" s="7">
        <f t="shared" si="45"/>
        <v>-1</v>
      </c>
    </row>
    <row r="52" spans="1:26" s="24" customFormat="1" hidden="1" outlineLevel="2" x14ac:dyDescent="0.25">
      <c r="A52" s="25"/>
      <c r="B52" s="11" t="str">
        <f>CONCATENATE("          ", "6237", " - ", "JANITORIAL SUPPLIES")</f>
        <v xml:space="preserve">          6237 - JANITORIAL SUPPLIES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/>
      <c r="Q52" s="2"/>
      <c r="R52" s="7">
        <f t="shared" si="42"/>
        <v>0</v>
      </c>
      <c r="S52" s="2"/>
      <c r="T52" s="6">
        <v>505.41</v>
      </c>
      <c r="U52" s="2"/>
      <c r="V52" s="7">
        <f t="shared" si="43"/>
        <v>1.7244591296942304E-2</v>
      </c>
      <c r="W52" s="2"/>
      <c r="X52" s="6">
        <f t="shared" si="44"/>
        <v>-505.41</v>
      </c>
      <c r="Y52" s="2"/>
      <c r="Z52" s="7">
        <f t="shared" si="45"/>
        <v>-1</v>
      </c>
    </row>
    <row r="53" spans="1:26" s="24" customFormat="1" hidden="1" outlineLevel="2" x14ac:dyDescent="0.25">
      <c r="A53" s="25"/>
      <c r="B53" s="11" t="str">
        <f>CONCATENATE("          ", "6239", " - ", "KITCHEN SUPPLIES")</f>
        <v xml:space="preserve">          6239 - KITCHEN SUPPLIES</v>
      </c>
      <c r="C53" s="11"/>
      <c r="D53" s="6"/>
      <c r="E53" s="2"/>
      <c r="F53" s="7">
        <f t="shared" si="38"/>
        <v>0</v>
      </c>
      <c r="G53" s="2"/>
      <c r="H53" s="6">
        <v>320.01</v>
      </c>
      <c r="I53" s="2"/>
      <c r="J53" s="7">
        <f t="shared" si="39"/>
        <v>0</v>
      </c>
      <c r="K53" s="2"/>
      <c r="L53" s="6">
        <f t="shared" si="40"/>
        <v>-320.01</v>
      </c>
      <c r="M53" s="2"/>
      <c r="N53" s="7">
        <f t="shared" si="41"/>
        <v>-1</v>
      </c>
      <c r="O53" s="11"/>
      <c r="P53" s="6">
        <v>875.42</v>
      </c>
      <c r="Q53" s="2"/>
      <c r="R53" s="7">
        <f t="shared" si="42"/>
        <v>4.4097608940618691E-2</v>
      </c>
      <c r="S53" s="2"/>
      <c r="T53" s="6">
        <v>1212.21</v>
      </c>
      <c r="U53" s="2"/>
      <c r="V53" s="7">
        <f t="shared" si="43"/>
        <v>4.1360610229450208E-2</v>
      </c>
      <c r="W53" s="2"/>
      <c r="X53" s="6">
        <f t="shared" si="44"/>
        <v>-336.79000000000008</v>
      </c>
      <c r="Y53" s="2"/>
      <c r="Z53" s="7">
        <f t="shared" si="45"/>
        <v>-0.27783139885003427</v>
      </c>
    </row>
    <row r="54" spans="1:26" s="24" customFormat="1" hidden="1" outlineLevel="2" x14ac:dyDescent="0.25">
      <c r="A54" s="25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33.06</v>
      </c>
      <c r="Q54" s="2"/>
      <c r="R54" s="7">
        <f t="shared" si="42"/>
        <v>1.6653342984817049E-3</v>
      </c>
      <c r="S54" s="2"/>
      <c r="T54" s="6">
        <v>66.13</v>
      </c>
      <c r="U54" s="2"/>
      <c r="V54" s="7">
        <f t="shared" si="43"/>
        <v>2.2563558743728743E-3</v>
      </c>
      <c r="W54" s="2"/>
      <c r="X54" s="6">
        <f t="shared" si="44"/>
        <v>-33.069999999999993</v>
      </c>
      <c r="Y54" s="2"/>
      <c r="Z54" s="7">
        <f t="shared" si="45"/>
        <v>-0.50007560864962941</v>
      </c>
    </row>
    <row r="55" spans="1:26" s="24" customFormat="1" hidden="1" outlineLevel="2" x14ac:dyDescent="0.25">
      <c r="A55" s="25"/>
      <c r="B55" s="11" t="str">
        <f>CONCATENATE("          ", "6243", " - ", "PAPER SUPPLIES")</f>
        <v xml:space="preserve">          6243 - PAPER SUPPLIES</v>
      </c>
      <c r="C55" s="11"/>
      <c r="D55" s="6">
        <v>54.64</v>
      </c>
      <c r="E55" s="2"/>
      <c r="F55" s="7">
        <f t="shared" si="38"/>
        <v>0</v>
      </c>
      <c r="G55" s="2"/>
      <c r="H55" s="6">
        <v>505.27</v>
      </c>
      <c r="I55" s="2"/>
      <c r="J55" s="7">
        <f t="shared" si="39"/>
        <v>0</v>
      </c>
      <c r="K55" s="2"/>
      <c r="L55" s="6">
        <f t="shared" si="40"/>
        <v>-450.63</v>
      </c>
      <c r="M55" s="2"/>
      <c r="N55" s="7">
        <f t="shared" si="41"/>
        <v>-0.89185979773190571</v>
      </c>
      <c r="O55" s="11"/>
      <c r="P55" s="6">
        <v>54.64</v>
      </c>
      <c r="Q55" s="2"/>
      <c r="R55" s="7">
        <f t="shared" si="42"/>
        <v>2.7523855435281413E-3</v>
      </c>
      <c r="S55" s="2"/>
      <c r="T55" s="6">
        <v>505.27</v>
      </c>
      <c r="U55" s="2"/>
      <c r="V55" s="7">
        <f t="shared" si="43"/>
        <v>1.7239814496361441E-2</v>
      </c>
      <c r="W55" s="2"/>
      <c r="X55" s="6">
        <f t="shared" si="44"/>
        <v>-450.63</v>
      </c>
      <c r="Y55" s="2"/>
      <c r="Z55" s="7">
        <f t="shared" si="45"/>
        <v>-0.89185979773190571</v>
      </c>
    </row>
    <row r="56" spans="1:26" s="24" customFormat="1" hidden="1" outlineLevel="2" x14ac:dyDescent="0.25">
      <c r="A56" s="25"/>
      <c r="B56" s="11" t="str">
        <f>CONCATENATE("          ", "6247", " - ", "STORE SUPPLIES")</f>
        <v xml:space="preserve">          6247 - STORE SUPPLIES</v>
      </c>
      <c r="C56" s="11"/>
      <c r="D56" s="6">
        <v>540</v>
      </c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540</v>
      </c>
      <c r="M56" s="2"/>
      <c r="N56" s="7">
        <f t="shared" si="41"/>
        <v>0</v>
      </c>
      <c r="O56" s="11"/>
      <c r="P56" s="6">
        <v>644.89</v>
      </c>
      <c r="Q56" s="2"/>
      <c r="R56" s="7">
        <f t="shared" si="42"/>
        <v>3.2485100899814476E-2</v>
      </c>
      <c r="S56" s="2"/>
      <c r="T56" s="6"/>
      <c r="U56" s="2"/>
      <c r="V56" s="7">
        <f t="shared" si="43"/>
        <v>0</v>
      </c>
      <c r="W56" s="2"/>
      <c r="X56" s="6">
        <f t="shared" si="44"/>
        <v>644.89</v>
      </c>
      <c r="Y56" s="2"/>
      <c r="Z56" s="7">
        <f t="shared" si="45"/>
        <v>0</v>
      </c>
    </row>
    <row r="57" spans="1:26" s="26" customFormat="1" outlineLevel="1" collapsed="1" x14ac:dyDescent="0.25">
      <c r="A57" s="27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SUM(OSRRefD22_11x_0)</f>
        <v>214.01</v>
      </c>
      <c r="E57" s="1"/>
      <c r="F57" s="5">
        <f t="shared" ref="F57:F58" si="46">IF(D$12=0,0,D57/D$12)</f>
        <v>0</v>
      </c>
      <c r="G57" s="1"/>
      <c r="H57" s="1">
        <f>SUM(OSRRefH22_11x_0)</f>
        <v>-84.99</v>
      </c>
      <c r="I57" s="1"/>
      <c r="J57" s="5">
        <f t="shared" ref="J57:J58" si="47">IF(H$12=0,0,H57/H$12)</f>
        <v>0</v>
      </c>
      <c r="K57" s="1"/>
      <c r="L57" s="1">
        <f t="shared" ref="L57:L58" si="48">+D57-H57</f>
        <v>299</v>
      </c>
      <c r="M57" s="1"/>
      <c r="N57" s="5">
        <f t="shared" ref="N57:N58" si="49">IF(H57=0,0,L57/H57)</f>
        <v>-3.5180609483468643</v>
      </c>
      <c r="O57" s="13"/>
      <c r="P57" s="1">
        <f>SUM(OSRRefP22_11x_0)</f>
        <v>1498.06</v>
      </c>
      <c r="Q57" s="1"/>
      <c r="R57" s="5">
        <f t="shared" ref="R57:R58" si="50">IF(P$12=0,0,P57/P$12)</f>
        <v>7.5461908626240248E-2</v>
      </c>
      <c r="S57" s="1"/>
      <c r="T57" s="1">
        <f>SUM(OSRRefT22_11x_0)</f>
        <v>1490.07</v>
      </c>
      <c r="U57" s="1"/>
      <c r="V57" s="5">
        <f t="shared" ref="V57:V58" si="51">IF(T$12=0,0,T57/T$12)</f>
        <v>5.0841194582289258E-2</v>
      </c>
      <c r="W57" s="1"/>
      <c r="X57" s="1">
        <f t="shared" ref="X57:X58" si="52">+P57-T57</f>
        <v>7.9900000000000091</v>
      </c>
      <c r="Y57" s="1"/>
      <c r="Z57" s="5">
        <f t="shared" ref="Z57:Z58" si="53">IF(T57=0,0,X57/T57)</f>
        <v>5.3621641936284934E-3</v>
      </c>
    </row>
    <row r="58" spans="1:26" s="24" customFormat="1" hidden="1" outlineLevel="2" x14ac:dyDescent="0.25">
      <c r="A58" s="25"/>
      <c r="B58" s="11" t="str">
        <f>CONCATENATE("          ", "6309", " - ", "TELEPHONE")</f>
        <v xml:space="preserve">          6309 - TELEPHONE</v>
      </c>
      <c r="C58" s="11"/>
      <c r="D58" s="6">
        <v>214.01</v>
      </c>
      <c r="E58" s="2"/>
      <c r="F58" s="7">
        <f t="shared" si="46"/>
        <v>0</v>
      </c>
      <c r="G58" s="2"/>
      <c r="H58" s="6">
        <v>-84.99</v>
      </c>
      <c r="I58" s="2"/>
      <c r="J58" s="7">
        <f t="shared" si="47"/>
        <v>0</v>
      </c>
      <c r="K58" s="2"/>
      <c r="L58" s="6">
        <f t="shared" si="48"/>
        <v>299</v>
      </c>
      <c r="M58" s="2"/>
      <c r="N58" s="7">
        <f t="shared" si="49"/>
        <v>-3.5180609483468643</v>
      </c>
      <c r="O58" s="11"/>
      <c r="P58" s="6">
        <v>1498.06</v>
      </c>
      <c r="Q58" s="2"/>
      <c r="R58" s="7">
        <f t="shared" si="50"/>
        <v>7.5461908626240248E-2</v>
      </c>
      <c r="S58" s="2"/>
      <c r="T58" s="6">
        <v>1490.07</v>
      </c>
      <c r="U58" s="2"/>
      <c r="V58" s="7">
        <f t="shared" si="51"/>
        <v>5.0841194582289258E-2</v>
      </c>
      <c r="W58" s="2"/>
      <c r="X58" s="6">
        <f t="shared" si="52"/>
        <v>7.9900000000000091</v>
      </c>
      <c r="Y58" s="2"/>
      <c r="Z58" s="7">
        <f t="shared" si="53"/>
        <v>5.3621641936284934E-3</v>
      </c>
    </row>
    <row r="59" spans="1:26" s="59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9" t="s">
        <v>0</v>
      </c>
      <c r="C60" s="10"/>
      <c r="D60" s="4">
        <f>SUM(OSRRefD25x_0)</f>
        <v>0</v>
      </c>
      <c r="E60" s="4"/>
      <c r="F60" s="12">
        <f t="shared" ref="F60:F61" si="54">IF(D$12=0,0,D60/D$12)</f>
        <v>0</v>
      </c>
      <c r="G60" s="4"/>
      <c r="H60" s="4">
        <f>SUM(OSRRefH25x_0)</f>
        <v>0</v>
      </c>
      <c r="I60" s="4"/>
      <c r="J60" s="12">
        <f t="shared" ref="J60:J61" si="55">IF(H$12=0,0,H60/H$12)</f>
        <v>0</v>
      </c>
      <c r="K60" s="4"/>
      <c r="L60" s="4">
        <f t="shared" ref="L60:L61" si="56">+D60-H60</f>
        <v>0</v>
      </c>
      <c r="M60" s="4"/>
      <c r="N60" s="12">
        <f t="shared" ref="N60:N61" si="57">IF(H60=0,0,L60/H60)</f>
        <v>0</v>
      </c>
      <c r="O60" s="10"/>
      <c r="P60" s="4">
        <f>SUM(OSRRefP25x_0)</f>
        <v>5494.64</v>
      </c>
      <c r="Q60" s="4"/>
      <c r="R60" s="12">
        <f t="shared" ref="R60:R61" si="58">IF(P$12=0,0,P60/P$12)</f>
        <v>0.27678198577766228</v>
      </c>
      <c r="S60" s="4"/>
      <c r="T60" s="4">
        <f>SUM(OSRRefT25x_0)</f>
        <v>0</v>
      </c>
      <c r="U60" s="4"/>
      <c r="V60" s="12">
        <f t="shared" ref="V60:V61" si="59">IF(T$12=0,0,T60/T$12)</f>
        <v>0</v>
      </c>
      <c r="W60" s="4"/>
      <c r="X60" s="4">
        <f t="shared" ref="X60:X61" si="60">+P60-T60</f>
        <v>5494.64</v>
      </c>
      <c r="Y60" s="4"/>
      <c r="Z60" s="12">
        <f t="shared" ref="Z60:Z61" si="61">IF(T60=0,0,X60/T60)</f>
        <v>0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0</f>
        <v>0</v>
      </c>
      <c r="E61" s="2"/>
      <c r="F61" s="19">
        <f t="shared" si="54"/>
        <v>0</v>
      </c>
      <c r="G61" s="2"/>
      <c r="H61" s="2">
        <f>0</f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>--5494.64</f>
        <v>5494.64</v>
      </c>
      <c r="Q61" s="2"/>
      <c r="R61" s="19">
        <f t="shared" si="58"/>
        <v>0.27678198577766228</v>
      </c>
      <c r="S61" s="2"/>
      <c r="T61" s="2">
        <f>0</f>
        <v>0</v>
      </c>
      <c r="U61" s="2"/>
      <c r="V61" s="19">
        <f t="shared" si="59"/>
        <v>0</v>
      </c>
      <c r="W61" s="2"/>
      <c r="X61" s="2">
        <f t="shared" si="60"/>
        <v>5494.64</v>
      </c>
      <c r="Y61" s="2"/>
      <c r="Z61" s="19">
        <f t="shared" si="61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1">
        <f>+D20-D22+D60</f>
        <v>-2030.96</v>
      </c>
      <c r="E63" s="14"/>
      <c r="F63" s="22">
        <f>IF(D$12=0,0,D63/D$12)</f>
        <v>0</v>
      </c>
      <c r="G63" s="14"/>
      <c r="H63" s="21">
        <f>+H20-H22+H60</f>
        <v>-1599.6199999999992</v>
      </c>
      <c r="I63" s="14"/>
      <c r="J63" s="22">
        <f>IF(H$12=0,0,H63/H$12)</f>
        <v>0</v>
      </c>
      <c r="K63" s="16"/>
      <c r="L63" s="21">
        <f>+D63-H63</f>
        <v>-431.34000000000083</v>
      </c>
      <c r="M63" s="16"/>
      <c r="N63" s="22">
        <f>IF(H63=0,0,L63/H63)</f>
        <v>0.26965154224128296</v>
      </c>
      <c r="O63" s="29"/>
      <c r="P63" s="21">
        <f>+P20-P22+P60</f>
        <v>-6970.0899999999992</v>
      </c>
      <c r="Q63" s="14"/>
      <c r="R63" s="22">
        <f>IF(P$12=0,0,P63/P$12)</f>
        <v>-0.35110495887792936</v>
      </c>
      <c r="S63" s="14"/>
      <c r="T63" s="21">
        <f>+T20-T22+T60</f>
        <v>-1761.1099999999969</v>
      </c>
      <c r="U63" s="14"/>
      <c r="V63" s="22">
        <f>IF(T$12=0,0,T63/T$12)</f>
        <v>-6.0089080506832086E-2</v>
      </c>
      <c r="W63" s="16"/>
      <c r="X63" s="21">
        <f>+P63-T63</f>
        <v>-5208.9800000000023</v>
      </c>
      <c r="Y63" s="16"/>
      <c r="Z63" s="22">
        <f>IF(T63=0,0,X63/T63)</f>
        <v>2.9577823077490963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-73.88</v>
      </c>
      <c r="E65" s="4"/>
      <c r="F65" s="12">
        <f>IF(D$12=0,0,D65/D$12)</f>
        <v>0</v>
      </c>
      <c r="G65" s="4"/>
      <c r="H65" s="4">
        <v>-180.67</v>
      </c>
      <c r="I65" s="4"/>
      <c r="J65" s="12">
        <f>IF(H$12=0,0,H65/H$12)</f>
        <v>0</v>
      </c>
      <c r="K65" s="4"/>
      <c r="L65" s="4">
        <f>+D65-H65</f>
        <v>106.78999999999999</v>
      </c>
      <c r="M65" s="4"/>
      <c r="N65" s="12">
        <f>IF(H65=0,0,L65/H65)</f>
        <v>-0.59107765539381196</v>
      </c>
      <c r="O65" s="10"/>
      <c r="P65" s="4">
        <v>2070.27</v>
      </c>
      <c r="Q65" s="4"/>
      <c r="R65" s="12">
        <f>IF(P$12=0,0,P65/P$12)</f>
        <v>0.10428589346998546</v>
      </c>
      <c r="S65" s="4"/>
      <c r="T65" s="4">
        <v>2982.14</v>
      </c>
      <c r="U65" s="4"/>
      <c r="V65" s="12">
        <f>IF(T$12=0,0,T65/T$12)</f>
        <v>0.1017506291728765</v>
      </c>
      <c r="W65" s="4"/>
      <c r="X65" s="4">
        <f>+P65-T65</f>
        <v>-911.86999999999989</v>
      </c>
      <c r="Y65" s="4"/>
      <c r="Z65" s="12">
        <f>IF(T65=0,0,X65/T65)</f>
        <v>-0.3057770594271228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4">
        <f>+D63-D65</f>
        <v>-1957.08</v>
      </c>
      <c r="E67" s="14"/>
      <c r="F67" s="31">
        <f>IF(D$12=0,0,D67/D$12)</f>
        <v>0</v>
      </c>
      <c r="G67" s="14"/>
      <c r="H67" s="34">
        <f>+H63-H65</f>
        <v>-1418.9499999999991</v>
      </c>
      <c r="I67" s="14"/>
      <c r="J67" s="31">
        <f>IF(H$12=0,0,H67/H$12)</f>
        <v>0</v>
      </c>
      <c r="K67" s="16"/>
      <c r="L67" s="34">
        <f>D67-H67</f>
        <v>-538.13000000000079</v>
      </c>
      <c r="M67" s="16"/>
      <c r="N67" s="31">
        <f>IF(H67=0,0,L67/H67)</f>
        <v>0.37924521653335291</v>
      </c>
      <c r="O67" s="29"/>
      <c r="P67" s="34">
        <f>+P63-P65</f>
        <v>-9040.3599999999988</v>
      </c>
      <c r="Q67" s="14"/>
      <c r="R67" s="31">
        <f>IF(P$12=0,0,P67/P$12)</f>
        <v>-0.45539085234791477</v>
      </c>
      <c r="S67" s="14"/>
      <c r="T67" s="34">
        <f>+T63-T65</f>
        <v>-4743.2499999999964</v>
      </c>
      <c r="U67" s="14"/>
      <c r="V67" s="31">
        <f>IF(T$12=0,0,T67/T$12)</f>
        <v>-0.16183970967970857</v>
      </c>
      <c r="W67" s="16"/>
      <c r="X67" s="34">
        <f>P67-T67</f>
        <v>-4297.1100000000024</v>
      </c>
      <c r="Y67" s="16"/>
      <c r="Z67" s="31">
        <f>IF(T67=0,0,X67/T67)</f>
        <v>0.90594212828756771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0">
        <f>SUM(D67:D69)</f>
        <v>-1957.08</v>
      </c>
      <c r="E70" s="14"/>
      <c r="F70" s="33">
        <f>IF(D$12=0,0,D70/D$12)</f>
        <v>0</v>
      </c>
      <c r="G70" s="14"/>
      <c r="H70" s="30">
        <f>SUM(H67:H69)</f>
        <v>-1418.9499999999991</v>
      </c>
      <c r="I70" s="14"/>
      <c r="J70" s="33">
        <f>IF(H$12=0,0,H70/H$12)</f>
        <v>0</v>
      </c>
      <c r="K70" s="16"/>
      <c r="L70" s="30">
        <f>+D70-H70</f>
        <v>-538.13000000000079</v>
      </c>
      <c r="M70" s="16"/>
      <c r="N70" s="33">
        <f>IF(H70=0,0,L70/H70)</f>
        <v>0.37924521653335291</v>
      </c>
      <c r="O70" s="29"/>
      <c r="P70" s="30">
        <f>SUM(P67:P69)</f>
        <v>-9040.3599999999988</v>
      </c>
      <c r="Q70" s="14"/>
      <c r="R70" s="33">
        <f>IF(P$12=0,0,P70/P$12)</f>
        <v>-0.45539085234791477</v>
      </c>
      <c r="S70" s="14"/>
      <c r="T70" s="30">
        <f>SUM(T67:T69)</f>
        <v>-4743.2499999999964</v>
      </c>
      <c r="U70" s="14"/>
      <c r="V70" s="33">
        <f>IF(T$12=0,0,T70/T$12)</f>
        <v>-0.16183970967970857</v>
      </c>
      <c r="W70" s="16"/>
      <c r="X70" s="30">
        <f>+P70-T70</f>
        <v>-4297.1100000000024</v>
      </c>
      <c r="Y70" s="16"/>
      <c r="Z70" s="33">
        <f>IF(T70=0,0,X70/T70)</f>
        <v>0.90594212828756771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1">
        <v>43879.554304745368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5" t="s">
        <v>313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8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","425", " - ", "Events Center")</f>
        <v>Department 425 - Events Center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86744.7</v>
      </c>
      <c r="E12" s="4"/>
      <c r="F12" s="12"/>
      <c r="G12" s="4"/>
      <c r="H12" s="4">
        <f>SUM(OSRRefH13x_0)</f>
        <v>75984.459999999992</v>
      </c>
      <c r="I12" s="4"/>
      <c r="J12" s="12"/>
      <c r="K12" s="4"/>
      <c r="L12" s="4">
        <f t="shared" ref="L12:L17" si="0">+D12-H12</f>
        <v>10760.240000000005</v>
      </c>
      <c r="M12" s="4"/>
      <c r="N12" s="12">
        <f t="shared" ref="N12:N17" si="1">IF(H12=0,0,L12/H12)</f>
        <v>0.1416110609985253</v>
      </c>
      <c r="O12" s="10"/>
      <c r="P12" s="4">
        <f>SUM(OSRRefP13x_0)</f>
        <v>289154.87</v>
      </c>
      <c r="Q12" s="4"/>
      <c r="R12" s="12"/>
      <c r="S12" s="4"/>
      <c r="T12" s="4">
        <f>SUM(OSRRefT13x_0)</f>
        <v>324515.29000000004</v>
      </c>
      <c r="U12" s="4"/>
      <c r="V12" s="12"/>
      <c r="W12" s="4"/>
      <c r="X12" s="4">
        <f t="shared" ref="X12:X17" si="2">+P12-T12</f>
        <v>-35360.420000000042</v>
      </c>
      <c r="Y12" s="4"/>
      <c r="Z12" s="12">
        <f t="shared" ref="Z12:Z17" si="3">IF(T12=0,0,X12/T12)</f>
        <v>-0.10896380259925514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--77303.26</f>
        <v>77303.259999999995</v>
      </c>
      <c r="E14" s="2"/>
      <c r="F14" s="19"/>
      <c r="G14" s="2"/>
      <c r="H14" s="2">
        <f>--69962.68</f>
        <v>69962.679999999993</v>
      </c>
      <c r="I14" s="2"/>
      <c r="J14" s="19"/>
      <c r="K14" s="2"/>
      <c r="L14" s="2">
        <f t="shared" si="0"/>
        <v>7340.5800000000017</v>
      </c>
      <c r="M14" s="2"/>
      <c r="N14" s="19">
        <f t="shared" si="1"/>
        <v>0.10492136664861898</v>
      </c>
      <c r="O14" s="11"/>
      <c r="P14" s="2">
        <f>--213133.43</f>
        <v>213133.43</v>
      </c>
      <c r="Q14" s="2"/>
      <c r="R14" s="19"/>
      <c r="S14" s="2"/>
      <c r="T14" s="2">
        <f>--253010.75</f>
        <v>253010.75</v>
      </c>
      <c r="U14" s="2"/>
      <c r="V14" s="19"/>
      <c r="W14" s="2"/>
      <c r="X14" s="2">
        <f t="shared" si="2"/>
        <v>-39877.320000000007</v>
      </c>
      <c r="Y14" s="2"/>
      <c r="Z14" s="19">
        <f t="shared" si="3"/>
        <v>-0.15761116869540132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--9441.36</f>
        <v>9441.36</v>
      </c>
      <c r="E15" s="2"/>
      <c r="F15" s="19"/>
      <c r="G15" s="2"/>
      <c r="H15" s="2">
        <f>--6021.78</f>
        <v>6021.78</v>
      </c>
      <c r="I15" s="2"/>
      <c r="J15" s="19"/>
      <c r="K15" s="2"/>
      <c r="L15" s="2">
        <f t="shared" si="0"/>
        <v>3419.5800000000008</v>
      </c>
      <c r="M15" s="2"/>
      <c r="N15" s="19">
        <f t="shared" si="1"/>
        <v>0.56786863684824107</v>
      </c>
      <c r="O15" s="11"/>
      <c r="P15" s="2">
        <f>--76021.36</f>
        <v>76021.36</v>
      </c>
      <c r="Q15" s="2"/>
      <c r="R15" s="19"/>
      <c r="S15" s="2"/>
      <c r="T15" s="2">
        <f>--70270.5</f>
        <v>70270.5</v>
      </c>
      <c r="U15" s="2"/>
      <c r="V15" s="19"/>
      <c r="W15" s="2"/>
      <c r="X15" s="2">
        <f t="shared" si="2"/>
        <v>5750.8600000000006</v>
      </c>
      <c r="Y15" s="2"/>
      <c r="Z15" s="19">
        <f t="shared" si="3"/>
        <v>8.1838893988231201E-2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--0.08</f>
        <v>0.08</v>
      </c>
      <c r="E16" s="2"/>
      <c r="F16" s="19"/>
      <c r="G16" s="2"/>
      <c r="H16" s="2">
        <f t="shared" ref="H16:H17" si="4">0</f>
        <v>0</v>
      </c>
      <c r="I16" s="2"/>
      <c r="J16" s="19"/>
      <c r="K16" s="2"/>
      <c r="L16" s="2">
        <f t="shared" si="0"/>
        <v>0.08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-132.84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24761.41</v>
      </c>
      <c r="E19" s="4"/>
      <c r="F19" s="12">
        <f t="shared" ref="F19:F21" si="5">IF(D$12=0,0,D19/D$12)</f>
        <v>0.28545156072935868</v>
      </c>
      <c r="G19" s="4"/>
      <c r="H19" s="4">
        <f>SUM(OSRRefH16x_0)</f>
        <v>23296.79</v>
      </c>
      <c r="I19" s="4"/>
      <c r="J19" s="12">
        <f t="shared" ref="J19:J21" si="6">IF(H$12=0,0,H19/H$12)</f>
        <v>0.3065994020356268</v>
      </c>
      <c r="K19" s="4"/>
      <c r="L19" s="4">
        <f t="shared" ref="L19:L21" si="7">+D19-H19</f>
        <v>1464.619999999999</v>
      </c>
      <c r="M19" s="4"/>
      <c r="N19" s="12">
        <f t="shared" ref="N19:N21" si="8">IF(H19=0,0,L19/H19)</f>
        <v>6.2867888666206753E-2</v>
      </c>
      <c r="O19" s="10"/>
      <c r="P19" s="4">
        <f>SUM(OSRRefP16x_0)</f>
        <v>72997.58</v>
      </c>
      <c r="Q19" s="4"/>
      <c r="R19" s="12">
        <f t="shared" ref="R19:R21" si="9">IF(P$12=0,0,P19/P$12)</f>
        <v>0.25245149770432712</v>
      </c>
      <c r="S19" s="4"/>
      <c r="T19" s="4">
        <f>SUM(OSRRefT16x_0)</f>
        <v>75681.759999999995</v>
      </c>
      <c r="U19" s="4"/>
      <c r="V19" s="12">
        <f t="shared" ref="V19:V21" si="10">IF(T$12=0,0,T19/T$12)</f>
        <v>0.23321477394793935</v>
      </c>
      <c r="W19" s="4"/>
      <c r="X19" s="4">
        <f t="shared" ref="X19:X21" si="11">+P19-T19</f>
        <v>-2684.179999999993</v>
      </c>
      <c r="Y19" s="4"/>
      <c r="Z19" s="12">
        <f t="shared" ref="Z19:Z21" si="12">IF(T19=0,0,X19/T19)</f>
        <v>-3.5466669908310711E-2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22213.41</v>
      </c>
      <c r="E20" s="2"/>
      <c r="F20" s="19">
        <f t="shared" si="5"/>
        <v>0.25607800822413357</v>
      </c>
      <c r="G20" s="2"/>
      <c r="H20" s="2">
        <v>28143.79</v>
      </c>
      <c r="I20" s="2"/>
      <c r="J20" s="19">
        <f t="shared" si="6"/>
        <v>0.37038876107035573</v>
      </c>
      <c r="K20" s="2"/>
      <c r="L20" s="2">
        <f t="shared" si="7"/>
        <v>-5930.380000000001</v>
      </c>
      <c r="M20" s="2"/>
      <c r="N20" s="19">
        <f t="shared" si="8"/>
        <v>-0.21071717775040252</v>
      </c>
      <c r="O20" s="11"/>
      <c r="P20" s="2">
        <v>86661.58</v>
      </c>
      <c r="Q20" s="2"/>
      <c r="R20" s="19">
        <f t="shared" si="9"/>
        <v>0.29970645142514807</v>
      </c>
      <c r="S20" s="2"/>
      <c r="T20" s="2">
        <v>83551.459999999992</v>
      </c>
      <c r="U20" s="2"/>
      <c r="V20" s="19">
        <f t="shared" si="10"/>
        <v>0.25746540324802564</v>
      </c>
      <c r="W20" s="2"/>
      <c r="X20" s="2">
        <f t="shared" si="11"/>
        <v>3110.1200000000099</v>
      </c>
      <c r="Y20" s="2"/>
      <c r="Z20" s="19">
        <f t="shared" si="12"/>
        <v>3.7224005421329684E-2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2548</v>
      </c>
      <c r="E21" s="2"/>
      <c r="F21" s="19">
        <f t="shared" si="5"/>
        <v>2.9373552505225105E-2</v>
      </c>
      <c r="G21" s="2"/>
      <c r="H21" s="2">
        <v>-4847</v>
      </c>
      <c r="I21" s="2"/>
      <c r="J21" s="19">
        <f t="shared" si="6"/>
        <v>-6.3789359034728946E-2</v>
      </c>
      <c r="K21" s="2"/>
      <c r="L21" s="2">
        <f t="shared" si="7"/>
        <v>7395</v>
      </c>
      <c r="M21" s="2"/>
      <c r="N21" s="19">
        <f t="shared" si="8"/>
        <v>-1.5256859913348464</v>
      </c>
      <c r="O21" s="11"/>
      <c r="P21" s="2">
        <v>-13664</v>
      </c>
      <c r="Q21" s="2"/>
      <c r="R21" s="19">
        <f t="shared" si="9"/>
        <v>-4.7254953720820961E-2</v>
      </c>
      <c r="S21" s="2"/>
      <c r="T21" s="2">
        <v>-7869.7</v>
      </c>
      <c r="U21" s="2"/>
      <c r="V21" s="19">
        <f t="shared" si="10"/>
        <v>-2.4250629300086288E-2</v>
      </c>
      <c r="W21" s="2"/>
      <c r="X21" s="2">
        <f t="shared" si="11"/>
        <v>-5794.3</v>
      </c>
      <c r="Y21" s="2"/>
      <c r="Z21" s="19">
        <f t="shared" si="12"/>
        <v>0.73627965487883917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1">
        <f>D12-D19</f>
        <v>61983.289999999994</v>
      </c>
      <c r="E23" s="14"/>
      <c r="F23" s="22">
        <f>IF(D$12=0,0,D23/D$12)</f>
        <v>0.71454843927064127</v>
      </c>
      <c r="G23" s="14"/>
      <c r="H23" s="21">
        <f>H12-H19</f>
        <v>52687.669999999991</v>
      </c>
      <c r="I23" s="14"/>
      <c r="J23" s="22">
        <f>IF(H$12=0,0,H23/H$12)</f>
        <v>0.69340059796437314</v>
      </c>
      <c r="K23" s="16"/>
      <c r="L23" s="21">
        <f>+D23-H23</f>
        <v>9295.6200000000026</v>
      </c>
      <c r="M23" s="16"/>
      <c r="N23" s="22">
        <f>IF(H23=0,0,L23/H23)</f>
        <v>0.17642875458337795</v>
      </c>
      <c r="O23" s="29"/>
      <c r="P23" s="21">
        <f>P12-P19</f>
        <v>216157.28999999998</v>
      </c>
      <c r="Q23" s="14"/>
      <c r="R23" s="22">
        <f>IF(P$12=0,0,P23/P$12)</f>
        <v>0.74754850229567282</v>
      </c>
      <c r="S23" s="14"/>
      <c r="T23" s="21">
        <f>T12-T19</f>
        <v>248833.53000000003</v>
      </c>
      <c r="U23" s="14"/>
      <c r="V23" s="22">
        <f>IF(T$12=0,0,T23/T$12)</f>
        <v>0.76678522605206056</v>
      </c>
      <c r="W23" s="16"/>
      <c r="X23" s="21">
        <f>+P23-T23</f>
        <v>-32676.240000000049</v>
      </c>
      <c r="Y23" s="16"/>
      <c r="Z23" s="22">
        <f>IF(T23=0,0,X23/T23)</f>
        <v>-0.13131767250177276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0">
        <f>SUM(OSRRefD22x_0)</f>
        <v>56356.98</v>
      </c>
      <c r="E25" s="20"/>
      <c r="F25" s="32">
        <f t="shared" ref="F25:F35" si="13">IF(D$12=0,0,D25/D$12)</f>
        <v>0.64968787718442744</v>
      </c>
      <c r="G25" s="20"/>
      <c r="H25" s="20">
        <f>SUM(OSRRefH22x_0)</f>
        <v>47276.1</v>
      </c>
      <c r="I25" s="20"/>
      <c r="J25" s="32">
        <f t="shared" ref="J25:J35" si="14">IF(H$12=0,0,H25/H$12)</f>
        <v>0.62218116704389292</v>
      </c>
      <c r="K25" s="4"/>
      <c r="L25" s="20">
        <f t="shared" ref="L25:L35" si="15">+D25-H25</f>
        <v>9080.8800000000047</v>
      </c>
      <c r="M25" s="4"/>
      <c r="N25" s="32">
        <f t="shared" ref="N25:N35" si="16">IF(H25=0,0,L25/H25)</f>
        <v>0.19208183416144745</v>
      </c>
      <c r="O25" s="10"/>
      <c r="P25" s="20">
        <f>SUM(OSRRefP22x_0)</f>
        <v>228809.34</v>
      </c>
      <c r="Q25" s="20"/>
      <c r="R25" s="32">
        <f t="shared" ref="R25:R35" si="17">IF(P$12=0,0,P25/P$12)</f>
        <v>0.79130377434071919</v>
      </c>
      <c r="S25" s="20"/>
      <c r="T25" s="20">
        <f>SUM(OSRRefT22x_0)</f>
        <v>204757.34000000003</v>
      </c>
      <c r="U25" s="20"/>
      <c r="V25" s="32">
        <f t="shared" ref="V25:V35" si="18">IF(T$12=0,0,T25/T$12)</f>
        <v>0.63096361345562491</v>
      </c>
      <c r="W25" s="4"/>
      <c r="X25" s="20">
        <f t="shared" ref="X25:X35" si="19">+P25-T25</f>
        <v>24051.999999999971</v>
      </c>
      <c r="Y25" s="4"/>
      <c r="Z25" s="32">
        <f t="shared" ref="Z25:Z35" si="20">IF(T25=0,0,X25/T25)</f>
        <v>0.11746587448342495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4286.6099999999997</v>
      </c>
      <c r="E26" s="1"/>
      <c r="F26" s="5">
        <f t="shared" si="13"/>
        <v>4.941639085730886E-2</v>
      </c>
      <c r="G26" s="1"/>
      <c r="H26" s="1">
        <f>SUM(OSRRefH22_0x_0)</f>
        <v>3035.6700000000005</v>
      </c>
      <c r="I26" s="1"/>
      <c r="J26" s="5">
        <f t="shared" si="14"/>
        <v>3.9951195283877791E-2</v>
      </c>
      <c r="K26" s="1"/>
      <c r="L26" s="1">
        <f t="shared" si="15"/>
        <v>1250.9399999999991</v>
      </c>
      <c r="M26" s="1"/>
      <c r="N26" s="5">
        <f t="shared" si="16"/>
        <v>0.41208036446649304</v>
      </c>
      <c r="O26" s="13"/>
      <c r="P26" s="1">
        <f>SUM(OSRRefP22_0x_0)</f>
        <v>20873.149999999998</v>
      </c>
      <c r="Q26" s="1"/>
      <c r="R26" s="5">
        <f t="shared" si="17"/>
        <v>7.2186748921088548E-2</v>
      </c>
      <c r="S26" s="1"/>
      <c r="T26" s="1">
        <f>SUM(OSRRefT22_0x_0)</f>
        <v>16722.75</v>
      </c>
      <c r="U26" s="1"/>
      <c r="V26" s="5">
        <f t="shared" si="18"/>
        <v>5.1531470212081529E-2</v>
      </c>
      <c r="W26" s="1"/>
      <c r="X26" s="1">
        <f t="shared" si="19"/>
        <v>4150.3999999999978</v>
      </c>
      <c r="Y26" s="1"/>
      <c r="Z26" s="5">
        <f t="shared" si="20"/>
        <v>0.24818884453812906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1016.86</v>
      </c>
      <c r="E27" s="2"/>
      <c r="F27" s="7">
        <f t="shared" si="13"/>
        <v>1.1722445290605652E-2</v>
      </c>
      <c r="G27" s="2"/>
      <c r="H27" s="6">
        <v>758.11</v>
      </c>
      <c r="I27" s="2"/>
      <c r="J27" s="7">
        <f t="shared" si="14"/>
        <v>9.9771716479922362E-3</v>
      </c>
      <c r="K27" s="2"/>
      <c r="L27" s="6">
        <f t="shared" si="15"/>
        <v>258.75</v>
      </c>
      <c r="M27" s="2"/>
      <c r="N27" s="7">
        <f t="shared" si="16"/>
        <v>0.34130930867552201</v>
      </c>
      <c r="O27" s="11"/>
      <c r="P27" s="6">
        <v>5172.04</v>
      </c>
      <c r="Q27" s="2"/>
      <c r="R27" s="7">
        <f t="shared" si="17"/>
        <v>1.7886746987868473E-2</v>
      </c>
      <c r="S27" s="2"/>
      <c r="T27" s="6">
        <v>4997.38</v>
      </c>
      <c r="U27" s="2"/>
      <c r="V27" s="7">
        <f t="shared" si="18"/>
        <v>1.539952092858244E-2</v>
      </c>
      <c r="W27" s="2"/>
      <c r="X27" s="6">
        <f t="shared" si="19"/>
        <v>174.65999999999985</v>
      </c>
      <c r="Y27" s="2"/>
      <c r="Z27" s="7">
        <f t="shared" si="20"/>
        <v>3.4950313964517379E-2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794.26</v>
      </c>
      <c r="E28" s="2"/>
      <c r="F28" s="7">
        <f t="shared" si="13"/>
        <v>9.1562942750392819E-3</v>
      </c>
      <c r="G28" s="2"/>
      <c r="H28" s="6">
        <v>552.86</v>
      </c>
      <c r="I28" s="2"/>
      <c r="J28" s="7">
        <f t="shared" si="14"/>
        <v>7.2759614268496486E-3</v>
      </c>
      <c r="K28" s="2"/>
      <c r="L28" s="6">
        <f t="shared" si="15"/>
        <v>241.39999999999998</v>
      </c>
      <c r="M28" s="2"/>
      <c r="N28" s="7">
        <f t="shared" si="16"/>
        <v>0.43663857034330567</v>
      </c>
      <c r="O28" s="11"/>
      <c r="P28" s="6">
        <v>3240.55</v>
      </c>
      <c r="Q28" s="2"/>
      <c r="R28" s="7">
        <f t="shared" si="17"/>
        <v>1.1206970161007492E-2</v>
      </c>
      <c r="S28" s="2"/>
      <c r="T28" s="6">
        <v>3272.15</v>
      </c>
      <c r="U28" s="2"/>
      <c r="V28" s="7">
        <f t="shared" si="18"/>
        <v>1.008319207393895E-2</v>
      </c>
      <c r="W28" s="2"/>
      <c r="X28" s="6">
        <f t="shared" si="19"/>
        <v>-31.599999999999909</v>
      </c>
      <c r="Y28" s="2"/>
      <c r="Z28" s="7">
        <f t="shared" si="20"/>
        <v>-9.6572589887382633E-3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733.11</v>
      </c>
      <c r="E29" s="2"/>
      <c r="F29" s="7">
        <f t="shared" si="13"/>
        <v>8.4513520710775419E-3</v>
      </c>
      <c r="G29" s="2"/>
      <c r="H29" s="6">
        <v>698.2</v>
      </c>
      <c r="I29" s="2"/>
      <c r="J29" s="7">
        <f t="shared" si="14"/>
        <v>9.1887209568903977E-3</v>
      </c>
      <c r="K29" s="2"/>
      <c r="L29" s="6">
        <f t="shared" si="15"/>
        <v>34.909999999999968</v>
      </c>
      <c r="M29" s="2"/>
      <c r="N29" s="7">
        <f t="shared" si="16"/>
        <v>4.9999999999999954E-2</v>
      </c>
      <c r="O29" s="11"/>
      <c r="P29" s="6">
        <v>4922.3100000000004</v>
      </c>
      <c r="Q29" s="2"/>
      <c r="R29" s="7">
        <f t="shared" si="17"/>
        <v>1.7023092158191908E-2</v>
      </c>
      <c r="S29" s="2"/>
      <c r="T29" s="6">
        <v>7590.55</v>
      </c>
      <c r="U29" s="2"/>
      <c r="V29" s="7">
        <f t="shared" si="18"/>
        <v>2.3390423298698806E-2</v>
      </c>
      <c r="W29" s="2"/>
      <c r="X29" s="6">
        <f t="shared" si="19"/>
        <v>-2668.24</v>
      </c>
      <c r="Y29" s="2"/>
      <c r="Z29" s="7">
        <f t="shared" si="20"/>
        <v>-0.35152129951057559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53.22</v>
      </c>
      <c r="E30" s="2"/>
      <c r="F30" s="7">
        <f t="shared" si="13"/>
        <v>6.1352451504241763E-4</v>
      </c>
      <c r="G30" s="2"/>
      <c r="H30" s="6">
        <v>41.07</v>
      </c>
      <c r="I30" s="2"/>
      <c r="J30" s="7">
        <f t="shared" si="14"/>
        <v>5.4050525594312318E-4</v>
      </c>
      <c r="K30" s="2"/>
      <c r="L30" s="6">
        <f t="shared" si="15"/>
        <v>12.149999999999999</v>
      </c>
      <c r="M30" s="2"/>
      <c r="N30" s="7">
        <f t="shared" si="16"/>
        <v>0.29583637691745795</v>
      </c>
      <c r="O30" s="11"/>
      <c r="P30" s="6">
        <v>290.60000000000002</v>
      </c>
      <c r="Q30" s="2"/>
      <c r="R30" s="7">
        <f t="shared" si="17"/>
        <v>1.0049977716093802E-3</v>
      </c>
      <c r="S30" s="2"/>
      <c r="T30" s="6">
        <v>243.07</v>
      </c>
      <c r="U30" s="2"/>
      <c r="V30" s="7">
        <f t="shared" si="18"/>
        <v>7.4902479941700117E-4</v>
      </c>
      <c r="W30" s="2"/>
      <c r="X30" s="6">
        <f t="shared" si="19"/>
        <v>47.53000000000003</v>
      </c>
      <c r="Y30" s="2"/>
      <c r="Z30" s="7">
        <f t="shared" si="20"/>
        <v>0.19554037931460086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481.48</v>
      </c>
      <c r="E31" s="2"/>
      <c r="F31" s="7">
        <f t="shared" si="13"/>
        <v>5.5505408399590984E-3</v>
      </c>
      <c r="G31" s="2"/>
      <c r="H31" s="6">
        <v>457.89</v>
      </c>
      <c r="I31" s="2"/>
      <c r="J31" s="7">
        <f t="shared" si="14"/>
        <v>6.026100600043746E-3</v>
      </c>
      <c r="K31" s="2"/>
      <c r="L31" s="6">
        <f t="shared" si="15"/>
        <v>23.590000000000032</v>
      </c>
      <c r="M31" s="2"/>
      <c r="N31" s="7">
        <f t="shared" si="16"/>
        <v>5.1518923758981483E-2</v>
      </c>
      <c r="O31" s="11"/>
      <c r="P31" s="6">
        <v>2407.42</v>
      </c>
      <c r="Q31" s="2"/>
      <c r="R31" s="7">
        <f t="shared" si="17"/>
        <v>8.3257114085610942E-3</v>
      </c>
      <c r="S31" s="2"/>
      <c r="T31" s="6">
        <v>2763.98</v>
      </c>
      <c r="U31" s="2"/>
      <c r="V31" s="7">
        <f t="shared" si="18"/>
        <v>8.5172566137022374E-3</v>
      </c>
      <c r="W31" s="2"/>
      <c r="X31" s="6">
        <f t="shared" si="19"/>
        <v>-356.55999999999995</v>
      </c>
      <c r="Y31" s="2"/>
      <c r="Z31" s="7">
        <f t="shared" si="20"/>
        <v>-0.12900238062504069</v>
      </c>
    </row>
    <row r="32" spans="1:26" s="24" customFormat="1" hidden="1" outlineLevel="2" x14ac:dyDescent="0.25">
      <c r="A32" s="25"/>
      <c r="B32" s="11" t="str">
        <f>CONCATENATE("          ", "6117", " - ", "RETIREMENT STAFF HOURLY")</f>
        <v xml:space="preserve">          6117 - RETIREMENT STAFF HOURLY</v>
      </c>
      <c r="C32" s="11"/>
      <c r="D32" s="6">
        <v>109.98</v>
      </c>
      <c r="E32" s="2"/>
      <c r="F32" s="7">
        <f t="shared" si="13"/>
        <v>1.2678584397663489E-3</v>
      </c>
      <c r="G32" s="2"/>
      <c r="H32" s="6"/>
      <c r="I32" s="2"/>
      <c r="J32" s="7">
        <f t="shared" si="14"/>
        <v>0</v>
      </c>
      <c r="K32" s="2"/>
      <c r="L32" s="6">
        <f t="shared" si="15"/>
        <v>109.98</v>
      </c>
      <c r="M32" s="2"/>
      <c r="N32" s="7">
        <f t="shared" si="16"/>
        <v>0</v>
      </c>
      <c r="O32" s="11"/>
      <c r="P32" s="6">
        <v>109.98</v>
      </c>
      <c r="Q32" s="2"/>
      <c r="R32" s="7">
        <f t="shared" si="17"/>
        <v>3.8034981046661953E-4</v>
      </c>
      <c r="S32" s="2"/>
      <c r="T32" s="6"/>
      <c r="U32" s="2"/>
      <c r="V32" s="7">
        <f t="shared" si="18"/>
        <v>0</v>
      </c>
      <c r="W32" s="2"/>
      <c r="X32" s="6">
        <f t="shared" si="19"/>
        <v>109.98</v>
      </c>
      <c r="Y32" s="2"/>
      <c r="Z32" s="7">
        <f t="shared" si="20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340.16</v>
      </c>
      <c r="E33" s="2"/>
      <c r="F33" s="7">
        <f t="shared" si="13"/>
        <v>3.9213923156112135E-3</v>
      </c>
      <c r="G33" s="2"/>
      <c r="H33" s="6">
        <v>171.76</v>
      </c>
      <c r="I33" s="2"/>
      <c r="J33" s="7">
        <f t="shared" si="14"/>
        <v>2.2604622050350822E-3</v>
      </c>
      <c r="K33" s="2"/>
      <c r="L33" s="6">
        <f t="shared" si="15"/>
        <v>168.40000000000003</v>
      </c>
      <c r="M33" s="2"/>
      <c r="N33" s="7">
        <f t="shared" si="16"/>
        <v>0.98043782021425274</v>
      </c>
      <c r="O33" s="11"/>
      <c r="P33" s="6">
        <v>1516.44</v>
      </c>
      <c r="Q33" s="2"/>
      <c r="R33" s="7">
        <f t="shared" si="17"/>
        <v>5.2443868574649985E-3</v>
      </c>
      <c r="S33" s="2"/>
      <c r="T33" s="6">
        <v>1912.87</v>
      </c>
      <c r="U33" s="2"/>
      <c r="V33" s="7">
        <f t="shared" si="18"/>
        <v>5.8945450613436413E-3</v>
      </c>
      <c r="W33" s="2"/>
      <c r="X33" s="6">
        <f t="shared" si="19"/>
        <v>-396.42999999999984</v>
      </c>
      <c r="Y33" s="2"/>
      <c r="Z33" s="7">
        <f t="shared" si="20"/>
        <v>-0.20724356595063953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407.54</v>
      </c>
      <c r="E34" s="2"/>
      <c r="F34" s="7">
        <f t="shared" si="13"/>
        <v>4.6981544693796857E-3</v>
      </c>
      <c r="G34" s="2"/>
      <c r="H34" s="6">
        <v>205.78</v>
      </c>
      <c r="I34" s="2"/>
      <c r="J34" s="7">
        <f t="shared" si="14"/>
        <v>2.7081853315796419E-3</v>
      </c>
      <c r="K34" s="2"/>
      <c r="L34" s="6">
        <f t="shared" si="15"/>
        <v>201.76000000000002</v>
      </c>
      <c r="M34" s="2"/>
      <c r="N34" s="7">
        <f t="shared" si="16"/>
        <v>0.98046457381669749</v>
      </c>
      <c r="O34" s="11"/>
      <c r="P34" s="6">
        <v>1879.12</v>
      </c>
      <c r="Q34" s="2"/>
      <c r="R34" s="7">
        <f t="shared" si="17"/>
        <v>6.4986628100021275E-3</v>
      </c>
      <c r="S34" s="2"/>
      <c r="T34" s="6">
        <v>-4917.5200000000004</v>
      </c>
      <c r="U34" s="2"/>
      <c r="V34" s="7">
        <f t="shared" si="18"/>
        <v>-1.5153430829098992E-2</v>
      </c>
      <c r="W34" s="2"/>
      <c r="X34" s="6">
        <f t="shared" si="19"/>
        <v>6796.64</v>
      </c>
      <c r="Y34" s="2"/>
      <c r="Z34" s="7">
        <f t="shared" si="20"/>
        <v>-1.3821275765019765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350</v>
      </c>
      <c r="E35" s="2"/>
      <c r="F35" s="7">
        <f t="shared" si="13"/>
        <v>4.0348286408276243E-3</v>
      </c>
      <c r="G35" s="2"/>
      <c r="H35" s="6">
        <v>150</v>
      </c>
      <c r="I35" s="2"/>
      <c r="J35" s="7">
        <f t="shared" si="14"/>
        <v>1.9740878595439124E-3</v>
      </c>
      <c r="K35" s="2"/>
      <c r="L35" s="6">
        <f t="shared" si="15"/>
        <v>200</v>
      </c>
      <c r="M35" s="2"/>
      <c r="N35" s="7">
        <f t="shared" si="16"/>
        <v>1.3333333333333333</v>
      </c>
      <c r="O35" s="11"/>
      <c r="P35" s="6">
        <v>1334.69</v>
      </c>
      <c r="Q35" s="2"/>
      <c r="R35" s="7">
        <f t="shared" si="17"/>
        <v>4.615830955916461E-3</v>
      </c>
      <c r="S35" s="2"/>
      <c r="T35" s="6">
        <v>860.27</v>
      </c>
      <c r="U35" s="2"/>
      <c r="V35" s="7">
        <f t="shared" si="18"/>
        <v>2.6509382654974437E-3</v>
      </c>
      <c r="W35" s="2"/>
      <c r="X35" s="6">
        <f t="shared" si="19"/>
        <v>474.42000000000007</v>
      </c>
      <c r="Y35" s="2"/>
      <c r="Z35" s="7">
        <f t="shared" si="20"/>
        <v>0.55147802434119531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29033.409999999996</v>
      </c>
      <c r="E36" s="1"/>
      <c r="F36" s="5">
        <f t="shared" ref="F36:F42" si="21">IF(D$12=0,0,D36/D$12)</f>
        <v>0.33469952631111755</v>
      </c>
      <c r="G36" s="1"/>
      <c r="H36" s="1">
        <f>SUM(OSRRefH22_1x_0)</f>
        <v>23556.31</v>
      </c>
      <c r="I36" s="1"/>
      <c r="J36" s="5">
        <f t="shared" ref="J36:J42" si="22">IF(H$12=0,0,H36/H$12)</f>
        <v>0.31001483724435236</v>
      </c>
      <c r="K36" s="1"/>
      <c r="L36" s="1">
        <f t="shared" ref="L36:L42" si="23">+D36-H36</f>
        <v>5477.0999999999949</v>
      </c>
      <c r="M36" s="1"/>
      <c r="N36" s="5">
        <f t="shared" ref="N36:N42" si="24">IF(H36=0,0,L36/H36)</f>
        <v>0.23251094929553884</v>
      </c>
      <c r="O36" s="13"/>
      <c r="P36" s="1">
        <f>SUM(OSRRefP22_1x_0)</f>
        <v>97680.82</v>
      </c>
      <c r="Q36" s="1"/>
      <c r="R36" s="5">
        <f t="shared" ref="R36:R42" si="25">IF(P$12=0,0,P36/P$12)</f>
        <v>0.33781488791802128</v>
      </c>
      <c r="S36" s="1"/>
      <c r="T36" s="1">
        <f>SUM(OSRRefT22_1x_0)</f>
        <v>93224.66</v>
      </c>
      <c r="U36" s="1"/>
      <c r="V36" s="5">
        <f t="shared" ref="V36:V42" si="26">IF(T$12=0,0,T36/T$12)</f>
        <v>0.28727355188718534</v>
      </c>
      <c r="W36" s="1"/>
      <c r="X36" s="1">
        <f t="shared" ref="X36:X42" si="27">+P36-T36</f>
        <v>4456.1600000000035</v>
      </c>
      <c r="Y36" s="1"/>
      <c r="Z36" s="5">
        <f t="shared" ref="Z36:Z42" si="28">IF(T36=0,0,X36/T36)</f>
        <v>4.7800227965433213E-2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5514.61</v>
      </c>
      <c r="E37" s="2"/>
      <c r="F37" s="7">
        <f t="shared" si="21"/>
        <v>6.3572875345698346E-2</v>
      </c>
      <c r="G37" s="2"/>
      <c r="H37" s="6">
        <v>5576.54</v>
      </c>
      <c r="I37" s="2"/>
      <c r="J37" s="7">
        <f t="shared" si="22"/>
        <v>7.339053274840672E-2</v>
      </c>
      <c r="K37" s="2"/>
      <c r="L37" s="6">
        <f t="shared" si="23"/>
        <v>-61.930000000000291</v>
      </c>
      <c r="M37" s="2"/>
      <c r="N37" s="7">
        <f t="shared" si="24"/>
        <v>-1.1105452484874186E-2</v>
      </c>
      <c r="O37" s="11"/>
      <c r="P37" s="6">
        <v>34695.270000000004</v>
      </c>
      <c r="Q37" s="2"/>
      <c r="R37" s="7">
        <f t="shared" si="25"/>
        <v>0.1199885376303709</v>
      </c>
      <c r="S37" s="2"/>
      <c r="T37" s="6">
        <v>35915.47</v>
      </c>
      <c r="U37" s="2"/>
      <c r="V37" s="7">
        <f t="shared" si="26"/>
        <v>0.11067419966559973</v>
      </c>
      <c r="W37" s="2"/>
      <c r="X37" s="6">
        <f t="shared" si="27"/>
        <v>-1220.1999999999971</v>
      </c>
      <c r="Y37" s="2"/>
      <c r="Z37" s="7">
        <f t="shared" si="28"/>
        <v>-3.3974217795284235E-2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6">
        <v>3021.01</v>
      </c>
      <c r="E38" s="2"/>
      <c r="F38" s="7">
        <f t="shared" si="21"/>
        <v>3.4826450492076173E-2</v>
      </c>
      <c r="G38" s="2"/>
      <c r="H38" s="6"/>
      <c r="I38" s="2"/>
      <c r="J38" s="7">
        <f t="shared" si="22"/>
        <v>0</v>
      </c>
      <c r="K38" s="2"/>
      <c r="L38" s="6">
        <f t="shared" si="23"/>
        <v>3021.01</v>
      </c>
      <c r="M38" s="2"/>
      <c r="N38" s="7">
        <f t="shared" si="24"/>
        <v>0</v>
      </c>
      <c r="O38" s="11"/>
      <c r="P38" s="6">
        <v>3021.01</v>
      </c>
      <c r="Q38" s="2"/>
      <c r="R38" s="7">
        <f t="shared" si="25"/>
        <v>1.0447723048897638E-2</v>
      </c>
      <c r="S38" s="2"/>
      <c r="T38" s="6"/>
      <c r="U38" s="2"/>
      <c r="V38" s="7">
        <f t="shared" si="26"/>
        <v>0</v>
      </c>
      <c r="W38" s="2"/>
      <c r="X38" s="6">
        <f t="shared" si="27"/>
        <v>3021.01</v>
      </c>
      <c r="Y38" s="2"/>
      <c r="Z38" s="7">
        <f t="shared" si="28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6">
        <v>6166.44</v>
      </c>
      <c r="E39" s="2"/>
      <c r="F39" s="7">
        <f t="shared" si="21"/>
        <v>7.1087224925557413E-2</v>
      </c>
      <c r="G39" s="2"/>
      <c r="H39" s="6">
        <v>5639.43</v>
      </c>
      <c r="I39" s="2"/>
      <c r="J39" s="7">
        <f t="shared" si="22"/>
        <v>7.4218201984984841E-2</v>
      </c>
      <c r="K39" s="2"/>
      <c r="L39" s="6">
        <f t="shared" si="23"/>
        <v>527.00999999999931</v>
      </c>
      <c r="M39" s="2"/>
      <c r="N39" s="7">
        <f t="shared" si="24"/>
        <v>9.3450933870976194E-2</v>
      </c>
      <c r="O39" s="11"/>
      <c r="P39" s="6">
        <v>21627.31</v>
      </c>
      <c r="Q39" s="2"/>
      <c r="R39" s="7">
        <f t="shared" si="25"/>
        <v>7.4794901431194993E-2</v>
      </c>
      <c r="S39" s="2"/>
      <c r="T39" s="6">
        <v>22049.47</v>
      </c>
      <c r="U39" s="2"/>
      <c r="V39" s="7">
        <f t="shared" si="26"/>
        <v>6.7945858575723814E-2</v>
      </c>
      <c r="W39" s="2"/>
      <c r="X39" s="6">
        <f t="shared" si="27"/>
        <v>-422.15999999999985</v>
      </c>
      <c r="Y39" s="2"/>
      <c r="Z39" s="7">
        <f t="shared" si="28"/>
        <v>-1.9146038430855699E-2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303.38</v>
      </c>
      <c r="Q40" s="2"/>
      <c r="R40" s="7">
        <f t="shared" si="25"/>
        <v>1.049195540092408E-3</v>
      </c>
      <c r="S40" s="2"/>
      <c r="T40" s="6"/>
      <c r="U40" s="2"/>
      <c r="V40" s="7">
        <f t="shared" si="26"/>
        <v>0</v>
      </c>
      <c r="W40" s="2"/>
      <c r="X40" s="6">
        <f t="shared" si="27"/>
        <v>303.38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6">
        <v>13577.35</v>
      </c>
      <c r="E41" s="2"/>
      <c r="F41" s="7">
        <f t="shared" si="21"/>
        <v>0.15652080184725983</v>
      </c>
      <c r="G41" s="2"/>
      <c r="H41" s="6">
        <v>12151.34</v>
      </c>
      <c r="I41" s="2"/>
      <c r="J41" s="7">
        <f t="shared" si="22"/>
        <v>0.15991875180793549</v>
      </c>
      <c r="K41" s="2"/>
      <c r="L41" s="6">
        <f t="shared" si="23"/>
        <v>1426.0100000000002</v>
      </c>
      <c r="M41" s="2"/>
      <c r="N41" s="7">
        <f t="shared" si="24"/>
        <v>0.11735413542868525</v>
      </c>
      <c r="O41" s="11"/>
      <c r="P41" s="6">
        <v>34084.85</v>
      </c>
      <c r="Q41" s="2"/>
      <c r="R41" s="7">
        <f t="shared" si="25"/>
        <v>0.11787748897329656</v>
      </c>
      <c r="S41" s="2"/>
      <c r="T41" s="6">
        <v>34986.720000000001</v>
      </c>
      <c r="U41" s="2"/>
      <c r="V41" s="7">
        <f t="shared" si="26"/>
        <v>0.10781223898571927</v>
      </c>
      <c r="W41" s="2"/>
      <c r="X41" s="6">
        <f t="shared" si="27"/>
        <v>-901.87000000000262</v>
      </c>
      <c r="Y41" s="2"/>
      <c r="Z41" s="7">
        <f t="shared" si="28"/>
        <v>-2.5777495003818665E-2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6">
        <v>754</v>
      </c>
      <c r="E42" s="2"/>
      <c r="F42" s="7">
        <f t="shared" si="21"/>
        <v>8.6921737005257963E-3</v>
      </c>
      <c r="G42" s="2"/>
      <c r="H42" s="6">
        <v>189</v>
      </c>
      <c r="I42" s="2"/>
      <c r="J42" s="7">
        <f t="shared" si="22"/>
        <v>2.4873507030253295E-3</v>
      </c>
      <c r="K42" s="2"/>
      <c r="L42" s="6">
        <f t="shared" si="23"/>
        <v>565</v>
      </c>
      <c r="M42" s="2"/>
      <c r="N42" s="7">
        <f t="shared" si="24"/>
        <v>2.9894179894179893</v>
      </c>
      <c r="O42" s="11"/>
      <c r="P42" s="6">
        <v>3949</v>
      </c>
      <c r="Q42" s="2"/>
      <c r="R42" s="7">
        <f t="shared" si="25"/>
        <v>1.3657041294168762E-2</v>
      </c>
      <c r="S42" s="2"/>
      <c r="T42" s="6">
        <v>273</v>
      </c>
      <c r="U42" s="2"/>
      <c r="V42" s="7">
        <f t="shared" si="26"/>
        <v>8.4125466014251579E-4</v>
      </c>
      <c r="W42" s="2"/>
      <c r="X42" s="6">
        <f t="shared" si="27"/>
        <v>3676</v>
      </c>
      <c r="Y42" s="2"/>
      <c r="Z42" s="7">
        <f t="shared" si="28"/>
        <v>13.465201465201465</v>
      </c>
    </row>
    <row r="43" spans="1:26" s="26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91.97</v>
      </c>
      <c r="E43" s="1"/>
      <c r="F43" s="5">
        <f t="shared" ref="F43:F60" si="29">IF(D$12=0,0,D43/D$12)</f>
        <v>1.0602376859911902E-3</v>
      </c>
      <c r="G43" s="1"/>
      <c r="H43" s="1">
        <f>SUM(OSRRefH22_2x_0)</f>
        <v>602.66999999999996</v>
      </c>
      <c r="I43" s="1"/>
      <c r="J43" s="5">
        <f t="shared" ref="J43:J60" si="30">IF(H$12=0,0,H43/H$12)</f>
        <v>7.9314902020755293E-3</v>
      </c>
      <c r="K43" s="1"/>
      <c r="L43" s="1">
        <f t="shared" ref="L43:L60" si="31">+D43-H43</f>
        <v>-510.69999999999993</v>
      </c>
      <c r="M43" s="1"/>
      <c r="N43" s="5">
        <f t="shared" ref="N43:N60" si="32">IF(H43=0,0,L43/H43)</f>
        <v>-0.84739575555444935</v>
      </c>
      <c r="O43" s="13"/>
      <c r="P43" s="1">
        <f>SUM(OSRRefP22_2x_0)</f>
        <v>1868.45</v>
      </c>
      <c r="Q43" s="1"/>
      <c r="R43" s="5">
        <f t="shared" ref="R43:R60" si="33">IF(P$12=0,0,P43/P$12)</f>
        <v>6.4617621691794441E-3</v>
      </c>
      <c r="S43" s="1"/>
      <c r="T43" s="1">
        <f>SUM(OSRRefT22_2x_0)</f>
        <v>1419.44</v>
      </c>
      <c r="U43" s="1"/>
      <c r="V43" s="5">
        <f t="shared" ref="V43:V60" si="34">IF(T$12=0,0,T43/T$12)</f>
        <v>4.3740311897168234E-3</v>
      </c>
      <c r="W43" s="1"/>
      <c r="X43" s="1">
        <f t="shared" ref="X43:X60" si="35">+P43-T43</f>
        <v>449.01</v>
      </c>
      <c r="Y43" s="1"/>
      <c r="Z43" s="5">
        <f t="shared" ref="Z43:Z60" si="36">IF(T43=0,0,X43/T43)</f>
        <v>0.31632897480696609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6">
        <v>91.97</v>
      </c>
      <c r="E44" s="2"/>
      <c r="F44" s="7">
        <f t="shared" si="29"/>
        <v>1.0602376859911902E-3</v>
      </c>
      <c r="G44" s="2"/>
      <c r="H44" s="6">
        <v>602.66999999999996</v>
      </c>
      <c r="I44" s="2"/>
      <c r="J44" s="7">
        <f t="shared" si="30"/>
        <v>7.9314902020755293E-3</v>
      </c>
      <c r="K44" s="2"/>
      <c r="L44" s="6">
        <f t="shared" si="31"/>
        <v>-510.69999999999993</v>
      </c>
      <c r="M44" s="2"/>
      <c r="N44" s="7">
        <f t="shared" si="32"/>
        <v>-0.84739575555444935</v>
      </c>
      <c r="O44" s="11"/>
      <c r="P44" s="6">
        <v>1868.45</v>
      </c>
      <c r="Q44" s="2"/>
      <c r="R44" s="7">
        <f t="shared" si="33"/>
        <v>6.4617621691794441E-3</v>
      </c>
      <c r="S44" s="2"/>
      <c r="T44" s="6">
        <v>1419.44</v>
      </c>
      <c r="U44" s="2"/>
      <c r="V44" s="7">
        <f t="shared" si="34"/>
        <v>4.3740311897168234E-3</v>
      </c>
      <c r="W44" s="2"/>
      <c r="X44" s="6">
        <f t="shared" si="35"/>
        <v>449.01</v>
      </c>
      <c r="Y44" s="2"/>
      <c r="Z44" s="7">
        <f t="shared" si="36"/>
        <v>0.31632897480696609</v>
      </c>
    </row>
    <row r="45" spans="1:26" s="26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-180.04</v>
      </c>
      <c r="E45" s="1"/>
      <c r="F45" s="5">
        <f t="shared" si="29"/>
        <v>-2.07551585284173E-3</v>
      </c>
      <c r="G45" s="1"/>
      <c r="H45" s="1">
        <f>SUM(OSRRefH22_3x_0)</f>
        <v>-24.77</v>
      </c>
      <c r="I45" s="1"/>
      <c r="J45" s="5">
        <f t="shared" si="30"/>
        <v>-3.2598770853935134E-4</v>
      </c>
      <c r="K45" s="1"/>
      <c r="L45" s="1">
        <f t="shared" si="31"/>
        <v>-155.26999999999998</v>
      </c>
      <c r="M45" s="1"/>
      <c r="N45" s="5">
        <f t="shared" si="32"/>
        <v>6.2684699232943073</v>
      </c>
      <c r="O45" s="13"/>
      <c r="P45" s="1">
        <f>SUM(OSRRefP22_3x_0)</f>
        <v>-180.11</v>
      </c>
      <c r="Q45" s="1"/>
      <c r="R45" s="5">
        <f t="shared" si="33"/>
        <v>-6.2288420042864924E-4</v>
      </c>
      <c r="S45" s="1"/>
      <c r="T45" s="1">
        <f>SUM(OSRRefT22_3x_0)</f>
        <v>-677.19</v>
      </c>
      <c r="U45" s="1"/>
      <c r="V45" s="5">
        <f t="shared" si="34"/>
        <v>-2.0867737849886827E-3</v>
      </c>
      <c r="W45" s="1"/>
      <c r="X45" s="1">
        <f t="shared" si="35"/>
        <v>497.08000000000004</v>
      </c>
      <c r="Y45" s="1"/>
      <c r="Z45" s="5">
        <f t="shared" si="36"/>
        <v>-0.7340332846025488</v>
      </c>
    </row>
    <row r="46" spans="1:26" s="24" customFormat="1" hidden="1" outlineLevel="2" x14ac:dyDescent="0.25">
      <c r="A46" s="25"/>
      <c r="B46" s="11" t="str">
        <f>CONCATENATE("          ", "6272", " - ", "CASH (OVER/SHORT)")</f>
        <v xml:space="preserve">          6272 - CASH (OVER/SHORT)</v>
      </c>
      <c r="C46" s="11"/>
      <c r="D46" s="6">
        <v>-180.04</v>
      </c>
      <c r="E46" s="2"/>
      <c r="F46" s="7">
        <f t="shared" si="29"/>
        <v>-2.07551585284173E-3</v>
      </c>
      <c r="G46" s="2"/>
      <c r="H46" s="6">
        <v>-24.77</v>
      </c>
      <c r="I46" s="2"/>
      <c r="J46" s="7">
        <f t="shared" si="30"/>
        <v>-3.2598770853935134E-4</v>
      </c>
      <c r="K46" s="2"/>
      <c r="L46" s="6">
        <f t="shared" si="31"/>
        <v>-155.26999999999998</v>
      </c>
      <c r="M46" s="2"/>
      <c r="N46" s="7">
        <f t="shared" si="32"/>
        <v>6.2684699232943073</v>
      </c>
      <c r="O46" s="11"/>
      <c r="P46" s="6">
        <v>-180.11</v>
      </c>
      <c r="Q46" s="2"/>
      <c r="R46" s="7">
        <f t="shared" si="33"/>
        <v>-6.2288420042864924E-4</v>
      </c>
      <c r="S46" s="2"/>
      <c r="T46" s="6">
        <v>-677.19</v>
      </c>
      <c r="U46" s="2"/>
      <c r="V46" s="7">
        <f t="shared" si="34"/>
        <v>-2.0867737849886827E-3</v>
      </c>
      <c r="W46" s="2"/>
      <c r="X46" s="6">
        <f t="shared" si="35"/>
        <v>497.08000000000004</v>
      </c>
      <c r="Y46" s="2"/>
      <c r="Z46" s="7">
        <f t="shared" si="36"/>
        <v>-0.7340332846025488</v>
      </c>
    </row>
    <row r="47" spans="1:26" s="26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1336.3</v>
      </c>
      <c r="E47" s="1"/>
      <c r="F47" s="5">
        <f t="shared" si="29"/>
        <v>1.5404975750679869E-2</v>
      </c>
      <c r="G47" s="1"/>
      <c r="H47" s="1">
        <f>SUM(OSRRefH22_4x_0)</f>
        <v>1293.69</v>
      </c>
      <c r="I47" s="1"/>
      <c r="J47" s="5">
        <f t="shared" si="30"/>
        <v>1.7025718153422426E-2</v>
      </c>
      <c r="K47" s="1"/>
      <c r="L47" s="1">
        <f t="shared" si="31"/>
        <v>42.6099999999999</v>
      </c>
      <c r="M47" s="1"/>
      <c r="N47" s="5">
        <f t="shared" si="32"/>
        <v>3.293679320393595E-2</v>
      </c>
      <c r="O47" s="13"/>
      <c r="P47" s="1">
        <f>SUM(OSRRefP22_4x_0)</f>
        <v>6127.13</v>
      </c>
      <c r="Q47" s="1"/>
      <c r="R47" s="5">
        <f t="shared" si="33"/>
        <v>2.1189786635791401E-2</v>
      </c>
      <c r="S47" s="1"/>
      <c r="T47" s="1">
        <f>SUM(OSRRefT22_4x_0)</f>
        <v>6523.85</v>
      </c>
      <c r="U47" s="1"/>
      <c r="V47" s="5">
        <f t="shared" si="34"/>
        <v>2.0103367086339752E-2</v>
      </c>
      <c r="W47" s="1"/>
      <c r="X47" s="1">
        <f t="shared" si="35"/>
        <v>-396.72000000000025</v>
      </c>
      <c r="Y47" s="1"/>
      <c r="Z47" s="5">
        <f t="shared" si="36"/>
        <v>-6.0810717597737568E-2</v>
      </c>
    </row>
    <row r="48" spans="1:26" s="24" customFormat="1" hidden="1" outlineLevel="2" x14ac:dyDescent="0.25">
      <c r="A48" s="25"/>
      <c r="B48" s="11" t="str">
        <f>CONCATENATE("          ", "6381", " - ", "BANK/CREDIT CARD FEES")</f>
        <v xml:space="preserve">          6381 - BANK/CREDIT CARD FEES</v>
      </c>
      <c r="C48" s="11"/>
      <c r="D48" s="6">
        <v>1336.3</v>
      </c>
      <c r="E48" s="2"/>
      <c r="F48" s="7">
        <f t="shared" si="29"/>
        <v>1.5404975750679869E-2</v>
      </c>
      <c r="G48" s="2"/>
      <c r="H48" s="6">
        <v>1293.69</v>
      </c>
      <c r="I48" s="2"/>
      <c r="J48" s="7">
        <f t="shared" si="30"/>
        <v>1.7025718153422426E-2</v>
      </c>
      <c r="K48" s="2"/>
      <c r="L48" s="6">
        <f t="shared" si="31"/>
        <v>42.6099999999999</v>
      </c>
      <c r="M48" s="2"/>
      <c r="N48" s="7">
        <f t="shared" si="32"/>
        <v>3.293679320393595E-2</v>
      </c>
      <c r="O48" s="11"/>
      <c r="P48" s="6">
        <v>6127.13</v>
      </c>
      <c r="Q48" s="2"/>
      <c r="R48" s="7">
        <f t="shared" si="33"/>
        <v>2.1189786635791401E-2</v>
      </c>
      <c r="S48" s="2"/>
      <c r="T48" s="6">
        <v>6523.85</v>
      </c>
      <c r="U48" s="2"/>
      <c r="V48" s="7">
        <f t="shared" si="34"/>
        <v>2.0103367086339752E-2</v>
      </c>
      <c r="W48" s="2"/>
      <c r="X48" s="6">
        <f t="shared" si="35"/>
        <v>-396.72000000000025</v>
      </c>
      <c r="Y48" s="2"/>
      <c r="Z48" s="7">
        <f t="shared" si="36"/>
        <v>-6.0810717597737568E-2</v>
      </c>
    </row>
    <row r="49" spans="1:26" s="26" customFormat="1" outlineLevel="1" collapsed="1" x14ac:dyDescent="0.25">
      <c r="A49" s="27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255.35</v>
      </c>
      <c r="E49" s="1"/>
      <c r="F49" s="5">
        <f t="shared" si="29"/>
        <v>2.9436956955295251E-3</v>
      </c>
      <c r="G49" s="1"/>
      <c r="H49" s="1">
        <f>SUM(OSRRefH22_5x_0)</f>
        <v>0</v>
      </c>
      <c r="I49" s="1"/>
      <c r="J49" s="5">
        <f t="shared" si="30"/>
        <v>0</v>
      </c>
      <c r="K49" s="1"/>
      <c r="L49" s="1">
        <f t="shared" si="31"/>
        <v>255.35</v>
      </c>
      <c r="M49" s="1"/>
      <c r="N49" s="5">
        <f t="shared" si="32"/>
        <v>0</v>
      </c>
      <c r="O49" s="13"/>
      <c r="P49" s="1">
        <f>SUM(OSRRefP22_5x_0)</f>
        <v>1787.45</v>
      </c>
      <c r="Q49" s="1"/>
      <c r="R49" s="5">
        <f t="shared" si="33"/>
        <v>6.1816354675264503E-3</v>
      </c>
      <c r="S49" s="1"/>
      <c r="T49" s="1">
        <f>SUM(OSRRefT22_5x_0)</f>
        <v>0</v>
      </c>
      <c r="U49" s="1"/>
      <c r="V49" s="5">
        <f t="shared" si="34"/>
        <v>0</v>
      </c>
      <c r="W49" s="1"/>
      <c r="X49" s="1">
        <f t="shared" si="35"/>
        <v>1787.45</v>
      </c>
      <c r="Y49" s="1"/>
      <c r="Z49" s="5">
        <f t="shared" si="36"/>
        <v>0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255.35</v>
      </c>
      <c r="E50" s="2"/>
      <c r="F50" s="7">
        <f t="shared" si="29"/>
        <v>2.9436956955295251E-3</v>
      </c>
      <c r="G50" s="2"/>
      <c r="H50" s="6"/>
      <c r="I50" s="2"/>
      <c r="J50" s="7">
        <f t="shared" si="30"/>
        <v>0</v>
      </c>
      <c r="K50" s="2"/>
      <c r="L50" s="6">
        <f t="shared" si="31"/>
        <v>255.35</v>
      </c>
      <c r="M50" s="2"/>
      <c r="N50" s="7">
        <f t="shared" si="32"/>
        <v>0</v>
      </c>
      <c r="O50" s="11"/>
      <c r="P50" s="6">
        <v>1787.45</v>
      </c>
      <c r="Q50" s="2"/>
      <c r="R50" s="7">
        <f t="shared" si="33"/>
        <v>6.1816354675264503E-3</v>
      </c>
      <c r="S50" s="2"/>
      <c r="T50" s="6"/>
      <c r="U50" s="2"/>
      <c r="V50" s="7">
        <f t="shared" si="34"/>
        <v>0</v>
      </c>
      <c r="W50" s="2"/>
      <c r="X50" s="6">
        <f t="shared" si="35"/>
        <v>1787.45</v>
      </c>
      <c r="Y50" s="2"/>
      <c r="Z50" s="7">
        <f t="shared" si="36"/>
        <v>0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29"/>
        <v>0</v>
      </c>
      <c r="G51" s="1"/>
      <c r="H51" s="1">
        <f>SUM(OSRRefH22_6x_0)</f>
        <v>47</v>
      </c>
      <c r="I51" s="1"/>
      <c r="J51" s="5">
        <f t="shared" si="30"/>
        <v>6.1854752932375919E-4</v>
      </c>
      <c r="K51" s="1"/>
      <c r="L51" s="1">
        <f t="shared" si="31"/>
        <v>-47</v>
      </c>
      <c r="M51" s="1"/>
      <c r="N51" s="5">
        <f t="shared" si="32"/>
        <v>-1</v>
      </c>
      <c r="O51" s="13"/>
      <c r="P51" s="1">
        <f>SUM(OSRRefP22_6x_0)</f>
        <v>118.6</v>
      </c>
      <c r="Q51" s="1"/>
      <c r="R51" s="5">
        <f t="shared" si="33"/>
        <v>4.101608248894442E-4</v>
      </c>
      <c r="S51" s="1"/>
      <c r="T51" s="1">
        <f>SUM(OSRRefT22_6x_0)</f>
        <v>47</v>
      </c>
      <c r="U51" s="1"/>
      <c r="V51" s="5">
        <f t="shared" si="34"/>
        <v>1.4483138837618405E-4</v>
      </c>
      <c r="W51" s="1"/>
      <c r="X51" s="1">
        <f t="shared" si="35"/>
        <v>71.599999999999994</v>
      </c>
      <c r="Y51" s="1"/>
      <c r="Z51" s="5">
        <f t="shared" si="36"/>
        <v>1.5234042553191489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>
        <v>47</v>
      </c>
      <c r="I52" s="2"/>
      <c r="J52" s="7">
        <f t="shared" si="30"/>
        <v>6.1854752932375919E-4</v>
      </c>
      <c r="K52" s="2"/>
      <c r="L52" s="6">
        <f t="shared" si="31"/>
        <v>-47</v>
      </c>
      <c r="M52" s="2"/>
      <c r="N52" s="7">
        <f t="shared" si="32"/>
        <v>-1</v>
      </c>
      <c r="O52" s="11"/>
      <c r="P52" s="6">
        <v>118.6</v>
      </c>
      <c r="Q52" s="2"/>
      <c r="R52" s="7">
        <f t="shared" si="33"/>
        <v>4.101608248894442E-4</v>
      </c>
      <c r="S52" s="2"/>
      <c r="T52" s="6">
        <v>47</v>
      </c>
      <c r="U52" s="2"/>
      <c r="V52" s="7">
        <f t="shared" si="34"/>
        <v>1.4483138837618405E-4</v>
      </c>
      <c r="W52" s="2"/>
      <c r="X52" s="6">
        <f t="shared" si="35"/>
        <v>71.599999999999994</v>
      </c>
      <c r="Y52" s="2"/>
      <c r="Z52" s="7">
        <f t="shared" si="36"/>
        <v>1.5234042553191489</v>
      </c>
    </row>
    <row r="53" spans="1:26" s="26" customFormat="1" outlineLevel="1" collapsed="1" x14ac:dyDescent="0.25">
      <c r="A53" s="27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SUM(OSRRefD22_7x_0)</f>
        <v>0</v>
      </c>
      <c r="E53" s="1"/>
      <c r="F53" s="5">
        <f t="shared" si="29"/>
        <v>0</v>
      </c>
      <c r="G53" s="1"/>
      <c r="H53" s="1">
        <f>SUM(OSRRefH22_7x_0)</f>
        <v>160</v>
      </c>
      <c r="I53" s="1"/>
      <c r="J53" s="5">
        <f t="shared" si="30"/>
        <v>2.1056937168468398E-3</v>
      </c>
      <c r="K53" s="1"/>
      <c r="L53" s="1">
        <f t="shared" si="31"/>
        <v>-160</v>
      </c>
      <c r="M53" s="1"/>
      <c r="N53" s="5">
        <f t="shared" si="32"/>
        <v>-1</v>
      </c>
      <c r="O53" s="13"/>
      <c r="P53" s="1">
        <f>SUM(OSRRefP22_7x_0)</f>
        <v>350</v>
      </c>
      <c r="Q53" s="1"/>
      <c r="R53" s="5">
        <f t="shared" si="33"/>
        <v>1.2104240194882418E-3</v>
      </c>
      <c r="S53" s="1"/>
      <c r="T53" s="1">
        <f>SUM(OSRRefT22_7x_0)</f>
        <v>160</v>
      </c>
      <c r="U53" s="1"/>
      <c r="V53" s="5">
        <f t="shared" si="34"/>
        <v>4.9304302425934993E-4</v>
      </c>
      <c r="W53" s="1"/>
      <c r="X53" s="1">
        <f t="shared" si="35"/>
        <v>190</v>
      </c>
      <c r="Y53" s="1"/>
      <c r="Z53" s="5">
        <f t="shared" si="36"/>
        <v>1.1875</v>
      </c>
    </row>
    <row r="54" spans="1:26" s="24" customFormat="1" hidden="1" outlineLevel="2" x14ac:dyDescent="0.25">
      <c r="A54" s="25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29"/>
        <v>0</v>
      </c>
      <c r="G54" s="2"/>
      <c r="H54" s="6">
        <v>160</v>
      </c>
      <c r="I54" s="2"/>
      <c r="J54" s="7">
        <f t="shared" si="30"/>
        <v>2.1056937168468398E-3</v>
      </c>
      <c r="K54" s="2"/>
      <c r="L54" s="6">
        <f t="shared" si="31"/>
        <v>-160</v>
      </c>
      <c r="M54" s="2"/>
      <c r="N54" s="7">
        <f t="shared" si="32"/>
        <v>-1</v>
      </c>
      <c r="O54" s="11"/>
      <c r="P54" s="6">
        <v>350</v>
      </c>
      <c r="Q54" s="2"/>
      <c r="R54" s="7">
        <f t="shared" si="33"/>
        <v>1.2104240194882418E-3</v>
      </c>
      <c r="S54" s="2"/>
      <c r="T54" s="6">
        <v>160</v>
      </c>
      <c r="U54" s="2"/>
      <c r="V54" s="7">
        <f t="shared" si="34"/>
        <v>4.9304302425934993E-4</v>
      </c>
      <c r="W54" s="2"/>
      <c r="X54" s="6">
        <f t="shared" si="35"/>
        <v>190</v>
      </c>
      <c r="Y54" s="2"/>
      <c r="Z54" s="7">
        <f t="shared" si="36"/>
        <v>1.1875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2406.8000000000002</v>
      </c>
      <c r="E55" s="1"/>
      <c r="F55" s="5">
        <f t="shared" si="29"/>
        <v>2.7745787350696934E-2</v>
      </c>
      <c r="G55" s="1"/>
      <c r="H55" s="1">
        <f>SUM(OSRRefH22_8x_0)</f>
        <v>335</v>
      </c>
      <c r="I55" s="1"/>
      <c r="J55" s="5">
        <f t="shared" si="30"/>
        <v>4.408796219648071E-3</v>
      </c>
      <c r="K55" s="1"/>
      <c r="L55" s="1">
        <f t="shared" si="31"/>
        <v>2071.8000000000002</v>
      </c>
      <c r="M55" s="1"/>
      <c r="N55" s="5">
        <f t="shared" si="32"/>
        <v>6.1844776119402987</v>
      </c>
      <c r="O55" s="13"/>
      <c r="P55" s="1">
        <f>SUM(OSRRefP22_8x_0)</f>
        <v>14920.24</v>
      </c>
      <c r="Q55" s="1"/>
      <c r="R55" s="5">
        <f t="shared" si="33"/>
        <v>5.1599476778654979E-2</v>
      </c>
      <c r="S55" s="1"/>
      <c r="T55" s="1">
        <f>SUM(OSRRefT22_8x_0)</f>
        <v>3663.98</v>
      </c>
      <c r="U55" s="1"/>
      <c r="V55" s="5">
        <f t="shared" si="34"/>
        <v>1.1290623625161081E-2</v>
      </c>
      <c r="W55" s="1"/>
      <c r="X55" s="1">
        <f t="shared" si="35"/>
        <v>11256.26</v>
      </c>
      <c r="Y55" s="1"/>
      <c r="Z55" s="5">
        <f t="shared" si="36"/>
        <v>3.0721401317692782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>
        <v>2406.8000000000002</v>
      </c>
      <c r="E56" s="2"/>
      <c r="F56" s="7">
        <f t="shared" si="29"/>
        <v>2.7745787350696934E-2</v>
      </c>
      <c r="G56" s="2"/>
      <c r="H56" s="6">
        <v>335</v>
      </c>
      <c r="I56" s="2"/>
      <c r="J56" s="7">
        <f t="shared" si="30"/>
        <v>4.408796219648071E-3</v>
      </c>
      <c r="K56" s="2"/>
      <c r="L56" s="6">
        <f t="shared" si="31"/>
        <v>2071.8000000000002</v>
      </c>
      <c r="M56" s="2"/>
      <c r="N56" s="7">
        <f t="shared" si="32"/>
        <v>6.1844776119402987</v>
      </c>
      <c r="O56" s="11"/>
      <c r="P56" s="6">
        <v>14920.24</v>
      </c>
      <c r="Q56" s="2"/>
      <c r="R56" s="7">
        <f t="shared" si="33"/>
        <v>5.1599476778654979E-2</v>
      </c>
      <c r="S56" s="2"/>
      <c r="T56" s="6">
        <v>3663.98</v>
      </c>
      <c r="U56" s="2"/>
      <c r="V56" s="7">
        <f t="shared" si="34"/>
        <v>1.1290623625161081E-2</v>
      </c>
      <c r="W56" s="2"/>
      <c r="X56" s="6">
        <f t="shared" si="35"/>
        <v>11256.26</v>
      </c>
      <c r="Y56" s="2"/>
      <c r="Z56" s="7">
        <f t="shared" si="36"/>
        <v>3.0721401317692782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29"/>
        <v>0</v>
      </c>
      <c r="G57" s="1"/>
      <c r="H57" s="1">
        <f>SUM(OSRRefH22_9x_0)</f>
        <v>318.58999999999997</v>
      </c>
      <c r="I57" s="1"/>
      <c r="J57" s="5">
        <f t="shared" si="30"/>
        <v>4.1928310078139666E-3</v>
      </c>
      <c r="K57" s="1"/>
      <c r="L57" s="1">
        <f t="shared" si="31"/>
        <v>-318.58999999999997</v>
      </c>
      <c r="M57" s="1"/>
      <c r="N57" s="5">
        <f t="shared" si="32"/>
        <v>-1</v>
      </c>
      <c r="O57" s="13"/>
      <c r="P57" s="1">
        <f>SUM(OSRRefP22_9x_0)</f>
        <v>5381.05</v>
      </c>
      <c r="Q57" s="1"/>
      <c r="R57" s="5">
        <f t="shared" si="33"/>
        <v>1.8609577628763439E-2</v>
      </c>
      <c r="S57" s="1"/>
      <c r="T57" s="1">
        <f>SUM(OSRRefT22_9x_0)</f>
        <v>3000.35</v>
      </c>
      <c r="U57" s="1"/>
      <c r="V57" s="5">
        <f t="shared" si="34"/>
        <v>9.2456352364783789E-3</v>
      </c>
      <c r="W57" s="1"/>
      <c r="X57" s="1">
        <f t="shared" si="35"/>
        <v>2380.7000000000003</v>
      </c>
      <c r="Y57" s="1"/>
      <c r="Z57" s="5">
        <f t="shared" si="36"/>
        <v>0.79347409468895302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2623.84</v>
      </c>
      <c r="Q58" s="2"/>
      <c r="R58" s="7">
        <f t="shared" si="33"/>
        <v>9.0741684551257952E-3</v>
      </c>
      <c r="S58" s="2"/>
      <c r="T58" s="6"/>
      <c r="U58" s="2"/>
      <c r="V58" s="7">
        <f t="shared" si="34"/>
        <v>0</v>
      </c>
      <c r="W58" s="2"/>
      <c r="X58" s="6">
        <f t="shared" si="35"/>
        <v>2623.84</v>
      </c>
      <c r="Y58" s="2"/>
      <c r="Z58" s="7">
        <f t="shared" si="36"/>
        <v>0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573</v>
      </c>
      <c r="Q59" s="2"/>
      <c r="R59" s="7">
        <f t="shared" si="33"/>
        <v>1.9816370376193214E-3</v>
      </c>
      <c r="S59" s="2"/>
      <c r="T59" s="6">
        <v>62.5</v>
      </c>
      <c r="U59" s="2"/>
      <c r="V59" s="7">
        <f t="shared" si="34"/>
        <v>1.9259493135130858E-4</v>
      </c>
      <c r="W59" s="2"/>
      <c r="X59" s="6">
        <f t="shared" si="35"/>
        <v>510.5</v>
      </c>
      <c r="Y59" s="2"/>
      <c r="Z59" s="7">
        <f t="shared" si="36"/>
        <v>8.1679999999999993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9"/>
        <v>0</v>
      </c>
      <c r="G60" s="2"/>
      <c r="H60" s="6">
        <v>318.58999999999997</v>
      </c>
      <c r="I60" s="2"/>
      <c r="J60" s="7">
        <f t="shared" si="30"/>
        <v>4.1928310078139666E-3</v>
      </c>
      <c r="K60" s="2"/>
      <c r="L60" s="6">
        <f t="shared" si="31"/>
        <v>-318.58999999999997</v>
      </c>
      <c r="M60" s="2"/>
      <c r="N60" s="7">
        <f t="shared" si="32"/>
        <v>-1</v>
      </c>
      <c r="O60" s="11"/>
      <c r="P60" s="6">
        <v>2184.21</v>
      </c>
      <c r="Q60" s="2"/>
      <c r="R60" s="7">
        <f t="shared" si="33"/>
        <v>7.5537721360183219E-3</v>
      </c>
      <c r="S60" s="2"/>
      <c r="T60" s="6">
        <v>2937.85</v>
      </c>
      <c r="U60" s="2"/>
      <c r="V60" s="7">
        <f t="shared" si="34"/>
        <v>9.0530403051270695E-3</v>
      </c>
      <c r="W60" s="2"/>
      <c r="X60" s="6">
        <f t="shared" si="35"/>
        <v>-753.63999999999987</v>
      </c>
      <c r="Y60" s="2"/>
      <c r="Z60" s="7">
        <f t="shared" si="36"/>
        <v>-0.25652773286587127</v>
      </c>
    </row>
    <row r="61" spans="1:26" s="26" customFormat="1" outlineLevel="1" collapsed="1" x14ac:dyDescent="0.25">
      <c r="A61" s="27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17641.37</v>
      </c>
      <c r="E61" s="1"/>
      <c r="F61" s="5">
        <f t="shared" ref="F61:F65" si="37">IF(D$12=0,0,D61/D$12)</f>
        <v>0.20337115696982064</v>
      </c>
      <c r="G61" s="1"/>
      <c r="H61" s="1">
        <f>SUM(OSRRefH22_10x_0)</f>
        <v>15497.98</v>
      </c>
      <c r="I61" s="1"/>
      <c r="J61" s="5">
        <f t="shared" ref="J61:J65" si="38">IF(H$12=0,0,H61/H$12)</f>
        <v>0.20396249443636238</v>
      </c>
      <c r="K61" s="1"/>
      <c r="L61" s="1">
        <f t="shared" ref="L61:L65" si="39">+D61-H61</f>
        <v>2143.3899999999994</v>
      </c>
      <c r="M61" s="1"/>
      <c r="N61" s="5">
        <f t="shared" ref="N61:N65" si="40">IF(H61=0,0,L61/H61)</f>
        <v>0.13830124958220358</v>
      </c>
      <c r="O61" s="13"/>
      <c r="P61" s="1">
        <f>SUM(OSRRefP22_10x_0)</f>
        <v>61679.239999999991</v>
      </c>
      <c r="Q61" s="1"/>
      <c r="R61" s="5">
        <f t="shared" ref="R61:R65" si="41">IF(P$12=0,0,P61/P$12)</f>
        <v>0.21330866742794266</v>
      </c>
      <c r="S61" s="1"/>
      <c r="T61" s="1">
        <f>SUM(OSRRefT22_10x_0)</f>
        <v>68169.740000000005</v>
      </c>
      <c r="U61" s="1"/>
      <c r="V61" s="5">
        <f t="shared" ref="V61:V65" si="42">IF(T$12=0,0,T61/T$12)</f>
        <v>0.21006634232858487</v>
      </c>
      <c r="W61" s="1"/>
      <c r="X61" s="1">
        <f t="shared" ref="X61:X65" si="43">+P61-T61</f>
        <v>-6490.5000000000146</v>
      </c>
      <c r="Y61" s="1"/>
      <c r="Z61" s="5">
        <f t="shared" ref="Z61:Z65" si="44">IF(T61=0,0,X61/T61)</f>
        <v>-9.5210866287593496E-2</v>
      </c>
    </row>
    <row r="62" spans="1:26" s="24" customFormat="1" hidden="1" outlineLevel="2" x14ac:dyDescent="0.25">
      <c r="A62" s="25"/>
      <c r="B62" s="11" t="str">
        <f>CONCATENATE("          ", "6254", " - ", "ROYALTY &amp; COMMISSIONS")</f>
        <v xml:space="preserve">          6254 - ROYALTY &amp; COMMISSIONS</v>
      </c>
      <c r="C62" s="11"/>
      <c r="D62" s="6">
        <v>17641.37</v>
      </c>
      <c r="E62" s="2"/>
      <c r="F62" s="7">
        <f t="shared" si="37"/>
        <v>0.20337115696982064</v>
      </c>
      <c r="G62" s="2"/>
      <c r="H62" s="6">
        <v>15497.98</v>
      </c>
      <c r="I62" s="2"/>
      <c r="J62" s="7">
        <f t="shared" si="38"/>
        <v>0.20396249443636238</v>
      </c>
      <c r="K62" s="2"/>
      <c r="L62" s="6">
        <f t="shared" si="39"/>
        <v>2143.3899999999994</v>
      </c>
      <c r="M62" s="2"/>
      <c r="N62" s="7">
        <f t="shared" si="40"/>
        <v>0.13830124958220358</v>
      </c>
      <c r="O62" s="11"/>
      <c r="P62" s="6">
        <v>61679.239999999991</v>
      </c>
      <c r="Q62" s="2"/>
      <c r="R62" s="7">
        <f t="shared" si="41"/>
        <v>0.21330866742794266</v>
      </c>
      <c r="S62" s="2"/>
      <c r="T62" s="6">
        <v>68169.740000000005</v>
      </c>
      <c r="U62" s="2"/>
      <c r="V62" s="7">
        <f t="shared" si="42"/>
        <v>0.21006634232858487</v>
      </c>
      <c r="W62" s="2"/>
      <c r="X62" s="6">
        <f t="shared" si="43"/>
        <v>-6490.5000000000146</v>
      </c>
      <c r="Y62" s="2"/>
      <c r="Z62" s="7">
        <f t="shared" si="44"/>
        <v>-9.5210866287593496E-2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307.06</v>
      </c>
      <c r="E63" s="1"/>
      <c r="F63" s="5">
        <f t="shared" si="37"/>
        <v>3.5398128070072295E-3</v>
      </c>
      <c r="G63" s="1"/>
      <c r="H63" s="1">
        <f>SUM(OSRRefH22_11x_0)</f>
        <v>271.31</v>
      </c>
      <c r="I63" s="1"/>
      <c r="J63" s="5">
        <f t="shared" si="38"/>
        <v>3.5705985144857256E-3</v>
      </c>
      <c r="K63" s="1"/>
      <c r="L63" s="1">
        <f t="shared" si="39"/>
        <v>35.75</v>
      </c>
      <c r="M63" s="1"/>
      <c r="N63" s="5">
        <f t="shared" si="40"/>
        <v>0.13176808816482991</v>
      </c>
      <c r="O63" s="13"/>
      <c r="P63" s="1">
        <f>SUM(OSRRefP22_11x_0)</f>
        <v>2188.34</v>
      </c>
      <c r="Q63" s="1"/>
      <c r="R63" s="5">
        <f t="shared" si="41"/>
        <v>7.5680551394482834E-3</v>
      </c>
      <c r="S63" s="1"/>
      <c r="T63" s="1">
        <f>SUM(OSRRefT22_11x_0)</f>
        <v>1522.2399999999998</v>
      </c>
      <c r="U63" s="1"/>
      <c r="V63" s="5">
        <f t="shared" si="42"/>
        <v>4.6908113328034545E-3</v>
      </c>
      <c r="W63" s="1"/>
      <c r="X63" s="1">
        <f t="shared" si="43"/>
        <v>666.10000000000036</v>
      </c>
      <c r="Y63" s="1"/>
      <c r="Z63" s="5">
        <f t="shared" si="44"/>
        <v>0.43757883119613233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225.81</v>
      </c>
      <c r="E64" s="2"/>
      <c r="F64" s="7">
        <f t="shared" si="37"/>
        <v>2.6031561582436739E-3</v>
      </c>
      <c r="G64" s="2"/>
      <c r="H64" s="6">
        <v>225.81</v>
      </c>
      <c r="I64" s="2"/>
      <c r="J64" s="7">
        <f t="shared" si="38"/>
        <v>2.9717918637574055E-3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1806.48</v>
      </c>
      <c r="Q64" s="2"/>
      <c r="R64" s="7">
        <f t="shared" si="41"/>
        <v>6.2474479506431967E-3</v>
      </c>
      <c r="S64" s="2"/>
      <c r="T64" s="6">
        <v>1354.86</v>
      </c>
      <c r="U64" s="2"/>
      <c r="V64" s="7">
        <f t="shared" si="42"/>
        <v>4.1750266990501425E-3</v>
      </c>
      <c r="W64" s="2"/>
      <c r="X64" s="6">
        <f t="shared" si="43"/>
        <v>451.62000000000012</v>
      </c>
      <c r="Y64" s="2"/>
      <c r="Z64" s="7">
        <f t="shared" si="44"/>
        <v>0.33333333333333343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81.25</v>
      </c>
      <c r="E65" s="2"/>
      <c r="F65" s="7">
        <f t="shared" si="37"/>
        <v>9.3665664876355558E-4</v>
      </c>
      <c r="G65" s="2"/>
      <c r="H65" s="6">
        <v>45.5</v>
      </c>
      <c r="I65" s="2"/>
      <c r="J65" s="7">
        <f t="shared" si="38"/>
        <v>5.9880665072832009E-4</v>
      </c>
      <c r="K65" s="2"/>
      <c r="L65" s="6">
        <f t="shared" si="39"/>
        <v>35.75</v>
      </c>
      <c r="M65" s="2"/>
      <c r="N65" s="7">
        <f t="shared" si="40"/>
        <v>0.7857142857142857</v>
      </c>
      <c r="O65" s="11"/>
      <c r="P65" s="6">
        <v>381.86</v>
      </c>
      <c r="Q65" s="2"/>
      <c r="R65" s="7">
        <f t="shared" si="41"/>
        <v>1.3206071888050858E-3</v>
      </c>
      <c r="S65" s="2"/>
      <c r="T65" s="6">
        <v>167.38</v>
      </c>
      <c r="U65" s="2"/>
      <c r="V65" s="7">
        <f t="shared" si="42"/>
        <v>5.1578463375331245E-4</v>
      </c>
      <c r="W65" s="2"/>
      <c r="X65" s="6">
        <f t="shared" si="43"/>
        <v>214.48000000000002</v>
      </c>
      <c r="Y65" s="2"/>
      <c r="Z65" s="7">
        <f t="shared" si="44"/>
        <v>1.2813956267176485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865.04</v>
      </c>
      <c r="E66" s="1"/>
      <c r="F66" s="5">
        <f t="shared" ref="F66:F73" si="45">IF(D$12=0,0,D66/D$12)</f>
        <v>9.9722519070329363E-3</v>
      </c>
      <c r="G66" s="1"/>
      <c r="H66" s="1">
        <f>SUM(OSRRefH22_12x_0)</f>
        <v>2223.58</v>
      </c>
      <c r="I66" s="1"/>
      <c r="J66" s="5">
        <f t="shared" ref="J66:J73" si="46">IF(H$12=0,0,H66/H$12)</f>
        <v>2.9263615218164347E-2</v>
      </c>
      <c r="K66" s="1"/>
      <c r="L66" s="1">
        <f t="shared" ref="L66:L73" si="47">+D66-H66</f>
        <v>-1358.54</v>
      </c>
      <c r="M66" s="1"/>
      <c r="N66" s="5">
        <f t="shared" ref="N66:N73" si="48">IF(H66=0,0,L66/H66)</f>
        <v>-0.61096969751481844</v>
      </c>
      <c r="O66" s="13"/>
      <c r="P66" s="1">
        <f>SUM(OSRRefP22_12x_0)</f>
        <v>13601.19</v>
      </c>
      <c r="Q66" s="1"/>
      <c r="R66" s="5">
        <f t="shared" ref="R66:R73" si="49">IF(P$12=0,0,P66/P$12)</f>
        <v>4.7037734484637939E-2</v>
      </c>
      <c r="S66" s="1"/>
      <c r="T66" s="1">
        <f>SUM(OSRRefT22_12x_0)</f>
        <v>7545.4699999999993</v>
      </c>
      <c r="U66" s="1"/>
      <c r="V66" s="5">
        <f t="shared" ref="V66:V73" si="50">IF(T$12=0,0,T66/T$12)</f>
        <v>2.3251508426613731E-2</v>
      </c>
      <c r="W66" s="1"/>
      <c r="X66" s="1">
        <f t="shared" ref="X66:X73" si="51">+P66-T66</f>
        <v>6055.7200000000012</v>
      </c>
      <c r="Y66" s="1"/>
      <c r="Z66" s="5">
        <f t="shared" ref="Z66:Z73" si="52">IF(T66=0,0,X66/T66)</f>
        <v>0.80256365739973812</v>
      </c>
    </row>
    <row r="67" spans="1:26" s="24" customFormat="1" hidden="1" outlineLevel="2" x14ac:dyDescent="0.25">
      <c r="A67" s="25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3756.46</v>
      </c>
      <c r="Q67" s="2"/>
      <c r="R67" s="7">
        <f t="shared" si="49"/>
        <v>1.2991169749276573E-2</v>
      </c>
      <c r="S67" s="2"/>
      <c r="T67" s="6"/>
      <c r="U67" s="2"/>
      <c r="V67" s="7">
        <f t="shared" si="50"/>
        <v>0</v>
      </c>
      <c r="W67" s="2"/>
      <c r="X67" s="6">
        <f t="shared" si="51"/>
        <v>3756.46</v>
      </c>
      <c r="Y67" s="2"/>
      <c r="Z67" s="7">
        <f t="shared" si="52"/>
        <v>0</v>
      </c>
    </row>
    <row r="68" spans="1:26" s="24" customFormat="1" hidden="1" outlineLevel="2" x14ac:dyDescent="0.25">
      <c r="A68" s="25"/>
      <c r="B68" s="11" t="str">
        <f>CONCATENATE("          ", "6237", " - ", "JANITORIAL SUPPLIES")</f>
        <v xml:space="preserve">          6237 - JANITORIAL SUPPLIES</v>
      </c>
      <c r="C68" s="11"/>
      <c r="D68" s="6">
        <v>507.29</v>
      </c>
      <c r="E68" s="2"/>
      <c r="F68" s="7">
        <f t="shared" si="45"/>
        <v>5.8480806320155591E-3</v>
      </c>
      <c r="G68" s="2"/>
      <c r="H68" s="6"/>
      <c r="I68" s="2"/>
      <c r="J68" s="7">
        <f t="shared" si="46"/>
        <v>0</v>
      </c>
      <c r="K68" s="2"/>
      <c r="L68" s="6">
        <f t="shared" si="47"/>
        <v>507.29</v>
      </c>
      <c r="M68" s="2"/>
      <c r="N68" s="7">
        <f t="shared" si="48"/>
        <v>0</v>
      </c>
      <c r="O68" s="11"/>
      <c r="P68" s="6">
        <v>1239.47</v>
      </c>
      <c r="Q68" s="2"/>
      <c r="R68" s="7">
        <f t="shared" si="49"/>
        <v>4.2865264555288314E-3</v>
      </c>
      <c r="S68" s="2"/>
      <c r="T68" s="6">
        <v>24.08</v>
      </c>
      <c r="U68" s="2"/>
      <c r="V68" s="7">
        <f t="shared" si="50"/>
        <v>7.4202975151032167E-5</v>
      </c>
      <c r="W68" s="2"/>
      <c r="X68" s="6">
        <f t="shared" si="51"/>
        <v>1215.3900000000001</v>
      </c>
      <c r="Y68" s="2"/>
      <c r="Z68" s="7">
        <f t="shared" si="52"/>
        <v>50.473006644518279</v>
      </c>
    </row>
    <row r="69" spans="1:26" s="24" customFormat="1" hidden="1" outlineLevel="2" x14ac:dyDescent="0.25">
      <c r="A69" s="25"/>
      <c r="B69" s="11" t="str">
        <f>CONCATENATE("          ", "6239", " - ", "KITCHEN SUPPLIES")</f>
        <v xml:space="preserve">          6239 - KITCHEN SUPPLIES</v>
      </c>
      <c r="C69" s="11"/>
      <c r="D69" s="6">
        <v>303.58999999999997</v>
      </c>
      <c r="E69" s="2"/>
      <c r="F69" s="7">
        <f t="shared" si="45"/>
        <v>3.4998103630538811E-3</v>
      </c>
      <c r="G69" s="2"/>
      <c r="H69" s="6">
        <v>1215.0999999999999</v>
      </c>
      <c r="I69" s="2"/>
      <c r="J69" s="7">
        <f t="shared" si="46"/>
        <v>1.5991427720878717E-2</v>
      </c>
      <c r="K69" s="2"/>
      <c r="L69" s="6">
        <f t="shared" si="47"/>
        <v>-911.51</v>
      </c>
      <c r="M69" s="2"/>
      <c r="N69" s="7">
        <f t="shared" si="48"/>
        <v>-0.75015225084355197</v>
      </c>
      <c r="O69" s="11"/>
      <c r="P69" s="6">
        <v>5765.78</v>
      </c>
      <c r="Q69" s="2"/>
      <c r="R69" s="7">
        <f t="shared" si="49"/>
        <v>1.9940110294528326E-2</v>
      </c>
      <c r="S69" s="2"/>
      <c r="T69" s="6">
        <v>4162.6400000000003</v>
      </c>
      <c r="U69" s="2"/>
      <c r="V69" s="7">
        <f t="shared" si="50"/>
        <v>1.2827253840643378E-2</v>
      </c>
      <c r="W69" s="2"/>
      <c r="X69" s="6">
        <f t="shared" si="51"/>
        <v>1603.1399999999994</v>
      </c>
      <c r="Y69" s="2"/>
      <c r="Z69" s="7">
        <f t="shared" si="52"/>
        <v>0.38512578555916421</v>
      </c>
    </row>
    <row r="70" spans="1:26" s="24" customFormat="1" hidden="1" outlineLevel="2" x14ac:dyDescent="0.25">
      <c r="A70" s="25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45"/>
        <v>0</v>
      </c>
      <c r="G70" s="2"/>
      <c r="H70" s="6">
        <v>52.68</v>
      </c>
      <c r="I70" s="2"/>
      <c r="J70" s="7">
        <f t="shared" si="46"/>
        <v>6.9329965627182202E-4</v>
      </c>
      <c r="K70" s="2"/>
      <c r="L70" s="6">
        <f t="shared" si="47"/>
        <v>-52.68</v>
      </c>
      <c r="M70" s="2"/>
      <c r="N70" s="7">
        <f t="shared" si="48"/>
        <v>-1</v>
      </c>
      <c r="O70" s="11"/>
      <c r="P70" s="6">
        <v>599.88</v>
      </c>
      <c r="Q70" s="2"/>
      <c r="R70" s="7">
        <f t="shared" si="49"/>
        <v>2.0745976023160183E-3</v>
      </c>
      <c r="S70" s="2"/>
      <c r="T70" s="6">
        <v>1066.5999999999999</v>
      </c>
      <c r="U70" s="2"/>
      <c r="V70" s="7">
        <f t="shared" si="50"/>
        <v>3.2867480604688911E-3</v>
      </c>
      <c r="W70" s="2"/>
      <c r="X70" s="6">
        <f t="shared" si="51"/>
        <v>-466.71999999999991</v>
      </c>
      <c r="Y70" s="2"/>
      <c r="Z70" s="7">
        <f t="shared" si="52"/>
        <v>-0.43757734858428649</v>
      </c>
    </row>
    <row r="71" spans="1:26" s="24" customFormat="1" hidden="1" outlineLevel="2" x14ac:dyDescent="0.25">
      <c r="A71" s="25"/>
      <c r="B71" s="11" t="str">
        <f>CONCATENATE("          ", "6243", " - ", "PAPER SUPPLIES")</f>
        <v xml:space="preserve">          6243 - PAPER SUPPLIES</v>
      </c>
      <c r="C71" s="11"/>
      <c r="D71" s="6">
        <v>354.16</v>
      </c>
      <c r="E71" s="2"/>
      <c r="F71" s="7">
        <f t="shared" si="45"/>
        <v>4.0827854612443181E-3</v>
      </c>
      <c r="G71" s="2"/>
      <c r="H71" s="6">
        <v>955.8</v>
      </c>
      <c r="I71" s="2"/>
      <c r="J71" s="7">
        <f t="shared" si="46"/>
        <v>1.2578887841013808E-2</v>
      </c>
      <c r="K71" s="2"/>
      <c r="L71" s="6">
        <f t="shared" si="47"/>
        <v>-601.63999999999987</v>
      </c>
      <c r="M71" s="2"/>
      <c r="N71" s="7">
        <f t="shared" si="48"/>
        <v>-0.62946223059217399</v>
      </c>
      <c r="O71" s="11"/>
      <c r="P71" s="6">
        <v>2039.96</v>
      </c>
      <c r="Q71" s="2"/>
      <c r="R71" s="7">
        <f t="shared" si="49"/>
        <v>7.0549045222720961E-3</v>
      </c>
      <c r="S71" s="2"/>
      <c r="T71" s="6">
        <v>1267.45</v>
      </c>
      <c r="U71" s="2"/>
      <c r="V71" s="7">
        <f t="shared" si="50"/>
        <v>3.9056711318594568E-3</v>
      </c>
      <c r="W71" s="2"/>
      <c r="X71" s="6">
        <f t="shared" si="51"/>
        <v>772.51</v>
      </c>
      <c r="Y71" s="2"/>
      <c r="Z71" s="7">
        <f t="shared" si="52"/>
        <v>0.60949938853603691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>
        <v>-300</v>
      </c>
      <c r="E72" s="2"/>
      <c r="F72" s="7">
        <f t="shared" si="45"/>
        <v>-3.4584245492808208E-3</v>
      </c>
      <c r="G72" s="2"/>
      <c r="H72" s="6"/>
      <c r="I72" s="2"/>
      <c r="J72" s="7">
        <f t="shared" si="46"/>
        <v>0</v>
      </c>
      <c r="K72" s="2"/>
      <c r="L72" s="6">
        <f t="shared" si="47"/>
        <v>-300</v>
      </c>
      <c r="M72" s="2"/>
      <c r="N72" s="7">
        <f t="shared" si="48"/>
        <v>0</v>
      </c>
      <c r="O72" s="11"/>
      <c r="P72" s="6">
        <v>-254.8</v>
      </c>
      <c r="Q72" s="2"/>
      <c r="R72" s="7">
        <f t="shared" si="49"/>
        <v>-8.8118868618744007E-4</v>
      </c>
      <c r="S72" s="2"/>
      <c r="T72" s="6">
        <v>154.22</v>
      </c>
      <c r="U72" s="2"/>
      <c r="V72" s="7">
        <f t="shared" si="50"/>
        <v>4.7523184500798091E-4</v>
      </c>
      <c r="W72" s="2"/>
      <c r="X72" s="6">
        <f t="shared" si="51"/>
        <v>-409.02</v>
      </c>
      <c r="Y72" s="2"/>
      <c r="Z72" s="7">
        <f t="shared" si="52"/>
        <v>-2.6521851899883284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454.44</v>
      </c>
      <c r="Q73" s="2"/>
      <c r="R73" s="7">
        <f t="shared" si="49"/>
        <v>1.5716145469035331E-3</v>
      </c>
      <c r="S73" s="2"/>
      <c r="T73" s="6">
        <v>870.48</v>
      </c>
      <c r="U73" s="2"/>
      <c r="V73" s="7">
        <f t="shared" si="50"/>
        <v>2.6824005734829934E-3</v>
      </c>
      <c r="W73" s="2"/>
      <c r="X73" s="6">
        <f t="shared" si="51"/>
        <v>-416.04</v>
      </c>
      <c r="Y73" s="2"/>
      <c r="Z73" s="7">
        <f t="shared" si="52"/>
        <v>-0.47794320374965538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313.11</v>
      </c>
      <c r="E74" s="1"/>
      <c r="F74" s="5">
        <f t="shared" ref="F74:F79" si="53">IF(D$12=0,0,D74/D$12)</f>
        <v>3.6095577020843926E-3</v>
      </c>
      <c r="G74" s="1"/>
      <c r="H74" s="1">
        <f>SUM(OSRRefH22_13x_0)</f>
        <v>-40.93</v>
      </c>
      <c r="I74" s="1"/>
      <c r="J74" s="5">
        <f t="shared" ref="J74:J79" si="54">IF(H$12=0,0,H74/H$12)</f>
        <v>-5.3866277394088217E-4</v>
      </c>
      <c r="K74" s="1"/>
      <c r="L74" s="1">
        <f t="shared" ref="L74:L79" si="55">+D74-H74</f>
        <v>354.04</v>
      </c>
      <c r="M74" s="1"/>
      <c r="N74" s="5">
        <f t="shared" ref="N74:N79" si="56">IF(H74=0,0,L74/H74)</f>
        <v>-8.6498900561935024</v>
      </c>
      <c r="O74" s="13"/>
      <c r="P74" s="1">
        <f>SUM(OSRRefP22_13x_0)</f>
        <v>2175.84</v>
      </c>
      <c r="Q74" s="1"/>
      <c r="R74" s="5">
        <f t="shared" ref="R74:R79" si="57">IF(P$12=0,0,P74/P$12)</f>
        <v>7.5248257101808462E-3</v>
      </c>
      <c r="S74" s="1"/>
      <c r="T74" s="1">
        <f>SUM(OSRRefT22_13x_0)</f>
        <v>2004.82</v>
      </c>
      <c r="U74" s="1"/>
      <c r="V74" s="5">
        <f t="shared" ref="V74:V79" si="58">IF(T$12=0,0,T74/T$12)</f>
        <v>6.177890724347687E-3</v>
      </c>
      <c r="W74" s="1"/>
      <c r="X74" s="1">
        <f t="shared" ref="X74:X79" si="59">+P74-T74</f>
        <v>171.02000000000021</v>
      </c>
      <c r="Y74" s="1"/>
      <c r="Z74" s="5">
        <f t="shared" ref="Z74:Z79" si="60">IF(T74=0,0,X74/T74)</f>
        <v>8.5304416356580745E-2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313.11</v>
      </c>
      <c r="E75" s="2"/>
      <c r="F75" s="7">
        <f t="shared" si="53"/>
        <v>3.6095577020843926E-3</v>
      </c>
      <c r="G75" s="2"/>
      <c r="H75" s="6">
        <v>-40.93</v>
      </c>
      <c r="I75" s="2"/>
      <c r="J75" s="7">
        <f t="shared" si="54"/>
        <v>-5.3866277394088217E-4</v>
      </c>
      <c r="K75" s="2"/>
      <c r="L75" s="6">
        <f t="shared" si="55"/>
        <v>354.04</v>
      </c>
      <c r="M75" s="2"/>
      <c r="N75" s="7">
        <f t="shared" si="56"/>
        <v>-8.6498900561935024</v>
      </c>
      <c r="O75" s="11"/>
      <c r="P75" s="6">
        <v>2175.84</v>
      </c>
      <c r="Q75" s="2"/>
      <c r="R75" s="7">
        <f t="shared" si="57"/>
        <v>7.5248257101808462E-3</v>
      </c>
      <c r="S75" s="2"/>
      <c r="T75" s="6">
        <v>2004.82</v>
      </c>
      <c r="U75" s="2"/>
      <c r="V75" s="7">
        <f t="shared" si="58"/>
        <v>6.177890724347687E-3</v>
      </c>
      <c r="W75" s="2"/>
      <c r="X75" s="6">
        <f t="shared" si="59"/>
        <v>171.02000000000021</v>
      </c>
      <c r="Y75" s="2"/>
      <c r="Z75" s="7">
        <f t="shared" si="60"/>
        <v>8.5304416356580745E-2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3"/>
        <v>0</v>
      </c>
      <c r="G76" s="1"/>
      <c r="H76" s="1">
        <f>SUM(OSRRefH22_14x_0)</f>
        <v>0</v>
      </c>
      <c r="I76" s="1"/>
      <c r="J76" s="5">
        <f t="shared" si="54"/>
        <v>0</v>
      </c>
      <c r="K76" s="1"/>
      <c r="L76" s="1">
        <f t="shared" si="55"/>
        <v>0</v>
      </c>
      <c r="M76" s="1"/>
      <c r="N76" s="5">
        <f t="shared" si="56"/>
        <v>0</v>
      </c>
      <c r="O76" s="13"/>
      <c r="P76" s="1">
        <f>SUM(OSRRefP22_14x_0)</f>
        <v>237.95</v>
      </c>
      <c r="Q76" s="1"/>
      <c r="R76" s="5">
        <f t="shared" si="57"/>
        <v>8.229154155349346E-4</v>
      </c>
      <c r="S76" s="1"/>
      <c r="T76" s="1">
        <f>SUM(OSRRefT22_14x_0)</f>
        <v>171.33</v>
      </c>
      <c r="U76" s="1"/>
      <c r="V76" s="5">
        <f t="shared" si="58"/>
        <v>5.2795663341471521E-4</v>
      </c>
      <c r="W76" s="1"/>
      <c r="X76" s="1">
        <f t="shared" si="59"/>
        <v>66.619999999999976</v>
      </c>
      <c r="Y76" s="1"/>
      <c r="Z76" s="5">
        <f t="shared" si="60"/>
        <v>0.3888402498103074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1"/>
      <c r="P77" s="6">
        <v>237.95</v>
      </c>
      <c r="Q77" s="2"/>
      <c r="R77" s="7">
        <f t="shared" si="57"/>
        <v>8.229154155349346E-4</v>
      </c>
      <c r="S77" s="2"/>
      <c r="T77" s="6">
        <v>171.33</v>
      </c>
      <c r="U77" s="2"/>
      <c r="V77" s="7">
        <f t="shared" si="58"/>
        <v>5.2795663341471521E-4</v>
      </c>
      <c r="W77" s="2"/>
      <c r="X77" s="6">
        <f t="shared" si="59"/>
        <v>66.619999999999976</v>
      </c>
      <c r="Y77" s="2"/>
      <c r="Z77" s="7">
        <f t="shared" si="60"/>
        <v>0.3888402498103074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1258.9000000000001</v>
      </c>
      <c r="U78" s="1"/>
      <c r="V78" s="5">
        <f t="shared" si="58"/>
        <v>3.879324145250598E-3</v>
      </c>
      <c r="W78" s="1"/>
      <c r="X78" s="1">
        <f t="shared" si="59"/>
        <v>-1258.9000000000001</v>
      </c>
      <c r="Y78" s="1"/>
      <c r="Z78" s="5">
        <f t="shared" si="60"/>
        <v>-1</v>
      </c>
    </row>
    <row r="79" spans="1:26" s="24" customFormat="1" hidden="1" outlineLevel="2" x14ac:dyDescent="0.25">
      <c r="A79" s="25"/>
      <c r="B79" s="11" t="str">
        <f>CONCATENATE("          ", "6294", " - ", "TRAVEL OPERATIONAL")</f>
        <v xml:space="preserve">          6294 - TRAVEL OPERATIONAL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/>
      <c r="Q79" s="2"/>
      <c r="R79" s="7">
        <f t="shared" si="57"/>
        <v>0</v>
      </c>
      <c r="S79" s="2"/>
      <c r="T79" s="6">
        <v>1258.9000000000001</v>
      </c>
      <c r="U79" s="2"/>
      <c r="V79" s="7">
        <f t="shared" si="58"/>
        <v>3.879324145250598E-3</v>
      </c>
      <c r="W79" s="2"/>
      <c r="X79" s="6">
        <f t="shared" si="59"/>
        <v>-1258.9000000000001</v>
      </c>
      <c r="Y79" s="2"/>
      <c r="Z79" s="7">
        <f t="shared" si="60"/>
        <v>-1</v>
      </c>
    </row>
    <row r="80" spans="1:26" s="59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9" t="s">
        <v>0</v>
      </c>
      <c r="C81" s="10"/>
      <c r="D81" s="4">
        <f>SUM(OSRRefD25x_0)</f>
        <v>0</v>
      </c>
      <c r="E81" s="4"/>
      <c r="F81" s="12">
        <f t="shared" ref="F81:F82" si="61">IF(D$12=0,0,D81/D$12)</f>
        <v>0</v>
      </c>
      <c r="G81" s="4"/>
      <c r="H81" s="4">
        <f>SUM(OSRRefH25x_0)</f>
        <v>0</v>
      </c>
      <c r="I81" s="4"/>
      <c r="J81" s="12">
        <f t="shared" ref="J81:J82" si="62">IF(H$12=0,0,H81/H$12)</f>
        <v>0</v>
      </c>
      <c r="K81" s="4"/>
      <c r="L81" s="4">
        <f t="shared" ref="L81:L82" si="63">+D81-H81</f>
        <v>0</v>
      </c>
      <c r="M81" s="4"/>
      <c r="N81" s="12">
        <f t="shared" ref="N81:N82" si="64">IF(H81=0,0,L81/H81)</f>
        <v>0</v>
      </c>
      <c r="O81" s="10"/>
      <c r="P81" s="4">
        <f>SUM(OSRRefP25x_0)</f>
        <v>32460.44</v>
      </c>
      <c r="Q81" s="4"/>
      <c r="R81" s="12">
        <f t="shared" ref="R81:R82" si="65">IF(P$12=0,0,P81/P$12)</f>
        <v>0.11225970359759115</v>
      </c>
      <c r="S81" s="4"/>
      <c r="T81" s="4">
        <f>SUM(OSRRefT25x_0)</f>
        <v>2642</v>
      </c>
      <c r="U81" s="4"/>
      <c r="V81" s="12">
        <f t="shared" ref="V81:V82" si="66">IF(T$12=0,0,T81/T$12)</f>
        <v>8.1413729380825153E-3</v>
      </c>
      <c r="W81" s="4"/>
      <c r="X81" s="4">
        <f t="shared" ref="X81:X82" si="67">+P81-T81</f>
        <v>29818.44</v>
      </c>
      <c r="Y81" s="4"/>
      <c r="Z81" s="12">
        <f t="shared" ref="Z81:Z82" si="68">IF(T81=0,0,X81/T81)</f>
        <v>11.286313398940196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0</f>
        <v>0</v>
      </c>
      <c r="E82" s="2"/>
      <c r="F82" s="19">
        <f t="shared" si="61"/>
        <v>0</v>
      </c>
      <c r="G82" s="2"/>
      <c r="H82" s="2">
        <f>0</f>
        <v>0</v>
      </c>
      <c r="I82" s="2"/>
      <c r="J82" s="19">
        <f t="shared" si="62"/>
        <v>0</v>
      </c>
      <c r="K82" s="2"/>
      <c r="L82" s="2">
        <f t="shared" si="63"/>
        <v>0</v>
      </c>
      <c r="M82" s="2"/>
      <c r="N82" s="19">
        <f t="shared" si="64"/>
        <v>0</v>
      </c>
      <c r="O82" s="11"/>
      <c r="P82" s="2">
        <f>--32460.44</f>
        <v>32460.44</v>
      </c>
      <c r="Q82" s="2"/>
      <c r="R82" s="19">
        <f t="shared" si="65"/>
        <v>0.11225970359759115</v>
      </c>
      <c r="S82" s="2"/>
      <c r="T82" s="2">
        <f>--2642</f>
        <v>2642</v>
      </c>
      <c r="U82" s="2"/>
      <c r="V82" s="19">
        <f t="shared" si="66"/>
        <v>8.1413729380825153E-3</v>
      </c>
      <c r="W82" s="2"/>
      <c r="X82" s="2">
        <f t="shared" si="67"/>
        <v>29818.44</v>
      </c>
      <c r="Y82" s="2"/>
      <c r="Z82" s="19">
        <f t="shared" si="68"/>
        <v>11.286313398940196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+D23-D25+D81</f>
        <v>5626.3099999999904</v>
      </c>
      <c r="E84" s="14"/>
      <c r="F84" s="22">
        <f>IF(D$12=0,0,D84/D$12)</f>
        <v>6.486056208621381E-2</v>
      </c>
      <c r="G84" s="14"/>
      <c r="H84" s="21">
        <f>+H23-H25+H81</f>
        <v>5411.5699999999924</v>
      </c>
      <c r="I84" s="14"/>
      <c r="J84" s="22">
        <f>IF(H$12=0,0,H84/H$12)</f>
        <v>7.1219430920480234E-2</v>
      </c>
      <c r="K84" s="16"/>
      <c r="L84" s="21">
        <f>+D84-H84</f>
        <v>214.73999999999796</v>
      </c>
      <c r="M84" s="16"/>
      <c r="N84" s="22">
        <f>IF(H84=0,0,L84/H84)</f>
        <v>3.9681645067882014E-2</v>
      </c>
      <c r="O84" s="29"/>
      <c r="P84" s="21">
        <f>+P23-P25+P81</f>
        <v>19808.389999999981</v>
      </c>
      <c r="Q84" s="14"/>
      <c r="R84" s="22">
        <f>IF(P$12=0,0,P84/P$12)</f>
        <v>6.8504431552544778E-2</v>
      </c>
      <c r="S84" s="14"/>
      <c r="T84" s="21">
        <f>+T23-T25+T81</f>
        <v>46718.19</v>
      </c>
      <c r="U84" s="14"/>
      <c r="V84" s="22">
        <f>IF(T$12=0,0,T84/T$12)</f>
        <v>0.14396298553451825</v>
      </c>
      <c r="W84" s="16"/>
      <c r="X84" s="21">
        <f>+P84-T84</f>
        <v>-26909.800000000021</v>
      </c>
      <c r="Y84" s="16"/>
      <c r="Z84" s="22">
        <f>IF(T84=0,0,X84/T84)</f>
        <v>-0.57600262338930552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8292.9</v>
      </c>
      <c r="E86" s="4"/>
      <c r="F86" s="12">
        <f>IF(D$12=0,0,D86/D$12)</f>
        <v>9.5601229815769725E-2</v>
      </c>
      <c r="G86" s="4"/>
      <c r="H86" s="4">
        <v>6199.35</v>
      </c>
      <c r="I86" s="4"/>
      <c r="J86" s="12">
        <f>IF(H$12=0,0,H86/H$12)</f>
        <v>8.1587077147090348E-2</v>
      </c>
      <c r="K86" s="4"/>
      <c r="L86" s="4">
        <f>+D86-H86</f>
        <v>2093.5499999999993</v>
      </c>
      <c r="M86" s="4"/>
      <c r="N86" s="12">
        <f>IF(H86=0,0,L86/H86)</f>
        <v>0.33770475936993383</v>
      </c>
      <c r="O86" s="10"/>
      <c r="P86" s="4">
        <v>30154.76</v>
      </c>
      <c r="Q86" s="4"/>
      <c r="R86" s="12">
        <f>IF(P$12=0,0,P86/P$12)</f>
        <v>0.10428584515972357</v>
      </c>
      <c r="S86" s="4"/>
      <c r="T86" s="4">
        <v>33019.590000000004</v>
      </c>
      <c r="U86" s="4"/>
      <c r="V86" s="12">
        <f>IF(T$12=0,0,T86/T$12)</f>
        <v>0.10175049070877369</v>
      </c>
      <c r="W86" s="4"/>
      <c r="X86" s="4">
        <f>+P86-T86</f>
        <v>-2864.8300000000054</v>
      </c>
      <c r="Y86" s="4"/>
      <c r="Z86" s="12">
        <f>IF(T86=0,0,X86/T86)</f>
        <v>-8.6761525506525217E-2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4">
        <f>+D84-D86</f>
        <v>-2666.5900000000092</v>
      </c>
      <c r="E88" s="14"/>
      <c r="F88" s="31">
        <f>IF(D$12=0,0,D88/D$12)</f>
        <v>-3.0740667729555918E-2</v>
      </c>
      <c r="G88" s="14"/>
      <c r="H88" s="34">
        <f>+H84-H86</f>
        <v>-787.78000000000793</v>
      </c>
      <c r="I88" s="14"/>
      <c r="J88" s="31">
        <f>IF(H$12=0,0,H88/H$12)</f>
        <v>-1.0367646226610126E-2</v>
      </c>
      <c r="K88" s="16"/>
      <c r="L88" s="34">
        <f>D88-H88</f>
        <v>-1878.8100000000013</v>
      </c>
      <c r="M88" s="16"/>
      <c r="N88" s="31">
        <f>IF(H88=0,0,L88/H88)</f>
        <v>2.3849424966360941</v>
      </c>
      <c r="O88" s="29"/>
      <c r="P88" s="34">
        <f>+P84-P86</f>
        <v>-10346.370000000017</v>
      </c>
      <c r="Q88" s="14"/>
      <c r="R88" s="31">
        <f>IF(P$12=0,0,P88/P$12)</f>
        <v>-3.5781413607178798E-2</v>
      </c>
      <c r="S88" s="14"/>
      <c r="T88" s="34">
        <f>+T84-T86</f>
        <v>13698.599999999999</v>
      </c>
      <c r="U88" s="14"/>
      <c r="V88" s="31">
        <f>IF(T$12=0,0,T88/T$12)</f>
        <v>4.2212494825744566E-2</v>
      </c>
      <c r="W88" s="16"/>
      <c r="X88" s="34">
        <f>P88-T88</f>
        <v>-24044.970000000016</v>
      </c>
      <c r="Y88" s="16"/>
      <c r="Z88" s="31">
        <f>IF(T88=0,0,X88/T88)</f>
        <v>-1.755286671630679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0">
        <f>SUM(D88:D90)</f>
        <v>-2666.5900000000092</v>
      </c>
      <c r="E91" s="14"/>
      <c r="F91" s="33">
        <f>IF(D$12=0,0,D91/D$12)</f>
        <v>-3.0740667729555918E-2</v>
      </c>
      <c r="G91" s="14"/>
      <c r="H91" s="30">
        <f>SUM(H88:H90)</f>
        <v>-787.78000000000793</v>
      </c>
      <c r="I91" s="14"/>
      <c r="J91" s="33">
        <f>IF(H$12=0,0,H91/H$12)</f>
        <v>-1.0367646226610126E-2</v>
      </c>
      <c r="K91" s="16"/>
      <c r="L91" s="30">
        <f>+D91-H91</f>
        <v>-1878.8100000000013</v>
      </c>
      <c r="M91" s="16"/>
      <c r="N91" s="33">
        <f>IF(H91=0,0,L91/H91)</f>
        <v>2.3849424966360941</v>
      </c>
      <c r="O91" s="29"/>
      <c r="P91" s="30">
        <f>SUM(P88:P90)</f>
        <v>-10346.370000000017</v>
      </c>
      <c r="Q91" s="14"/>
      <c r="R91" s="33">
        <f>IF(P$12=0,0,P91/P$12)</f>
        <v>-3.5781413607178798E-2</v>
      </c>
      <c r="S91" s="14"/>
      <c r="T91" s="30">
        <f>SUM(T88:T90)</f>
        <v>13698.599999999999</v>
      </c>
      <c r="U91" s="14"/>
      <c r="V91" s="33">
        <f>IF(T$12=0,0,T91/T$12)</f>
        <v>4.2212494825744566E-2</v>
      </c>
      <c r="W91" s="16"/>
      <c r="X91" s="30">
        <f>+P91-T91</f>
        <v>-24044.970000000016</v>
      </c>
      <c r="Y91" s="16"/>
      <c r="Z91" s="33">
        <f>IF(T91=0,0,X91/T91)</f>
        <v>-1.755286671630679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1">
        <v>43879.554321180556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8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1" t="e">
        <f ca="1">D12-D15</f>
        <v>#NAME?</v>
      </c>
      <c r="E18" s="14"/>
      <c r="F18" s="22" t="e">
        <f ca="1">IF(D$12=0,0,D18/D$12)</f>
        <v>#NAME?</v>
      </c>
      <c r="G18" s="14"/>
      <c r="H18" s="21" t="e">
        <f ca="1">H12-H15</f>
        <v>#NAME?</v>
      </c>
      <c r="I18" s="14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9"/>
      <c r="P18" s="21" t="e">
        <f ca="1">P12-P15</f>
        <v>#NAME?</v>
      </c>
      <c r="Q18" s="14"/>
      <c r="R18" s="22" t="e">
        <f ca="1">IF(P$12=0,0,P18/P$12)</f>
        <v>#NAME?</v>
      </c>
      <c r="S18" s="14"/>
      <c r="T18" s="21" t="e">
        <f ca="1">T12-T15</f>
        <v>#NAME?</v>
      </c>
      <c r="U18" s="14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1" t="e">
        <f ca="1">+D18-D20+D24</f>
        <v>#NAME?</v>
      </c>
      <c r="E27" s="14"/>
      <c r="F27" s="22" t="e">
        <f ca="1">IF(D$12=0,0,D27/D$12)</f>
        <v>#NAME?</v>
      </c>
      <c r="G27" s="14"/>
      <c r="H27" s="21" t="e">
        <f ca="1">+H18-H20+H24</f>
        <v>#NAME?</v>
      </c>
      <c r="I27" s="14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9"/>
      <c r="P27" s="21" t="e">
        <f ca="1">+P18-P20+P24</f>
        <v>#NAME?</v>
      </c>
      <c r="Q27" s="14"/>
      <c r="R27" s="22" t="e">
        <f ca="1">IF(P$12=0,0,P27/P$12)</f>
        <v>#NAME?</v>
      </c>
      <c r="S27" s="14"/>
      <c r="T27" s="21" t="e">
        <f ca="1">+T18-T20+T24</f>
        <v>#NAME?</v>
      </c>
      <c r="U27" s="14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4" t="e">
        <f ca="1">+D27-D29</f>
        <v>#NAME?</v>
      </c>
      <c r="E31" s="14"/>
      <c r="F31" s="31" t="e">
        <f ca="1">IF(D$12=0,0,D31/D$12)</f>
        <v>#NAME?</v>
      </c>
      <c r="G31" s="14"/>
      <c r="H31" s="34" t="e">
        <f ca="1">+H27-H29</f>
        <v>#NAME?</v>
      </c>
      <c r="I31" s="14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9"/>
      <c r="P31" s="34" t="e">
        <f ca="1">+P27-P29</f>
        <v>#NAME?</v>
      </c>
      <c r="Q31" s="14"/>
      <c r="R31" s="31" t="e">
        <f ca="1">IF(P$12=0,0,P31/P$12)</f>
        <v>#NAME?</v>
      </c>
      <c r="S31" s="14"/>
      <c r="T31" s="34" t="e">
        <f ca="1">+T27-T29</f>
        <v>#NAME?</v>
      </c>
      <c r="U31" s="14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3" t="e">
        <f ca="1">IF(D$12=0,0,D36/D$12)</f>
        <v>#NAME?</v>
      </c>
      <c r="G36" s="14"/>
      <c r="H36" s="30" t="e">
        <f ca="1">SUM(H31:H35)</f>
        <v>#NAME?</v>
      </c>
      <c r="I36" s="14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9"/>
      <c r="P36" s="30" t="e">
        <f ca="1">SUM(P31:P35)</f>
        <v>#NAME?</v>
      </c>
      <c r="Q36" s="14"/>
      <c r="R36" s="33" t="e">
        <f ca="1">IF(P$12=0,0,P36/P$12)</f>
        <v>#NAME?</v>
      </c>
      <c r="S36" s="14"/>
      <c r="T36" s="30" t="e">
        <f ca="1">SUM(T31:T35)</f>
        <v>#NAME?</v>
      </c>
      <c r="U36" s="14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","455", " - ", "Vending")</f>
        <v>Department 455 - Vending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8352.23</v>
      </c>
      <c r="E18" s="20"/>
      <c r="F18" s="32">
        <f t="shared" ref="F18:F26" si="0">IF(D$12=0,0,D18/D$12)</f>
        <v>0</v>
      </c>
      <c r="G18" s="20"/>
      <c r="H18" s="20">
        <f>SUM(OSRRefH22x_0)</f>
        <v>7787.2300000000005</v>
      </c>
      <c r="I18" s="20"/>
      <c r="J18" s="32">
        <f t="shared" ref="J18:J26" si="1">IF(H$12=0,0,H18/H$12)</f>
        <v>0</v>
      </c>
      <c r="K18" s="4"/>
      <c r="L18" s="20">
        <f t="shared" ref="L18:L26" si="2">+D18-H18</f>
        <v>564.99999999999909</v>
      </c>
      <c r="M18" s="4"/>
      <c r="N18" s="32">
        <f t="shared" ref="N18:N26" si="3">IF(H18=0,0,L18/H18)</f>
        <v>7.2554682473742152E-2</v>
      </c>
      <c r="O18" s="10"/>
      <c r="P18" s="20">
        <f>SUM(OSRRefP22x_0)</f>
        <v>60693.49</v>
      </c>
      <c r="Q18" s="20"/>
      <c r="R18" s="32">
        <f t="shared" ref="R18:R26" si="4">IF(P$12=0,0,P18/P$12)</f>
        <v>0</v>
      </c>
      <c r="S18" s="20"/>
      <c r="T18" s="20">
        <f>SUM(OSRRefT22x_0)</f>
        <v>50377.679999999993</v>
      </c>
      <c r="U18" s="20"/>
      <c r="V18" s="32">
        <f t="shared" ref="V18:V26" si="5">IF(T$12=0,0,T18/T$12)</f>
        <v>0</v>
      </c>
      <c r="W18" s="4"/>
      <c r="X18" s="20">
        <f t="shared" ref="X18:X26" si="6">+P18-T18</f>
        <v>10315.810000000005</v>
      </c>
      <c r="Y18" s="4"/>
      <c r="Z18" s="32">
        <f t="shared" ref="Z18:Z26" si="7">IF(T18=0,0,X18/T18)</f>
        <v>0.20476945345637207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2817.4700000000003</v>
      </c>
      <c r="E19" s="1"/>
      <c r="F19" s="5">
        <f t="shared" si="0"/>
        <v>0</v>
      </c>
      <c r="G19" s="1"/>
      <c r="H19" s="1">
        <f>SUM(OSRRefH22_0x_0)</f>
        <v>2680.46</v>
      </c>
      <c r="I19" s="1"/>
      <c r="J19" s="5">
        <f t="shared" si="1"/>
        <v>0</v>
      </c>
      <c r="K19" s="1"/>
      <c r="L19" s="1">
        <f t="shared" si="2"/>
        <v>137.01000000000022</v>
      </c>
      <c r="M19" s="1"/>
      <c r="N19" s="5">
        <f t="shared" si="3"/>
        <v>5.1114360967893652E-2</v>
      </c>
      <c r="O19" s="13"/>
      <c r="P19" s="1">
        <f>SUM(OSRRefP22_0x_0)</f>
        <v>27279.769999999997</v>
      </c>
      <c r="Q19" s="1"/>
      <c r="R19" s="5">
        <f t="shared" si="4"/>
        <v>0</v>
      </c>
      <c r="S19" s="1"/>
      <c r="T19" s="1">
        <f>SUM(OSRRefT22_0x_0)</f>
        <v>20607.64</v>
      </c>
      <c r="U19" s="1"/>
      <c r="V19" s="5">
        <f t="shared" si="5"/>
        <v>0</v>
      </c>
      <c r="W19" s="1"/>
      <c r="X19" s="1">
        <f t="shared" si="6"/>
        <v>6672.1299999999974</v>
      </c>
      <c r="Y19" s="1"/>
      <c r="Z19" s="5">
        <f t="shared" si="7"/>
        <v>0.32376972812025046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384.92</v>
      </c>
      <c r="E20" s="2"/>
      <c r="F20" s="7">
        <f t="shared" si="0"/>
        <v>0</v>
      </c>
      <c r="G20" s="2"/>
      <c r="H20" s="6">
        <v>339.74</v>
      </c>
      <c r="I20" s="2"/>
      <c r="J20" s="7">
        <f t="shared" si="1"/>
        <v>0</v>
      </c>
      <c r="K20" s="2"/>
      <c r="L20" s="6">
        <f t="shared" si="2"/>
        <v>45.180000000000007</v>
      </c>
      <c r="M20" s="2"/>
      <c r="N20" s="7">
        <f t="shared" si="3"/>
        <v>0.13298404662388888</v>
      </c>
      <c r="O20" s="11"/>
      <c r="P20" s="6">
        <v>2523.56</v>
      </c>
      <c r="Q20" s="2"/>
      <c r="R20" s="7">
        <f t="shared" si="4"/>
        <v>0</v>
      </c>
      <c r="S20" s="2"/>
      <c r="T20" s="6">
        <v>2465.21</v>
      </c>
      <c r="U20" s="2"/>
      <c r="V20" s="7">
        <f t="shared" si="5"/>
        <v>0</v>
      </c>
      <c r="W20" s="2"/>
      <c r="X20" s="6">
        <f t="shared" si="6"/>
        <v>58.349999999999909</v>
      </c>
      <c r="Y20" s="2"/>
      <c r="Z20" s="7">
        <f t="shared" si="7"/>
        <v>2.3669383135716596E-2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17.11</v>
      </c>
      <c r="E21" s="2"/>
      <c r="F21" s="7">
        <f t="shared" si="0"/>
        <v>0</v>
      </c>
      <c r="G21" s="2"/>
      <c r="H21" s="6">
        <v>155.43</v>
      </c>
      <c r="I21" s="2"/>
      <c r="J21" s="7">
        <f t="shared" si="1"/>
        <v>0</v>
      </c>
      <c r="K21" s="2"/>
      <c r="L21" s="6">
        <f t="shared" si="2"/>
        <v>-138.32</v>
      </c>
      <c r="M21" s="2"/>
      <c r="N21" s="7">
        <f t="shared" si="3"/>
        <v>-0.88991829119217647</v>
      </c>
      <c r="O21" s="11"/>
      <c r="P21" s="6">
        <v>142.21</v>
      </c>
      <c r="Q21" s="2"/>
      <c r="R21" s="7">
        <f t="shared" si="4"/>
        <v>0</v>
      </c>
      <c r="S21" s="2"/>
      <c r="T21" s="6">
        <v>1544.27</v>
      </c>
      <c r="U21" s="2"/>
      <c r="V21" s="7">
        <f t="shared" si="5"/>
        <v>0</v>
      </c>
      <c r="W21" s="2"/>
      <c r="X21" s="6">
        <f t="shared" si="6"/>
        <v>-1402.06</v>
      </c>
      <c r="Y21" s="2"/>
      <c r="Z21" s="7">
        <f t="shared" si="7"/>
        <v>-0.90791118133487014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934.1</v>
      </c>
      <c r="E22" s="2"/>
      <c r="F22" s="7">
        <f t="shared" si="0"/>
        <v>0</v>
      </c>
      <c r="G22" s="2"/>
      <c r="H22" s="6">
        <v>931.95</v>
      </c>
      <c r="I22" s="2"/>
      <c r="J22" s="7">
        <f t="shared" si="1"/>
        <v>0</v>
      </c>
      <c r="K22" s="2"/>
      <c r="L22" s="6">
        <f t="shared" si="2"/>
        <v>2.1499999999999773</v>
      </c>
      <c r="M22" s="2"/>
      <c r="N22" s="7">
        <f t="shared" si="3"/>
        <v>2.3069907183861549E-3</v>
      </c>
      <c r="O22" s="11"/>
      <c r="P22" s="6">
        <v>6525.8</v>
      </c>
      <c r="Q22" s="2"/>
      <c r="R22" s="7">
        <f t="shared" si="4"/>
        <v>0</v>
      </c>
      <c r="S22" s="2"/>
      <c r="T22" s="6">
        <v>5993.06</v>
      </c>
      <c r="U22" s="2"/>
      <c r="V22" s="7">
        <f t="shared" si="5"/>
        <v>0</v>
      </c>
      <c r="W22" s="2"/>
      <c r="X22" s="6">
        <f t="shared" si="6"/>
        <v>532.73999999999978</v>
      </c>
      <c r="Y22" s="2"/>
      <c r="Z22" s="7">
        <f t="shared" si="7"/>
        <v>8.8892819361060915E-2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13.08</v>
      </c>
      <c r="E23" s="2"/>
      <c r="F23" s="7">
        <f t="shared" si="0"/>
        <v>0</v>
      </c>
      <c r="G23" s="2"/>
      <c r="H23" s="6">
        <v>11.53</v>
      </c>
      <c r="I23" s="2"/>
      <c r="J23" s="7">
        <f t="shared" si="1"/>
        <v>0</v>
      </c>
      <c r="K23" s="2"/>
      <c r="L23" s="6">
        <f t="shared" si="2"/>
        <v>1.5500000000000007</v>
      </c>
      <c r="M23" s="2"/>
      <c r="N23" s="7">
        <f t="shared" si="3"/>
        <v>0.13443191673894195</v>
      </c>
      <c r="O23" s="11"/>
      <c r="P23" s="6">
        <v>121.23</v>
      </c>
      <c r="Q23" s="2"/>
      <c r="R23" s="7">
        <f t="shared" si="4"/>
        <v>0</v>
      </c>
      <c r="S23" s="2"/>
      <c r="T23" s="6">
        <v>114.71</v>
      </c>
      <c r="U23" s="2"/>
      <c r="V23" s="7">
        <f t="shared" si="5"/>
        <v>0</v>
      </c>
      <c r="W23" s="2"/>
      <c r="X23" s="6">
        <f t="shared" si="6"/>
        <v>6.5200000000000102</v>
      </c>
      <c r="Y23" s="2"/>
      <c r="Z23" s="7">
        <f t="shared" si="7"/>
        <v>5.6838985267195628E-2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771.4</v>
      </c>
      <c r="E24" s="2"/>
      <c r="F24" s="7">
        <f t="shared" si="0"/>
        <v>0</v>
      </c>
      <c r="G24" s="2"/>
      <c r="H24" s="6">
        <v>626.76</v>
      </c>
      <c r="I24" s="2"/>
      <c r="J24" s="7">
        <f t="shared" si="1"/>
        <v>0</v>
      </c>
      <c r="K24" s="2"/>
      <c r="L24" s="6">
        <f t="shared" si="2"/>
        <v>144.63999999999999</v>
      </c>
      <c r="M24" s="2"/>
      <c r="N24" s="7">
        <f t="shared" si="3"/>
        <v>0.23077414002169888</v>
      </c>
      <c r="O24" s="11"/>
      <c r="P24" s="6">
        <v>4766.34</v>
      </c>
      <c r="Q24" s="2"/>
      <c r="R24" s="7">
        <f t="shared" si="4"/>
        <v>0</v>
      </c>
      <c r="S24" s="2"/>
      <c r="T24" s="6">
        <v>4151.43</v>
      </c>
      <c r="U24" s="2"/>
      <c r="V24" s="7">
        <f t="shared" si="5"/>
        <v>0</v>
      </c>
      <c r="W24" s="2"/>
      <c r="X24" s="6">
        <f t="shared" si="6"/>
        <v>614.90999999999985</v>
      </c>
      <c r="Y24" s="2"/>
      <c r="Z24" s="7">
        <f t="shared" si="7"/>
        <v>0.14812004538195267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464.78</v>
      </c>
      <c r="E25" s="2"/>
      <c r="F25" s="7">
        <f t="shared" si="0"/>
        <v>0</v>
      </c>
      <c r="G25" s="2"/>
      <c r="H25" s="6">
        <v>410.22</v>
      </c>
      <c r="I25" s="2"/>
      <c r="J25" s="7">
        <f t="shared" si="1"/>
        <v>0</v>
      </c>
      <c r="K25" s="2"/>
      <c r="L25" s="6">
        <f t="shared" si="2"/>
        <v>54.559999999999945</v>
      </c>
      <c r="M25" s="2"/>
      <c r="N25" s="7">
        <f t="shared" si="3"/>
        <v>0.13300180391009689</v>
      </c>
      <c r="O25" s="11"/>
      <c r="P25" s="6">
        <v>4848.6000000000004</v>
      </c>
      <c r="Q25" s="2"/>
      <c r="R25" s="7">
        <f t="shared" si="4"/>
        <v>0</v>
      </c>
      <c r="S25" s="2"/>
      <c r="T25" s="6">
        <v>3432.36</v>
      </c>
      <c r="U25" s="2"/>
      <c r="V25" s="7">
        <f t="shared" si="5"/>
        <v>0</v>
      </c>
      <c r="W25" s="2"/>
      <c r="X25" s="6">
        <f t="shared" si="6"/>
        <v>1416.2400000000002</v>
      </c>
      <c r="Y25" s="2"/>
      <c r="Z25" s="7">
        <f t="shared" si="7"/>
        <v>0.41261406146208446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232.08</v>
      </c>
      <c r="E26" s="2"/>
      <c r="F26" s="7">
        <f t="shared" si="0"/>
        <v>0</v>
      </c>
      <c r="G26" s="2"/>
      <c r="H26" s="6">
        <v>204.83</v>
      </c>
      <c r="I26" s="2"/>
      <c r="J26" s="7">
        <f t="shared" si="1"/>
        <v>0</v>
      </c>
      <c r="K26" s="2"/>
      <c r="L26" s="6">
        <f t="shared" si="2"/>
        <v>27.25</v>
      </c>
      <c r="M26" s="2"/>
      <c r="N26" s="7">
        <f t="shared" si="3"/>
        <v>0.13303715276082603</v>
      </c>
      <c r="O26" s="11"/>
      <c r="P26" s="6">
        <v>8352.0300000000007</v>
      </c>
      <c r="Q26" s="2"/>
      <c r="R26" s="7">
        <f t="shared" si="4"/>
        <v>0</v>
      </c>
      <c r="S26" s="2"/>
      <c r="T26" s="6">
        <v>2906.6</v>
      </c>
      <c r="U26" s="2"/>
      <c r="V26" s="7">
        <f t="shared" si="5"/>
        <v>0</v>
      </c>
      <c r="W26" s="2"/>
      <c r="X26" s="6">
        <f t="shared" si="6"/>
        <v>5445.43</v>
      </c>
      <c r="Y26" s="2"/>
      <c r="Z26" s="7">
        <f t="shared" si="7"/>
        <v>1.8734707218055462</v>
      </c>
    </row>
    <row r="27" spans="1:26" s="26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5534.76</v>
      </c>
      <c r="E27" s="1"/>
      <c r="F27" s="5">
        <f t="shared" ref="F27:F29" si="8">IF(D$12=0,0,D27/D$12)</f>
        <v>0</v>
      </c>
      <c r="G27" s="1"/>
      <c r="H27" s="1">
        <f>SUM(OSRRefH22_1x_0)</f>
        <v>5106.7700000000004</v>
      </c>
      <c r="I27" s="1"/>
      <c r="J27" s="5">
        <f t="shared" ref="J27:J29" si="9">IF(H$12=0,0,H27/H$12)</f>
        <v>0</v>
      </c>
      <c r="K27" s="1"/>
      <c r="L27" s="1">
        <f t="shared" ref="L27:L29" si="10">+D27-H27</f>
        <v>427.98999999999978</v>
      </c>
      <c r="M27" s="1"/>
      <c r="N27" s="5">
        <f t="shared" ref="N27:N29" si="11">IF(H27=0,0,L27/H27)</f>
        <v>8.3808356358324287E-2</v>
      </c>
      <c r="O27" s="13"/>
      <c r="P27" s="1">
        <f>SUM(OSRRefP22_1x_0)</f>
        <v>33413.72</v>
      </c>
      <c r="Q27" s="1"/>
      <c r="R27" s="5">
        <f t="shared" ref="R27:R29" si="12">IF(P$12=0,0,P27/P$12)</f>
        <v>0</v>
      </c>
      <c r="S27" s="1"/>
      <c r="T27" s="1">
        <f>SUM(OSRRefT22_1x_0)</f>
        <v>29753.539999999997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3660.1800000000039</v>
      </c>
      <c r="Y27" s="1"/>
      <c r="Z27" s="5">
        <f t="shared" ref="Z27:Z29" si="15">IF(T27=0,0,X27/T27)</f>
        <v>0.12301662255987034</v>
      </c>
    </row>
    <row r="28" spans="1:26" s="24" customFormat="1" hidden="1" outlineLevel="2" x14ac:dyDescent="0.25">
      <c r="A28" s="25"/>
      <c r="B28" s="11" t="str">
        <f>CONCATENATE("          ", "6001", " - ", "ADMINISTRATIVE SALARIES")</f>
        <v xml:space="preserve">          6001 - ADMINISTRATIVE SALARIES</v>
      </c>
      <c r="C28" s="11"/>
      <c r="D28" s="6">
        <v>5534.76</v>
      </c>
      <c r="E28" s="2"/>
      <c r="F28" s="7">
        <f t="shared" si="8"/>
        <v>0</v>
      </c>
      <c r="G28" s="2"/>
      <c r="H28" s="6">
        <v>5106.7700000000004</v>
      </c>
      <c r="I28" s="2"/>
      <c r="J28" s="7">
        <f t="shared" si="9"/>
        <v>0</v>
      </c>
      <c r="K28" s="2"/>
      <c r="L28" s="6">
        <f t="shared" si="10"/>
        <v>427.98999999999978</v>
      </c>
      <c r="M28" s="2"/>
      <c r="N28" s="7">
        <f t="shared" si="11"/>
        <v>8.3808356358324287E-2</v>
      </c>
      <c r="O28" s="11"/>
      <c r="P28" s="6">
        <v>33413.72</v>
      </c>
      <c r="Q28" s="2"/>
      <c r="R28" s="7">
        <f t="shared" si="12"/>
        <v>0</v>
      </c>
      <c r="S28" s="2"/>
      <c r="T28" s="6">
        <v>29753.539999999997</v>
      </c>
      <c r="U28" s="2"/>
      <c r="V28" s="7">
        <f t="shared" si="13"/>
        <v>0</v>
      </c>
      <c r="W28" s="2"/>
      <c r="X28" s="6">
        <f t="shared" si="14"/>
        <v>3660.1800000000039</v>
      </c>
      <c r="Y28" s="2"/>
      <c r="Z28" s="7">
        <f t="shared" si="15"/>
        <v>0.12301662255987034</v>
      </c>
    </row>
    <row r="29" spans="1:26" s="24" customFormat="1" hidden="1" outlineLevel="2" x14ac:dyDescent="0.25">
      <c r="A29" s="25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6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5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59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9" t="s">
        <v>0</v>
      </c>
      <c r="C33" s="10"/>
      <c r="D33" s="4">
        <f>SUM(OSRRefD25x_0)</f>
        <v>17307.7</v>
      </c>
      <c r="E33" s="4"/>
      <c r="F33" s="12">
        <f t="shared" ref="F33:F35" si="24">IF(D$12=0,0,D33/D$12)</f>
        <v>0</v>
      </c>
      <c r="G33" s="4"/>
      <c r="H33" s="4">
        <f>SUM(OSRRefH25x_0)</f>
        <v>18926.900000000001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-1619.2000000000007</v>
      </c>
      <c r="M33" s="4"/>
      <c r="N33" s="12">
        <f t="shared" ref="N33:N35" si="27">IF(H33=0,0,L33/H33)</f>
        <v>-8.5550195753134453E-2</v>
      </c>
      <c r="O33" s="10"/>
      <c r="P33" s="4">
        <f>SUM(OSRRefP25x_0)</f>
        <v>347763.03</v>
      </c>
      <c r="Q33" s="4"/>
      <c r="R33" s="12">
        <f t="shared" ref="R33:R35" si="28">IF(P$12=0,0,P33/P$12)</f>
        <v>0</v>
      </c>
      <c r="S33" s="4"/>
      <c r="T33" s="4">
        <f>SUM(OSRRefT25x_0)</f>
        <v>296744.92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51018.110000000044</v>
      </c>
      <c r="Y33" s="4"/>
      <c r="Z33" s="12">
        <f t="shared" ref="Z33:Z35" si="31">IF(T33=0,0,X33/T33)</f>
        <v>0.17192580752519723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--17307.7</f>
        <v>17307.7</v>
      </c>
      <c r="E34" s="2"/>
      <c r="F34" s="19">
        <f t="shared" si="24"/>
        <v>0</v>
      </c>
      <c r="G34" s="2"/>
      <c r="H34" s="2">
        <f>--9962.34</f>
        <v>9962.34</v>
      </c>
      <c r="I34" s="2"/>
      <c r="J34" s="19">
        <f t="shared" si="25"/>
        <v>0</v>
      </c>
      <c r="K34" s="2"/>
      <c r="L34" s="2">
        <f t="shared" si="26"/>
        <v>7345.3600000000006</v>
      </c>
      <c r="M34" s="2"/>
      <c r="N34" s="19">
        <f t="shared" si="27"/>
        <v>0.73731271970239931</v>
      </c>
      <c r="O34" s="11"/>
      <c r="P34" s="2">
        <f>--120346.97</f>
        <v>120346.97</v>
      </c>
      <c r="Q34" s="2"/>
      <c r="R34" s="19">
        <f t="shared" si="28"/>
        <v>0</v>
      </c>
      <c r="S34" s="2"/>
      <c r="T34" s="2">
        <f>--69849.36</f>
        <v>69849.36</v>
      </c>
      <c r="U34" s="2"/>
      <c r="V34" s="19">
        <f t="shared" si="29"/>
        <v>0</v>
      </c>
      <c r="W34" s="2"/>
      <c r="X34" s="2">
        <f t="shared" si="30"/>
        <v>50497.61</v>
      </c>
      <c r="Y34" s="2"/>
      <c r="Z34" s="19">
        <f t="shared" si="31"/>
        <v>0.72295021743935806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0</f>
        <v>0</v>
      </c>
      <c r="E35" s="2"/>
      <c r="F35" s="19">
        <f t="shared" si="24"/>
        <v>0</v>
      </c>
      <c r="G35" s="2"/>
      <c r="H35" s="2">
        <f>--8964.56</f>
        <v>8964.56</v>
      </c>
      <c r="I35" s="2"/>
      <c r="J35" s="19">
        <f t="shared" si="25"/>
        <v>0</v>
      </c>
      <c r="K35" s="2"/>
      <c r="L35" s="2">
        <f t="shared" si="26"/>
        <v>-8964.56</v>
      </c>
      <c r="M35" s="2"/>
      <c r="N35" s="19">
        <f t="shared" si="27"/>
        <v>-1</v>
      </c>
      <c r="O35" s="11"/>
      <c r="P35" s="2">
        <f>--227416.06</f>
        <v>227416.06</v>
      </c>
      <c r="Q35" s="2"/>
      <c r="R35" s="19">
        <f t="shared" si="28"/>
        <v>0</v>
      </c>
      <c r="S35" s="2"/>
      <c r="T35" s="2">
        <f>--226895.56</f>
        <v>226895.56</v>
      </c>
      <c r="U35" s="2"/>
      <c r="V35" s="19">
        <f t="shared" si="29"/>
        <v>0</v>
      </c>
      <c r="W35" s="2"/>
      <c r="X35" s="2">
        <f t="shared" si="30"/>
        <v>520.5</v>
      </c>
      <c r="Y35" s="2"/>
      <c r="Z35" s="19">
        <f t="shared" si="31"/>
        <v>2.2940069871794761E-3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3</v>
      </c>
      <c r="C37" s="28"/>
      <c r="D37" s="21">
        <f>+D16-D18+D33</f>
        <v>8955.4700000000012</v>
      </c>
      <c r="E37" s="14"/>
      <c r="F37" s="22">
        <f>IF(D$12=0,0,D37/D$12)</f>
        <v>0</v>
      </c>
      <c r="G37" s="14"/>
      <c r="H37" s="21">
        <f>+H16-H18+H33</f>
        <v>11139.670000000002</v>
      </c>
      <c r="I37" s="14"/>
      <c r="J37" s="22">
        <f>IF(H$12=0,0,H37/H$12)</f>
        <v>0</v>
      </c>
      <c r="K37" s="16"/>
      <c r="L37" s="21">
        <f>+D37-H37</f>
        <v>-2184.2000000000007</v>
      </c>
      <c r="M37" s="16"/>
      <c r="N37" s="22">
        <f>IF(H37=0,0,L37/H37)</f>
        <v>-0.19607403091833064</v>
      </c>
      <c r="O37" s="29"/>
      <c r="P37" s="21">
        <f>+P16-P18+P33</f>
        <v>287069.54000000004</v>
      </c>
      <c r="Q37" s="14"/>
      <c r="R37" s="22">
        <f>IF(P$12=0,0,P37/P$12)</f>
        <v>0</v>
      </c>
      <c r="S37" s="14"/>
      <c r="T37" s="21">
        <f>+T16-T18+T33</f>
        <v>246367.24</v>
      </c>
      <c r="U37" s="14"/>
      <c r="V37" s="22">
        <f>IF(T$12=0,0,T37/T$12)</f>
        <v>0</v>
      </c>
      <c r="W37" s="16"/>
      <c r="X37" s="21">
        <f>+P37-T37</f>
        <v>40702.300000000047</v>
      </c>
      <c r="Y37" s="16"/>
      <c r="Z37" s="22">
        <f>IF(T37=0,0,X37/T37)</f>
        <v>0.16520987124749234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8" t="s">
        <v>4</v>
      </c>
      <c r="C41" s="28"/>
      <c r="D41" s="34">
        <f>+D37-D39</f>
        <v>8955.4700000000012</v>
      </c>
      <c r="E41" s="14"/>
      <c r="F41" s="31">
        <f>IF(D$12=0,0,D41/D$12)</f>
        <v>0</v>
      </c>
      <c r="G41" s="14"/>
      <c r="H41" s="34">
        <f>+H37-H39</f>
        <v>11139.670000000002</v>
      </c>
      <c r="I41" s="14"/>
      <c r="J41" s="31">
        <f>IF(H$12=0,0,H41/H$12)</f>
        <v>0</v>
      </c>
      <c r="K41" s="16"/>
      <c r="L41" s="34">
        <f>D41-H41</f>
        <v>-2184.2000000000007</v>
      </c>
      <c r="M41" s="16"/>
      <c r="N41" s="31">
        <f>IF(H41=0,0,L41/H41)</f>
        <v>-0.19607403091833064</v>
      </c>
      <c r="O41" s="29"/>
      <c r="P41" s="34">
        <f>+P37-P39</f>
        <v>287069.54000000004</v>
      </c>
      <c r="Q41" s="14"/>
      <c r="R41" s="31">
        <f>IF(P$12=0,0,P41/P$12)</f>
        <v>0</v>
      </c>
      <c r="S41" s="14"/>
      <c r="T41" s="34">
        <f>+T37-T39</f>
        <v>246367.24</v>
      </c>
      <c r="U41" s="14"/>
      <c r="V41" s="31">
        <f>IF(T$12=0,0,T41/T$12)</f>
        <v>0</v>
      </c>
      <c r="W41" s="16"/>
      <c r="X41" s="34">
        <f>P41-T41</f>
        <v>40702.300000000047</v>
      </c>
      <c r="Y41" s="16"/>
      <c r="Z41" s="31">
        <f>IF(T41=0,0,X41/T41)</f>
        <v>0.16520987124749234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8" t="s">
        <v>5</v>
      </c>
      <c r="C44" s="28"/>
      <c r="D44" s="30">
        <f>SUM(D41:D43)</f>
        <v>8955.4700000000012</v>
      </c>
      <c r="E44" s="14"/>
      <c r="F44" s="33">
        <f>IF(D$12=0,0,D44/D$12)</f>
        <v>0</v>
      </c>
      <c r="G44" s="14"/>
      <c r="H44" s="30">
        <f>SUM(H41:H43)</f>
        <v>11139.670000000002</v>
      </c>
      <c r="I44" s="14"/>
      <c r="J44" s="33">
        <f>IF(H$12=0,0,H44/H$12)</f>
        <v>0</v>
      </c>
      <c r="K44" s="16"/>
      <c r="L44" s="30">
        <f>+D44-H44</f>
        <v>-2184.2000000000007</v>
      </c>
      <c r="M44" s="16"/>
      <c r="N44" s="33">
        <f>IF(H44=0,0,L44/H44)</f>
        <v>-0.19607403091833064</v>
      </c>
      <c r="O44" s="29"/>
      <c r="P44" s="30">
        <f>SUM(P41:P43)</f>
        <v>287069.54000000004</v>
      </c>
      <c r="Q44" s="14"/>
      <c r="R44" s="33">
        <f>IF(P$12=0,0,P44/P$12)</f>
        <v>0</v>
      </c>
      <c r="S44" s="14"/>
      <c r="T44" s="30">
        <f>SUM(T41:T43)</f>
        <v>246367.24</v>
      </c>
      <c r="U44" s="14"/>
      <c r="V44" s="33">
        <f>IF(T$12=0,0,T44/T$12)</f>
        <v>0</v>
      </c>
      <c r="W44" s="16"/>
      <c r="X44" s="30">
        <f>+P44-T44</f>
        <v>40702.300000000047</v>
      </c>
      <c r="Y44" s="16"/>
      <c r="Z44" s="33">
        <f>IF(T44=0,0,X44/T44)</f>
        <v>0.16520987124749234</v>
      </c>
    </row>
    <row r="45" spans="1:26" ht="15.75" thickTop="1" x14ac:dyDescent="0.25">
      <c r="A45" s="9"/>
      <c r="C45" s="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61">
        <v>43879.554435532409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55" t="s">
        <v>313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A48" s="9"/>
      <c r="B48" s="58"/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4:24" x14ac:dyDescent="0.25"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Z105" sqref="Z105:Z10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648989.25</v>
      </c>
      <c r="E12" s="4"/>
      <c r="F12" s="12"/>
      <c r="G12" s="4"/>
      <c r="H12" s="4">
        <f>SUM(OSRRefH13x_0)</f>
        <v>599808.24000000011</v>
      </c>
      <c r="I12" s="4"/>
      <c r="J12" s="12"/>
      <c r="K12" s="4"/>
      <c r="L12" s="4">
        <f t="shared" ref="L12:L18" si="0">+D12-H12</f>
        <v>49181.009999999893</v>
      </c>
      <c r="M12" s="4"/>
      <c r="N12" s="12">
        <f t="shared" ref="N12:N18" si="1">IF(H12=0,0,L12/H12)</f>
        <v>8.1994555459924803E-2</v>
      </c>
      <c r="O12" s="10"/>
      <c r="P12" s="4">
        <f>SUM(OSRRefP13x_0)</f>
        <v>6737303.3799999999</v>
      </c>
      <c r="Q12" s="4"/>
      <c r="R12" s="12"/>
      <c r="S12" s="4"/>
      <c r="T12" s="4">
        <f>SUM(OSRRefT13x_0)</f>
        <v>6452379.8300000001</v>
      </c>
      <c r="U12" s="4"/>
      <c r="V12" s="12"/>
      <c r="W12" s="4"/>
      <c r="X12" s="4">
        <f t="shared" ref="X12:X18" si="2">+P12-T12</f>
        <v>284923.54999999981</v>
      </c>
      <c r="Y12" s="4"/>
      <c r="Z12" s="12">
        <f t="shared" ref="Z12:Z18" si="3">IF(T12=0,0,X12/T12)</f>
        <v>4.4157901039127111E-2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--386.73</f>
        <v>386.73</v>
      </c>
      <c r="E13" s="2"/>
      <c r="F13" s="19"/>
      <c r="G13" s="2"/>
      <c r="H13" s="2">
        <f>--255.81</f>
        <v>255.81</v>
      </c>
      <c r="I13" s="2"/>
      <c r="J13" s="19"/>
      <c r="K13" s="2"/>
      <c r="L13" s="2">
        <f t="shared" si="0"/>
        <v>130.92000000000002</v>
      </c>
      <c r="M13" s="2"/>
      <c r="N13" s="19">
        <f t="shared" si="1"/>
        <v>0.51178609123959196</v>
      </c>
      <c r="O13" s="11"/>
      <c r="P13" s="2">
        <f>--20725.69</f>
        <v>20725.689999999999</v>
      </c>
      <c r="Q13" s="2"/>
      <c r="R13" s="19"/>
      <c r="S13" s="2"/>
      <c r="T13" s="2">
        <f>--9658.9</f>
        <v>9658.9</v>
      </c>
      <c r="U13" s="2"/>
      <c r="V13" s="19"/>
      <c r="W13" s="2"/>
      <c r="X13" s="2">
        <f t="shared" si="2"/>
        <v>11066.789999999999</v>
      </c>
      <c r="Y13" s="2"/>
      <c r="Z13" s="19">
        <f t="shared" si="3"/>
        <v>1.1457609044508172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--86.24</f>
        <v>86.24</v>
      </c>
      <c r="I14" s="2"/>
      <c r="J14" s="19"/>
      <c r="K14" s="2"/>
      <c r="L14" s="2">
        <f t="shared" si="0"/>
        <v>-86.24</v>
      </c>
      <c r="M14" s="2"/>
      <c r="N14" s="19">
        <f t="shared" si="1"/>
        <v>-1</v>
      </c>
      <c r="O14" s="11"/>
      <c r="P14" s="2">
        <f>--973.49</f>
        <v>973.49</v>
      </c>
      <c r="Q14" s="2"/>
      <c r="R14" s="19"/>
      <c r="S14" s="2"/>
      <c r="T14" s="2">
        <f>--830.03</f>
        <v>830.03</v>
      </c>
      <c r="U14" s="2"/>
      <c r="V14" s="19"/>
      <c r="W14" s="2"/>
      <c r="X14" s="2">
        <f t="shared" si="2"/>
        <v>143.46000000000004</v>
      </c>
      <c r="Y14" s="2"/>
      <c r="Z14" s="19">
        <f t="shared" si="3"/>
        <v>0.17283712636892648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--604694.27</f>
        <v>604694.27</v>
      </c>
      <c r="E15" s="2"/>
      <c r="F15" s="19"/>
      <c r="G15" s="2"/>
      <c r="H15" s="2">
        <f>--553820.15</f>
        <v>553820.15</v>
      </c>
      <c r="I15" s="2"/>
      <c r="J15" s="19"/>
      <c r="K15" s="2"/>
      <c r="L15" s="2">
        <f t="shared" si="0"/>
        <v>50874.119999999995</v>
      </c>
      <c r="M15" s="2"/>
      <c r="N15" s="19">
        <f t="shared" si="1"/>
        <v>9.1860362971625337E-2</v>
      </c>
      <c r="O15" s="11"/>
      <c r="P15" s="2">
        <f>--6445205.51</f>
        <v>6445205.5099999998</v>
      </c>
      <c r="Q15" s="2"/>
      <c r="R15" s="19"/>
      <c r="S15" s="2"/>
      <c r="T15" s="2">
        <f>--6198667.25</f>
        <v>6198667.25</v>
      </c>
      <c r="U15" s="2"/>
      <c r="V15" s="19"/>
      <c r="W15" s="2"/>
      <c r="X15" s="2">
        <f t="shared" si="2"/>
        <v>246538.25999999978</v>
      </c>
      <c r="Y15" s="2"/>
      <c r="Z15" s="19">
        <f t="shared" si="3"/>
        <v>3.9772785028910816E-2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--43908.25</f>
        <v>43908.25</v>
      </c>
      <c r="E16" s="2"/>
      <c r="F16" s="19"/>
      <c r="G16" s="2"/>
      <c r="H16" s="2">
        <f>--45126.4</f>
        <v>45126.400000000001</v>
      </c>
      <c r="I16" s="2"/>
      <c r="J16" s="19"/>
      <c r="K16" s="2"/>
      <c r="L16" s="2">
        <f t="shared" si="0"/>
        <v>-1218.1500000000015</v>
      </c>
      <c r="M16" s="2"/>
      <c r="N16" s="19">
        <f t="shared" si="1"/>
        <v>-2.6994176357963442E-2</v>
      </c>
      <c r="O16" s="11"/>
      <c r="P16" s="2">
        <f>--266664.79</f>
        <v>266664.78999999998</v>
      </c>
      <c r="Q16" s="2"/>
      <c r="R16" s="19"/>
      <c r="S16" s="2"/>
      <c r="T16" s="2">
        <f>--237347.53</f>
        <v>237347.53</v>
      </c>
      <c r="U16" s="2"/>
      <c r="V16" s="19"/>
      <c r="W16" s="2"/>
      <c r="X16" s="2">
        <f t="shared" si="2"/>
        <v>29317.25999999998</v>
      </c>
      <c r="Y16" s="2"/>
      <c r="Z16" s="19">
        <f t="shared" si="3"/>
        <v>0.12352039222822324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 t="shared" ref="D17:D18" si="4">0</f>
        <v>0</v>
      </c>
      <c r="E17" s="2"/>
      <c r="F17" s="19"/>
      <c r="G17" s="2"/>
      <c r="H17" s="2">
        <f>--519.64</f>
        <v>519.64</v>
      </c>
      <c r="I17" s="2"/>
      <c r="J17" s="19"/>
      <c r="K17" s="2"/>
      <c r="L17" s="2">
        <f t="shared" si="0"/>
        <v>-519.64</v>
      </c>
      <c r="M17" s="2"/>
      <c r="N17" s="19">
        <f t="shared" si="1"/>
        <v>-1</v>
      </c>
      <c r="O17" s="11"/>
      <c r="P17" s="2">
        <f>--3733.9</f>
        <v>3733.9</v>
      </c>
      <c r="Q17" s="2"/>
      <c r="R17" s="19"/>
      <c r="S17" s="2"/>
      <c r="T17" s="2">
        <f>--4821.22</f>
        <v>4821.22</v>
      </c>
      <c r="U17" s="2"/>
      <c r="V17" s="19"/>
      <c r="W17" s="2"/>
      <c r="X17" s="2">
        <f t="shared" si="2"/>
        <v>-1087.3200000000002</v>
      </c>
      <c r="Y17" s="2"/>
      <c r="Z17" s="19">
        <f t="shared" si="3"/>
        <v>-0.22552797839550986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154839.35</v>
      </c>
      <c r="E20" s="4"/>
      <c r="F20" s="12">
        <f t="shared" ref="F20:F22" si="5">IF(D$12=0,0,D20/D$12)</f>
        <v>0.23858538488888684</v>
      </c>
      <c r="G20" s="4"/>
      <c r="H20" s="4">
        <f>SUM(OSRRefH16x_0)</f>
        <v>145473.59</v>
      </c>
      <c r="I20" s="4"/>
      <c r="J20" s="12">
        <f t="shared" ref="J20:J22" si="6">IF(H$12=0,0,H20/H$12)</f>
        <v>0.24253349703898694</v>
      </c>
      <c r="K20" s="4"/>
      <c r="L20" s="4">
        <f t="shared" ref="L20:L22" si="7">+D20-H20</f>
        <v>9365.7600000000093</v>
      </c>
      <c r="M20" s="4"/>
      <c r="N20" s="12">
        <f t="shared" ref="N20:N22" si="8">IF(H20=0,0,L20/H20)</f>
        <v>6.4381170492870968E-2</v>
      </c>
      <c r="O20" s="10"/>
      <c r="P20" s="4">
        <f>SUM(OSRRefP16x_0)</f>
        <v>1618831.13</v>
      </c>
      <c r="Q20" s="4"/>
      <c r="R20" s="12">
        <f t="shared" ref="R20:R22" si="9">IF(P$12=0,0,P20/P$12)</f>
        <v>0.24027879385772885</v>
      </c>
      <c r="S20" s="4"/>
      <c r="T20" s="4">
        <f>SUM(OSRRefT16x_0)</f>
        <v>1581112.51</v>
      </c>
      <c r="U20" s="4"/>
      <c r="V20" s="12">
        <f t="shared" ref="V20:V22" si="10">IF(T$12=0,0,T20/T$12)</f>
        <v>0.24504330985734918</v>
      </c>
      <c r="W20" s="4"/>
      <c r="X20" s="4">
        <f t="shared" ref="X20:X22" si="11">+P20-T20</f>
        <v>37718.619999999879</v>
      </c>
      <c r="Y20" s="4"/>
      <c r="Z20" s="12">
        <f t="shared" ref="Z20:Z22" si="12">IF(T20=0,0,X20/T20)</f>
        <v>2.3855746989187934E-2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199642.35</v>
      </c>
      <c r="E21" s="2"/>
      <c r="F21" s="19">
        <f t="shared" si="5"/>
        <v>0.30762042668657458</v>
      </c>
      <c r="G21" s="2"/>
      <c r="H21" s="2">
        <v>183445.5</v>
      </c>
      <c r="I21" s="2"/>
      <c r="J21" s="19">
        <f t="shared" si="6"/>
        <v>0.30584024654279501</v>
      </c>
      <c r="K21" s="2"/>
      <c r="L21" s="2">
        <f t="shared" si="7"/>
        <v>16196.850000000006</v>
      </c>
      <c r="M21" s="2"/>
      <c r="N21" s="19">
        <f t="shared" si="8"/>
        <v>8.8292435628020347E-2</v>
      </c>
      <c r="O21" s="11"/>
      <c r="P21" s="2">
        <v>1657453.39</v>
      </c>
      <c r="Q21" s="2"/>
      <c r="R21" s="19">
        <f t="shared" si="9"/>
        <v>0.24601139306272415</v>
      </c>
      <c r="S21" s="2"/>
      <c r="T21" s="2">
        <v>1611060.83</v>
      </c>
      <c r="U21" s="2"/>
      <c r="V21" s="19">
        <f t="shared" si="10"/>
        <v>0.24968474771269006</v>
      </c>
      <c r="W21" s="2"/>
      <c r="X21" s="2">
        <f t="shared" si="11"/>
        <v>46392.559999999823</v>
      </c>
      <c r="Y21" s="2"/>
      <c r="Z21" s="19">
        <f t="shared" si="12"/>
        <v>2.8796280771099015E-2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-44803</v>
      </c>
      <c r="E22" s="2"/>
      <c r="F22" s="19">
        <f t="shared" si="5"/>
        <v>-6.9035041797687713E-2</v>
      </c>
      <c r="G22" s="2"/>
      <c r="H22" s="2">
        <v>-37971.910000000003</v>
      </c>
      <c r="I22" s="2"/>
      <c r="J22" s="19">
        <f t="shared" si="6"/>
        <v>-6.3306749503808074E-2</v>
      </c>
      <c r="K22" s="2"/>
      <c r="L22" s="2">
        <f t="shared" si="7"/>
        <v>-6831.0899999999965</v>
      </c>
      <c r="M22" s="2"/>
      <c r="N22" s="19">
        <f t="shared" si="8"/>
        <v>0.17989850918744923</v>
      </c>
      <c r="O22" s="11"/>
      <c r="P22" s="2">
        <v>-38622.259999999995</v>
      </c>
      <c r="Q22" s="2"/>
      <c r="R22" s="19">
        <f t="shared" si="9"/>
        <v>-5.7325992049952774E-3</v>
      </c>
      <c r="S22" s="2"/>
      <c r="T22" s="2">
        <v>-29948.32</v>
      </c>
      <c r="U22" s="2"/>
      <c r="V22" s="19">
        <f t="shared" si="10"/>
        <v>-4.6414378553408875E-3</v>
      </c>
      <c r="W22" s="2"/>
      <c r="X22" s="2">
        <f t="shared" si="11"/>
        <v>-8673.9399999999951</v>
      </c>
      <c r="Y22" s="2"/>
      <c r="Z22" s="19">
        <f t="shared" si="12"/>
        <v>0.28963026974467998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1">
        <f>D12-D20</f>
        <v>494149.9</v>
      </c>
      <c r="E24" s="14"/>
      <c r="F24" s="22">
        <f>IF(D$12=0,0,D24/D$12)</f>
        <v>0.76141461511111319</v>
      </c>
      <c r="G24" s="14"/>
      <c r="H24" s="21">
        <f>H12-H20</f>
        <v>454334.65000000014</v>
      </c>
      <c r="I24" s="14"/>
      <c r="J24" s="22">
        <f>IF(H$12=0,0,H24/H$12)</f>
        <v>0.75746650296101314</v>
      </c>
      <c r="K24" s="16"/>
      <c r="L24" s="21">
        <f>+D24-H24</f>
        <v>39815.249999999884</v>
      </c>
      <c r="M24" s="16"/>
      <c r="N24" s="22">
        <f>IF(H24=0,0,L24/H24)</f>
        <v>8.7634192109274228E-2</v>
      </c>
      <c r="O24" s="29"/>
      <c r="P24" s="21">
        <f>P12-P20</f>
        <v>5118472.25</v>
      </c>
      <c r="Q24" s="14"/>
      <c r="R24" s="22">
        <f>IF(P$12=0,0,P24/P$12)</f>
        <v>0.75972120614227112</v>
      </c>
      <c r="S24" s="14"/>
      <c r="T24" s="21">
        <f>T12-T20</f>
        <v>4871267.32</v>
      </c>
      <c r="U24" s="14"/>
      <c r="V24" s="22">
        <f>IF(T$12=0,0,T24/T$12)</f>
        <v>0.75495669014265088</v>
      </c>
      <c r="W24" s="16"/>
      <c r="X24" s="21">
        <f>+P24-T24</f>
        <v>247204.9299999997</v>
      </c>
      <c r="Y24" s="16"/>
      <c r="Z24" s="22">
        <f>IF(T24=0,0,X24/T24)</f>
        <v>5.0747559877292812E-2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0">
        <f>SUM(OSRRefD22x_0)</f>
        <v>406371.21000000014</v>
      </c>
      <c r="E26" s="20"/>
      <c r="F26" s="32">
        <f t="shared" ref="F26:F36" si="13">IF(D$12=0,0,D26/D$12)</f>
        <v>0.62616015596560359</v>
      </c>
      <c r="G26" s="20"/>
      <c r="H26" s="20">
        <f>SUM(OSRRefH22x_0)</f>
        <v>362560.41999999987</v>
      </c>
      <c r="I26" s="20"/>
      <c r="J26" s="32">
        <f t="shared" ref="J26:J36" si="14">IF(H$12=0,0,H26/H$12)</f>
        <v>0.60446055225916839</v>
      </c>
      <c r="K26" s="4"/>
      <c r="L26" s="20">
        <f t="shared" ref="L26:L36" si="15">+D26-H26</f>
        <v>43810.79000000027</v>
      </c>
      <c r="M26" s="4"/>
      <c r="N26" s="32">
        <f t="shared" ref="N26:N36" si="16">IF(H26=0,0,L26/H26)</f>
        <v>0.12083721107781231</v>
      </c>
      <c r="O26" s="10"/>
      <c r="P26" s="20">
        <f>SUM(OSRRefP22x_0)</f>
        <v>3350940.84</v>
      </c>
      <c r="Q26" s="20"/>
      <c r="R26" s="32">
        <f t="shared" ref="R26:R36" si="17">IF(P$12=0,0,P26/P$12)</f>
        <v>0.4973712256965338</v>
      </c>
      <c r="S26" s="20"/>
      <c r="T26" s="20">
        <f>SUM(OSRRefT22x_0)</f>
        <v>3030888.4599999986</v>
      </c>
      <c r="U26" s="20"/>
      <c r="V26" s="32">
        <f t="shared" ref="V26:V36" si="18">IF(T$12=0,0,T26/T$12)</f>
        <v>0.46973187255778748</v>
      </c>
      <c r="W26" s="4"/>
      <c r="X26" s="20">
        <f t="shared" ref="X26:X36" si="19">+P26-T26</f>
        <v>320052.38000000129</v>
      </c>
      <c r="Y26" s="4"/>
      <c r="Z26" s="32">
        <f t="shared" ref="Z26:Z36" si="20">IF(T26=0,0,X26/T26)</f>
        <v>0.10559688494772303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94274.670000000013</v>
      </c>
      <c r="E27" s="1"/>
      <c r="F27" s="5">
        <f t="shared" si="13"/>
        <v>0.1452638391159792</v>
      </c>
      <c r="G27" s="1"/>
      <c r="H27" s="1">
        <f>SUM(OSRRefH22_0x_0)</f>
        <v>86991.26999999999</v>
      </c>
      <c r="I27" s="1"/>
      <c r="J27" s="5">
        <f t="shared" si="14"/>
        <v>0.14503180216397157</v>
      </c>
      <c r="K27" s="1"/>
      <c r="L27" s="1">
        <f t="shared" si="15"/>
        <v>7283.4000000000233</v>
      </c>
      <c r="M27" s="1"/>
      <c r="N27" s="5">
        <f t="shared" si="16"/>
        <v>8.3725642814503384E-2</v>
      </c>
      <c r="O27" s="13"/>
      <c r="P27" s="1">
        <f>SUM(OSRRefP22_0x_0)</f>
        <v>663693.44000000006</v>
      </c>
      <c r="Q27" s="1"/>
      <c r="R27" s="5">
        <f t="shared" si="17"/>
        <v>9.8510249957008772E-2</v>
      </c>
      <c r="S27" s="1"/>
      <c r="T27" s="1">
        <f>SUM(OSRRefT22_0x_0)</f>
        <v>633858.96</v>
      </c>
      <c r="U27" s="1"/>
      <c r="V27" s="5">
        <f t="shared" si="18"/>
        <v>9.823646107330912E-2</v>
      </c>
      <c r="W27" s="1"/>
      <c r="X27" s="1">
        <f t="shared" si="19"/>
        <v>29834.480000000098</v>
      </c>
      <c r="Y27" s="1"/>
      <c r="Z27" s="5">
        <f t="shared" si="20"/>
        <v>4.7068010208454102E-2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6">
        <v>9638.9599999999991</v>
      </c>
      <c r="E28" s="2"/>
      <c r="F28" s="7">
        <f t="shared" si="13"/>
        <v>1.4852264502069949E-2</v>
      </c>
      <c r="G28" s="2"/>
      <c r="H28" s="6">
        <v>9107.56</v>
      </c>
      <c r="I28" s="2"/>
      <c r="J28" s="7">
        <f t="shared" si="14"/>
        <v>1.5184119511262462E-2</v>
      </c>
      <c r="K28" s="2"/>
      <c r="L28" s="6">
        <f t="shared" si="15"/>
        <v>531.39999999999964</v>
      </c>
      <c r="M28" s="2"/>
      <c r="N28" s="7">
        <f t="shared" si="16"/>
        <v>5.8347131394138461E-2</v>
      </c>
      <c r="O28" s="11"/>
      <c r="P28" s="6">
        <v>95736.65</v>
      </c>
      <c r="Q28" s="2"/>
      <c r="R28" s="7">
        <f t="shared" si="17"/>
        <v>1.420993602339457E-2</v>
      </c>
      <c r="S28" s="2"/>
      <c r="T28" s="6">
        <v>85797.87</v>
      </c>
      <c r="U28" s="2"/>
      <c r="V28" s="7">
        <f t="shared" si="18"/>
        <v>1.3297089176475216E-2</v>
      </c>
      <c r="W28" s="2"/>
      <c r="X28" s="6">
        <f t="shared" si="19"/>
        <v>9938.7799999999988</v>
      </c>
      <c r="Y28" s="2"/>
      <c r="Z28" s="7">
        <f t="shared" si="20"/>
        <v>0.1158394724717525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6">
        <v>6421.15</v>
      </c>
      <c r="E29" s="2"/>
      <c r="F29" s="7">
        <f t="shared" si="13"/>
        <v>9.8940775983577534E-3</v>
      </c>
      <c r="G29" s="2"/>
      <c r="H29" s="6">
        <v>5357.86</v>
      </c>
      <c r="I29" s="2"/>
      <c r="J29" s="7">
        <f t="shared" si="14"/>
        <v>8.932621532508454E-3</v>
      </c>
      <c r="K29" s="2"/>
      <c r="L29" s="6">
        <f t="shared" si="15"/>
        <v>1063.29</v>
      </c>
      <c r="M29" s="2"/>
      <c r="N29" s="7">
        <f t="shared" si="16"/>
        <v>0.19845423359326297</v>
      </c>
      <c r="O29" s="11"/>
      <c r="P29" s="6">
        <v>54677.61</v>
      </c>
      <c r="Q29" s="2"/>
      <c r="R29" s="7">
        <f t="shared" si="17"/>
        <v>8.1156520518747971E-3</v>
      </c>
      <c r="S29" s="2"/>
      <c r="T29" s="6">
        <v>57591.839999999997</v>
      </c>
      <c r="U29" s="2"/>
      <c r="V29" s="7">
        <f t="shared" si="18"/>
        <v>8.9256741725323996E-3</v>
      </c>
      <c r="W29" s="2"/>
      <c r="X29" s="6">
        <f t="shared" si="19"/>
        <v>-2914.2299999999959</v>
      </c>
      <c r="Y29" s="2"/>
      <c r="Z29" s="7">
        <f t="shared" si="20"/>
        <v>-5.0601439370577428E-2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6">
        <v>51635.66</v>
      </c>
      <c r="E30" s="2"/>
      <c r="F30" s="7">
        <f t="shared" si="13"/>
        <v>7.9563197695493415E-2</v>
      </c>
      <c r="G30" s="2"/>
      <c r="H30" s="6">
        <v>45735.270000000004</v>
      </c>
      <c r="I30" s="2"/>
      <c r="J30" s="7">
        <f t="shared" si="14"/>
        <v>7.6249819442293754E-2</v>
      </c>
      <c r="K30" s="2"/>
      <c r="L30" s="6">
        <f t="shared" si="15"/>
        <v>5900.3899999999994</v>
      </c>
      <c r="M30" s="2"/>
      <c r="N30" s="7">
        <f t="shared" si="16"/>
        <v>0.12901181079722496</v>
      </c>
      <c r="O30" s="11"/>
      <c r="P30" s="6">
        <v>329595.16000000003</v>
      </c>
      <c r="Q30" s="2"/>
      <c r="R30" s="7">
        <f t="shared" si="17"/>
        <v>4.8920931923359529E-2</v>
      </c>
      <c r="S30" s="2"/>
      <c r="T30" s="6">
        <v>315239</v>
      </c>
      <c r="U30" s="2"/>
      <c r="V30" s="7">
        <f t="shared" si="18"/>
        <v>4.8856237280749171E-2</v>
      </c>
      <c r="W30" s="2"/>
      <c r="X30" s="6">
        <f t="shared" si="19"/>
        <v>14356.160000000033</v>
      </c>
      <c r="Y30" s="2"/>
      <c r="Z30" s="7">
        <f t="shared" si="20"/>
        <v>4.5540558116223033E-2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6">
        <v>434.97</v>
      </c>
      <c r="E31" s="2"/>
      <c r="F31" s="7">
        <f t="shared" si="13"/>
        <v>6.7022681808674028E-4</v>
      </c>
      <c r="G31" s="2"/>
      <c r="H31" s="6">
        <v>401.45</v>
      </c>
      <c r="I31" s="2"/>
      <c r="J31" s="7">
        <f t="shared" si="14"/>
        <v>6.6929724073147101E-4</v>
      </c>
      <c r="K31" s="2"/>
      <c r="L31" s="6">
        <f t="shared" si="15"/>
        <v>33.520000000000039</v>
      </c>
      <c r="M31" s="2"/>
      <c r="N31" s="7">
        <f t="shared" si="16"/>
        <v>8.3497322206999722E-2</v>
      </c>
      <c r="O31" s="11"/>
      <c r="P31" s="6">
        <v>4660.1400000000003</v>
      </c>
      <c r="Q31" s="2"/>
      <c r="R31" s="7">
        <f t="shared" si="17"/>
        <v>6.9169217076283718E-4</v>
      </c>
      <c r="S31" s="2"/>
      <c r="T31" s="6">
        <v>4307.0200000000004</v>
      </c>
      <c r="U31" s="2"/>
      <c r="V31" s="7">
        <f t="shared" si="18"/>
        <v>6.6750875079838574E-4</v>
      </c>
      <c r="W31" s="2"/>
      <c r="X31" s="6">
        <f t="shared" si="19"/>
        <v>353.11999999999989</v>
      </c>
      <c r="Y31" s="2"/>
      <c r="Z31" s="7">
        <f t="shared" si="20"/>
        <v>8.1987081555228408E-2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6">
        <v>6063.12</v>
      </c>
      <c r="E32" s="2"/>
      <c r="F32" s="7">
        <f t="shared" si="13"/>
        <v>9.3424043618596138E-3</v>
      </c>
      <c r="G32" s="2"/>
      <c r="H32" s="6">
        <v>5436.48</v>
      </c>
      <c r="I32" s="2"/>
      <c r="J32" s="7">
        <f t="shared" si="14"/>
        <v>9.0636967574836899E-3</v>
      </c>
      <c r="K32" s="2"/>
      <c r="L32" s="6">
        <f t="shared" si="15"/>
        <v>626.64000000000033</v>
      </c>
      <c r="M32" s="2"/>
      <c r="N32" s="7">
        <f t="shared" si="16"/>
        <v>0.1152657601977751</v>
      </c>
      <c r="O32" s="11"/>
      <c r="P32" s="6">
        <v>31969.660000000003</v>
      </c>
      <c r="Q32" s="2"/>
      <c r="R32" s="7">
        <f t="shared" si="17"/>
        <v>4.7451715021329501E-3</v>
      </c>
      <c r="S32" s="2"/>
      <c r="T32" s="6">
        <v>30345.43</v>
      </c>
      <c r="U32" s="2"/>
      <c r="V32" s="7">
        <f t="shared" si="18"/>
        <v>4.7029825892937246E-3</v>
      </c>
      <c r="W32" s="2"/>
      <c r="X32" s="6">
        <f t="shared" si="19"/>
        <v>1624.2300000000032</v>
      </c>
      <c r="Y32" s="2"/>
      <c r="Z32" s="7">
        <f t="shared" si="20"/>
        <v>5.3524698776718706E-2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2264.3000000000002</v>
      </c>
      <c r="E33" s="2"/>
      <c r="F33" s="7">
        <f t="shared" si="13"/>
        <v>3.488963800247847E-3</v>
      </c>
      <c r="G33" s="2"/>
      <c r="H33" s="6">
        <v>1362.76</v>
      </c>
      <c r="I33" s="2"/>
      <c r="J33" s="7">
        <f t="shared" si="14"/>
        <v>2.2719927955641285E-3</v>
      </c>
      <c r="K33" s="2"/>
      <c r="L33" s="6">
        <f t="shared" si="15"/>
        <v>901.54000000000019</v>
      </c>
      <c r="M33" s="2"/>
      <c r="N33" s="7">
        <f t="shared" si="16"/>
        <v>0.66155449235375285</v>
      </c>
      <c r="O33" s="11"/>
      <c r="P33" s="6">
        <v>12732.31</v>
      </c>
      <c r="Q33" s="2"/>
      <c r="R33" s="7">
        <f t="shared" si="17"/>
        <v>1.8898228685673346E-3</v>
      </c>
      <c r="S33" s="2"/>
      <c r="T33" s="6">
        <v>10596.04</v>
      </c>
      <c r="U33" s="2"/>
      <c r="V33" s="7">
        <f t="shared" si="18"/>
        <v>1.6421909867634064E-3</v>
      </c>
      <c r="W33" s="2"/>
      <c r="X33" s="6">
        <f t="shared" si="19"/>
        <v>2136.2699999999986</v>
      </c>
      <c r="Y33" s="2"/>
      <c r="Z33" s="7">
        <f t="shared" si="20"/>
        <v>0.20161022419696401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7754.21</v>
      </c>
      <c r="E34" s="2"/>
      <c r="F34" s="7">
        <f t="shared" si="13"/>
        <v>1.1948133193269379E-2</v>
      </c>
      <c r="G34" s="2"/>
      <c r="H34" s="6">
        <v>7737.22</v>
      </c>
      <c r="I34" s="2"/>
      <c r="J34" s="7">
        <f t="shared" si="14"/>
        <v>1.2899489343460835E-2</v>
      </c>
      <c r="K34" s="2"/>
      <c r="L34" s="6">
        <f t="shared" si="15"/>
        <v>16.989999999999782</v>
      </c>
      <c r="M34" s="2"/>
      <c r="N34" s="7">
        <f t="shared" si="16"/>
        <v>2.195879140052859E-3</v>
      </c>
      <c r="O34" s="11"/>
      <c r="P34" s="6">
        <v>61310.210000000006</v>
      </c>
      <c r="Q34" s="2"/>
      <c r="R34" s="7">
        <f t="shared" si="17"/>
        <v>9.1001112079949122E-3</v>
      </c>
      <c r="S34" s="2"/>
      <c r="T34" s="6">
        <v>58403.310000000005</v>
      </c>
      <c r="U34" s="2"/>
      <c r="V34" s="7">
        <f t="shared" si="18"/>
        <v>9.0514370726374315E-3</v>
      </c>
      <c r="W34" s="2"/>
      <c r="X34" s="6">
        <f t="shared" si="19"/>
        <v>2906.9000000000015</v>
      </c>
      <c r="Y34" s="2"/>
      <c r="Z34" s="7">
        <f t="shared" si="20"/>
        <v>4.9772863901035767E-2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5163.3500000000004</v>
      </c>
      <c r="E35" s="2"/>
      <c r="F35" s="7">
        <f t="shared" si="13"/>
        <v>7.9559869443137938E-3</v>
      </c>
      <c r="G35" s="2"/>
      <c r="H35" s="6">
        <v>8432.48</v>
      </c>
      <c r="I35" s="2"/>
      <c r="J35" s="7">
        <f t="shared" si="14"/>
        <v>1.4058626470353256E-2</v>
      </c>
      <c r="K35" s="2"/>
      <c r="L35" s="6">
        <f t="shared" si="15"/>
        <v>-3269.1299999999992</v>
      </c>
      <c r="M35" s="2"/>
      <c r="N35" s="7">
        <f t="shared" si="16"/>
        <v>-0.38768310153122204</v>
      </c>
      <c r="O35" s="11"/>
      <c r="P35" s="6">
        <v>46566.950000000004</v>
      </c>
      <c r="Q35" s="2"/>
      <c r="R35" s="7">
        <f t="shared" si="17"/>
        <v>6.9118083858649105E-3</v>
      </c>
      <c r="S35" s="2"/>
      <c r="T35" s="6">
        <v>47425.689999999995</v>
      </c>
      <c r="U35" s="2"/>
      <c r="V35" s="7">
        <f t="shared" si="18"/>
        <v>7.350108215808491E-3</v>
      </c>
      <c r="W35" s="2"/>
      <c r="X35" s="6">
        <f t="shared" si="19"/>
        <v>-858.73999999999069</v>
      </c>
      <c r="Y35" s="2"/>
      <c r="Z35" s="7">
        <f t="shared" si="20"/>
        <v>-1.8107063914093623E-2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4898.95</v>
      </c>
      <c r="E36" s="2"/>
      <c r="F36" s="7">
        <f t="shared" si="13"/>
        <v>7.5485842022806997E-3</v>
      </c>
      <c r="G36" s="2"/>
      <c r="H36" s="6">
        <v>3420.19</v>
      </c>
      <c r="I36" s="2"/>
      <c r="J36" s="7">
        <f t="shared" si="14"/>
        <v>5.7021390703135381E-3</v>
      </c>
      <c r="K36" s="2"/>
      <c r="L36" s="6">
        <f t="shared" si="15"/>
        <v>1478.7599999999998</v>
      </c>
      <c r="M36" s="2"/>
      <c r="N36" s="7">
        <f t="shared" si="16"/>
        <v>0.43236194480423595</v>
      </c>
      <c r="O36" s="11"/>
      <c r="P36" s="6">
        <v>26444.75</v>
      </c>
      <c r="Q36" s="2"/>
      <c r="R36" s="7">
        <f t="shared" si="17"/>
        <v>3.9251238230569334E-3</v>
      </c>
      <c r="S36" s="2"/>
      <c r="T36" s="6">
        <v>24152.76</v>
      </c>
      <c r="U36" s="2"/>
      <c r="V36" s="7">
        <f t="shared" si="18"/>
        <v>3.7432328282509058E-3</v>
      </c>
      <c r="W36" s="2"/>
      <c r="X36" s="6">
        <f t="shared" si="19"/>
        <v>2291.9900000000016</v>
      </c>
      <c r="Y36" s="2"/>
      <c r="Z36" s="7">
        <f t="shared" si="20"/>
        <v>9.4895573011117645E-2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214542.4</v>
      </c>
      <c r="E37" s="1"/>
      <c r="F37" s="5">
        <f t="shared" ref="F37:F44" si="21">IF(D$12=0,0,D37/D$12)</f>
        <v>0.33057928155204419</v>
      </c>
      <c r="G37" s="1"/>
      <c r="H37" s="1">
        <f>SUM(OSRRefH22_1x_0)</f>
        <v>186218.87</v>
      </c>
      <c r="I37" s="1"/>
      <c r="J37" s="5">
        <f t="shared" ref="J37:J44" si="22">IF(H$12=0,0,H37/H$12)</f>
        <v>0.31046400763017185</v>
      </c>
      <c r="K37" s="1"/>
      <c r="L37" s="1">
        <f t="shared" ref="L37:L44" si="23">+D37-H37</f>
        <v>28323.53</v>
      </c>
      <c r="M37" s="1"/>
      <c r="N37" s="5">
        <f t="shared" ref="N37:N44" si="24">IF(H37=0,0,L37/H37)</f>
        <v>0.15209806610898241</v>
      </c>
      <c r="O37" s="13"/>
      <c r="P37" s="1">
        <f>SUM(OSRRefP22_1x_0)</f>
        <v>1736172.3900000001</v>
      </c>
      <c r="Q37" s="1"/>
      <c r="R37" s="5">
        <f t="shared" ref="R37:R44" si="25">IF(P$12=0,0,P37/P$12)</f>
        <v>0.25769544461273763</v>
      </c>
      <c r="S37" s="1"/>
      <c r="T37" s="1">
        <f>SUM(OSRRefT22_1x_0)</f>
        <v>1523335.22</v>
      </c>
      <c r="U37" s="1"/>
      <c r="V37" s="5">
        <f t="shared" ref="V37:V44" si="26">IF(T$12=0,0,T37/T$12)</f>
        <v>0.23608889435140398</v>
      </c>
      <c r="W37" s="1"/>
      <c r="X37" s="1">
        <f t="shared" ref="X37:X44" si="27">+P37-T37</f>
        <v>212837.17000000016</v>
      </c>
      <c r="Y37" s="1"/>
      <c r="Z37" s="5">
        <f t="shared" ref="Z37:Z44" si="28">IF(T37=0,0,X37/T37)</f>
        <v>0.13971788166231736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>
        <v>8552.0400000000009</v>
      </c>
      <c r="E38" s="2"/>
      <c r="F38" s="7">
        <f t="shared" si="21"/>
        <v>1.3177475589926954E-2</v>
      </c>
      <c r="G38" s="2"/>
      <c r="H38" s="6">
        <v>7907.85</v>
      </c>
      <c r="I38" s="2"/>
      <c r="J38" s="7">
        <f t="shared" si="22"/>
        <v>1.3183963594764885E-2</v>
      </c>
      <c r="K38" s="2"/>
      <c r="L38" s="6">
        <f t="shared" si="23"/>
        <v>644.19000000000051</v>
      </c>
      <c r="M38" s="2"/>
      <c r="N38" s="7">
        <f t="shared" si="24"/>
        <v>8.1462091466074915E-2</v>
      </c>
      <c r="O38" s="11"/>
      <c r="P38" s="6">
        <v>54164.28</v>
      </c>
      <c r="Q38" s="2"/>
      <c r="R38" s="7">
        <f t="shared" si="25"/>
        <v>8.0394598469157846E-3</v>
      </c>
      <c r="S38" s="2"/>
      <c r="T38" s="6">
        <v>54959.26</v>
      </c>
      <c r="U38" s="2"/>
      <c r="V38" s="7">
        <f t="shared" si="26"/>
        <v>8.5176727731479506E-3</v>
      </c>
      <c r="W38" s="2"/>
      <c r="X38" s="6">
        <f t="shared" si="27"/>
        <v>-794.9800000000032</v>
      </c>
      <c r="Y38" s="2"/>
      <c r="Z38" s="7">
        <f t="shared" si="28"/>
        <v>-1.4464896361413949E-2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44330.89</v>
      </c>
      <c r="E39" s="2"/>
      <c r="F39" s="7">
        <f t="shared" si="21"/>
        <v>6.8307587529377406E-2</v>
      </c>
      <c r="G39" s="2"/>
      <c r="H39" s="6">
        <v>38133.49</v>
      </c>
      <c r="I39" s="2"/>
      <c r="J39" s="7">
        <f t="shared" si="22"/>
        <v>6.3576135599604289E-2</v>
      </c>
      <c r="K39" s="2"/>
      <c r="L39" s="6">
        <f t="shared" si="23"/>
        <v>6197.4000000000015</v>
      </c>
      <c r="M39" s="2"/>
      <c r="N39" s="7">
        <f t="shared" si="24"/>
        <v>0.16251856307933005</v>
      </c>
      <c r="O39" s="11"/>
      <c r="P39" s="6">
        <v>280612.18000000005</v>
      </c>
      <c r="Q39" s="2"/>
      <c r="R39" s="7">
        <f t="shared" si="25"/>
        <v>4.1650518638215166E-2</v>
      </c>
      <c r="S39" s="2"/>
      <c r="T39" s="6">
        <v>261303.47</v>
      </c>
      <c r="U39" s="2"/>
      <c r="V39" s="7">
        <f t="shared" si="26"/>
        <v>4.049722379719236E-2</v>
      </c>
      <c r="W39" s="2"/>
      <c r="X39" s="6">
        <f t="shared" si="27"/>
        <v>19308.71000000005</v>
      </c>
      <c r="Y39" s="2"/>
      <c r="Z39" s="7">
        <f t="shared" si="28"/>
        <v>7.389381396274626E-2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48556.32</v>
      </c>
      <c r="E40" s="2"/>
      <c r="F40" s="7">
        <f t="shared" si="21"/>
        <v>7.4818373339774119E-2</v>
      </c>
      <c r="G40" s="2"/>
      <c r="H40" s="6">
        <v>36030.620000000003</v>
      </c>
      <c r="I40" s="2"/>
      <c r="J40" s="7">
        <f t="shared" si="22"/>
        <v>6.0070231779410024E-2</v>
      </c>
      <c r="K40" s="2"/>
      <c r="L40" s="6">
        <f t="shared" si="23"/>
        <v>12525.699999999997</v>
      </c>
      <c r="M40" s="2"/>
      <c r="N40" s="7">
        <f t="shared" si="24"/>
        <v>0.3476404236174675</v>
      </c>
      <c r="O40" s="11"/>
      <c r="P40" s="6">
        <v>412083.58</v>
      </c>
      <c r="Q40" s="2"/>
      <c r="R40" s="7">
        <f t="shared" si="25"/>
        <v>6.1164468446424633E-2</v>
      </c>
      <c r="S40" s="2"/>
      <c r="T40" s="6">
        <v>389396.27999999997</v>
      </c>
      <c r="U40" s="2"/>
      <c r="V40" s="7">
        <f t="shared" si="26"/>
        <v>6.0349249464441396E-2</v>
      </c>
      <c r="W40" s="2"/>
      <c r="X40" s="6">
        <f t="shared" si="27"/>
        <v>22687.300000000047</v>
      </c>
      <c r="Y40" s="2"/>
      <c r="Z40" s="7">
        <f t="shared" si="28"/>
        <v>5.8262754847067486E-2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14623.73</v>
      </c>
      <c r="E41" s="2"/>
      <c r="F41" s="7">
        <f t="shared" si="21"/>
        <v>2.2533085101178487E-2</v>
      </c>
      <c r="G41" s="2"/>
      <c r="H41" s="6">
        <v>17991.84</v>
      </c>
      <c r="I41" s="2"/>
      <c r="J41" s="7">
        <f t="shared" si="22"/>
        <v>2.9995986717354862E-2</v>
      </c>
      <c r="K41" s="2"/>
      <c r="L41" s="6">
        <f t="shared" si="23"/>
        <v>-3368.1100000000006</v>
      </c>
      <c r="M41" s="2"/>
      <c r="N41" s="7">
        <f t="shared" si="24"/>
        <v>-0.18720208716840525</v>
      </c>
      <c r="O41" s="11"/>
      <c r="P41" s="6">
        <v>289982.48</v>
      </c>
      <c r="Q41" s="2"/>
      <c r="R41" s="7">
        <f t="shared" si="25"/>
        <v>4.304132731514311E-2</v>
      </c>
      <c r="S41" s="2"/>
      <c r="T41" s="6">
        <v>237372.83000000002</v>
      </c>
      <c r="U41" s="2"/>
      <c r="V41" s="7">
        <f t="shared" si="26"/>
        <v>3.6788415476774562E-2</v>
      </c>
      <c r="W41" s="2"/>
      <c r="X41" s="6">
        <f t="shared" si="27"/>
        <v>52609.649999999965</v>
      </c>
      <c r="Y41" s="2"/>
      <c r="Z41" s="7">
        <f t="shared" si="28"/>
        <v>0.22163298975708368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>
        <v>325</v>
      </c>
      <c r="E42" s="2"/>
      <c r="F42" s="7">
        <f t="shared" si="21"/>
        <v>5.0077871089544246E-4</v>
      </c>
      <c r="G42" s="2"/>
      <c r="H42" s="6">
        <v>1439.06</v>
      </c>
      <c r="I42" s="2"/>
      <c r="J42" s="7">
        <f t="shared" si="22"/>
        <v>2.399200117690947E-3</v>
      </c>
      <c r="K42" s="2"/>
      <c r="L42" s="6">
        <f t="shared" si="23"/>
        <v>-1114.06</v>
      </c>
      <c r="M42" s="2"/>
      <c r="N42" s="7">
        <f t="shared" si="24"/>
        <v>-0.774158131002182</v>
      </c>
      <c r="O42" s="11"/>
      <c r="P42" s="6">
        <v>29870.6</v>
      </c>
      <c r="Q42" s="2"/>
      <c r="R42" s="7">
        <f t="shared" si="25"/>
        <v>4.4336136158974627E-3</v>
      </c>
      <c r="S42" s="2"/>
      <c r="T42" s="6">
        <v>7730.13</v>
      </c>
      <c r="U42" s="2"/>
      <c r="V42" s="7">
        <f t="shared" si="26"/>
        <v>1.1980277360702121E-3</v>
      </c>
      <c r="W42" s="2"/>
      <c r="X42" s="6">
        <f t="shared" si="27"/>
        <v>22140.469999999998</v>
      </c>
      <c r="Y42" s="2"/>
      <c r="Z42" s="7">
        <f t="shared" si="28"/>
        <v>2.8641782220997571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93835.17</v>
      </c>
      <c r="E43" s="2"/>
      <c r="F43" s="7">
        <f t="shared" si="21"/>
        <v>0.14458663221309134</v>
      </c>
      <c r="G43" s="2"/>
      <c r="H43" s="6">
        <v>78740.009999999995</v>
      </c>
      <c r="I43" s="2"/>
      <c r="J43" s="7">
        <f t="shared" si="22"/>
        <v>0.13127530558766579</v>
      </c>
      <c r="K43" s="2"/>
      <c r="L43" s="6">
        <f t="shared" si="23"/>
        <v>15095.160000000003</v>
      </c>
      <c r="M43" s="2"/>
      <c r="N43" s="7">
        <f t="shared" si="24"/>
        <v>0.19170889107075303</v>
      </c>
      <c r="O43" s="11"/>
      <c r="P43" s="6">
        <v>549956.52</v>
      </c>
      <c r="Q43" s="2"/>
      <c r="R43" s="7">
        <f t="shared" si="25"/>
        <v>8.1628581790241433E-2</v>
      </c>
      <c r="S43" s="2"/>
      <c r="T43" s="6">
        <v>459958.60000000003</v>
      </c>
      <c r="U43" s="2"/>
      <c r="V43" s="7">
        <f t="shared" si="26"/>
        <v>7.1285109078893155E-2</v>
      </c>
      <c r="W43" s="2"/>
      <c r="X43" s="6">
        <f t="shared" si="27"/>
        <v>89997.919999999984</v>
      </c>
      <c r="Y43" s="2"/>
      <c r="Z43" s="7">
        <f t="shared" si="28"/>
        <v>0.19566526204749726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4319.25</v>
      </c>
      <c r="E44" s="2"/>
      <c r="F44" s="7">
        <f t="shared" si="21"/>
        <v>6.6553490678004298E-3</v>
      </c>
      <c r="G44" s="2"/>
      <c r="H44" s="6">
        <v>5976</v>
      </c>
      <c r="I44" s="2"/>
      <c r="J44" s="7">
        <f t="shared" si="22"/>
        <v>9.9631842336810831E-3</v>
      </c>
      <c r="K44" s="2"/>
      <c r="L44" s="6">
        <f t="shared" si="23"/>
        <v>-1656.75</v>
      </c>
      <c r="M44" s="2"/>
      <c r="N44" s="7">
        <f t="shared" si="24"/>
        <v>-0.27723393574297189</v>
      </c>
      <c r="O44" s="11"/>
      <c r="P44" s="6">
        <v>119502.75000000001</v>
      </c>
      <c r="Q44" s="2"/>
      <c r="R44" s="7">
        <f t="shared" si="25"/>
        <v>1.7737474959900058E-2</v>
      </c>
      <c r="S44" s="2"/>
      <c r="T44" s="6">
        <v>112614.65</v>
      </c>
      <c r="U44" s="2"/>
      <c r="V44" s="7">
        <f t="shared" si="26"/>
        <v>1.7453196024884356E-2</v>
      </c>
      <c r="W44" s="2"/>
      <c r="X44" s="6">
        <f t="shared" si="27"/>
        <v>6888.1000000000204</v>
      </c>
      <c r="Y44" s="2"/>
      <c r="Z44" s="7">
        <f t="shared" si="28"/>
        <v>6.116522139881464E-2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289.5</v>
      </c>
      <c r="E45" s="1"/>
      <c r="F45" s="5">
        <f t="shared" ref="F45:F68" si="29">IF(D$12=0,0,D45/D$12)</f>
        <v>4.4607826708994026E-4</v>
      </c>
      <c r="G45" s="1"/>
      <c r="H45" s="1">
        <f>SUM(OSRRefH22_2x_0)</f>
        <v>325.51</v>
      </c>
      <c r="I45" s="1"/>
      <c r="J45" s="5">
        <f t="shared" ref="J45:J68" si="30">IF(H$12=0,0,H45/H$12)</f>
        <v>5.4269011042595871E-4</v>
      </c>
      <c r="K45" s="1"/>
      <c r="L45" s="1">
        <f t="shared" ref="L45:L68" si="31">+D45-H45</f>
        <v>-36.009999999999991</v>
      </c>
      <c r="M45" s="1"/>
      <c r="N45" s="5">
        <f t="shared" ref="N45:N68" si="32">IF(H45=0,0,L45/H45)</f>
        <v>-0.11062640164664678</v>
      </c>
      <c r="O45" s="13"/>
      <c r="P45" s="1">
        <f>SUM(OSRRefP22_2x_0)</f>
        <v>8218.2999999999993</v>
      </c>
      <c r="Q45" s="1"/>
      <c r="R45" s="5">
        <f t="shared" ref="R45:R68" si="33">IF(P$12=0,0,P45/P$12)</f>
        <v>1.2198203845764771E-3</v>
      </c>
      <c r="S45" s="1"/>
      <c r="T45" s="1">
        <f>SUM(OSRRefT22_2x_0)</f>
        <v>11057.5</v>
      </c>
      <c r="U45" s="1"/>
      <c r="V45" s="5">
        <f t="shared" ref="V45:V68" si="34">IF(T$12=0,0,T45/T$12)</f>
        <v>1.7137087851816684E-3</v>
      </c>
      <c r="W45" s="1"/>
      <c r="X45" s="1">
        <f t="shared" ref="X45:X68" si="35">+P45-T45</f>
        <v>-2839.2000000000007</v>
      </c>
      <c r="Y45" s="1"/>
      <c r="Z45" s="5">
        <f t="shared" ref="Z45:Z68" si="36">IF(T45=0,0,X45/T45)</f>
        <v>-0.25676690029391824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>
        <v>289.5</v>
      </c>
      <c r="E46" s="2"/>
      <c r="F46" s="7">
        <f t="shared" si="29"/>
        <v>4.4607826708994026E-4</v>
      </c>
      <c r="G46" s="2"/>
      <c r="H46" s="6">
        <v>325.51</v>
      </c>
      <c r="I46" s="2"/>
      <c r="J46" s="7">
        <f t="shared" si="30"/>
        <v>5.4269011042595871E-4</v>
      </c>
      <c r="K46" s="2"/>
      <c r="L46" s="6">
        <f t="shared" si="31"/>
        <v>-36.009999999999991</v>
      </c>
      <c r="M46" s="2"/>
      <c r="N46" s="7">
        <f t="shared" si="32"/>
        <v>-0.11062640164664678</v>
      </c>
      <c r="O46" s="11"/>
      <c r="P46" s="6">
        <v>8218.2999999999993</v>
      </c>
      <c r="Q46" s="2"/>
      <c r="R46" s="7">
        <f t="shared" si="33"/>
        <v>1.2198203845764771E-3</v>
      </c>
      <c r="S46" s="2"/>
      <c r="T46" s="6">
        <v>11057.5</v>
      </c>
      <c r="U46" s="2"/>
      <c r="V46" s="7">
        <f t="shared" si="34"/>
        <v>1.7137087851816684E-3</v>
      </c>
      <c r="W46" s="2"/>
      <c r="X46" s="6">
        <f t="shared" si="35"/>
        <v>-2839.2000000000007</v>
      </c>
      <c r="Y46" s="2"/>
      <c r="Z46" s="7">
        <f t="shared" si="36"/>
        <v>-0.25676690029391824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-0.1</v>
      </c>
      <c r="E47" s="1"/>
      <c r="F47" s="5">
        <f t="shared" si="29"/>
        <v>-1.5408575719859769E-7</v>
      </c>
      <c r="G47" s="1"/>
      <c r="H47" s="1">
        <f>SUM(OSRRefH22_3x_0)</f>
        <v>0.03</v>
      </c>
      <c r="I47" s="1"/>
      <c r="J47" s="5">
        <f t="shared" si="30"/>
        <v>5.0015985108840777E-8</v>
      </c>
      <c r="K47" s="1"/>
      <c r="L47" s="1">
        <f t="shared" si="31"/>
        <v>-0.13</v>
      </c>
      <c r="M47" s="1"/>
      <c r="N47" s="5">
        <f t="shared" si="32"/>
        <v>-4.3333333333333339</v>
      </c>
      <c r="O47" s="13"/>
      <c r="P47" s="1">
        <f>SUM(OSRRefP22_3x_0)</f>
        <v>28.96</v>
      </c>
      <c r="Q47" s="1"/>
      <c r="R47" s="5">
        <f t="shared" si="33"/>
        <v>4.2984556827245033E-6</v>
      </c>
      <c r="S47" s="1"/>
      <c r="T47" s="1">
        <f>SUM(OSRRefT22_3x_0)</f>
        <v>10.75</v>
      </c>
      <c r="U47" s="1"/>
      <c r="V47" s="5">
        <f t="shared" si="34"/>
        <v>1.6660519503235755E-6</v>
      </c>
      <c r="W47" s="1"/>
      <c r="X47" s="1">
        <f t="shared" si="35"/>
        <v>18.21</v>
      </c>
      <c r="Y47" s="1"/>
      <c r="Z47" s="5">
        <f t="shared" si="36"/>
        <v>1.693953488372093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>
        <v>-0.1</v>
      </c>
      <c r="E48" s="2"/>
      <c r="F48" s="7">
        <f t="shared" si="29"/>
        <v>-1.5408575719859769E-7</v>
      </c>
      <c r="G48" s="2"/>
      <c r="H48" s="6">
        <v>0.03</v>
      </c>
      <c r="I48" s="2"/>
      <c r="J48" s="7">
        <f t="shared" si="30"/>
        <v>5.0015985108840777E-8</v>
      </c>
      <c r="K48" s="2"/>
      <c r="L48" s="6">
        <f t="shared" si="31"/>
        <v>-0.13</v>
      </c>
      <c r="M48" s="2"/>
      <c r="N48" s="7">
        <f t="shared" si="32"/>
        <v>-4.3333333333333339</v>
      </c>
      <c r="O48" s="11"/>
      <c r="P48" s="6">
        <v>28.96</v>
      </c>
      <c r="Q48" s="2"/>
      <c r="R48" s="7">
        <f t="shared" si="33"/>
        <v>4.2984556827245033E-6</v>
      </c>
      <c r="S48" s="2"/>
      <c r="T48" s="6">
        <v>10.75</v>
      </c>
      <c r="U48" s="2"/>
      <c r="V48" s="7">
        <f t="shared" si="34"/>
        <v>1.6660519503235755E-6</v>
      </c>
      <c r="W48" s="2"/>
      <c r="X48" s="6">
        <f t="shared" si="35"/>
        <v>18.21</v>
      </c>
      <c r="Y48" s="2"/>
      <c r="Z48" s="7">
        <f t="shared" si="36"/>
        <v>1.693953488372093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112.91</v>
      </c>
      <c r="E49" s="1"/>
      <c r="F49" s="5">
        <f t="shared" si="29"/>
        <v>1.7397822845293662E-4</v>
      </c>
      <c r="G49" s="1"/>
      <c r="H49" s="1">
        <f>SUM(OSRRefH22_4x_0)</f>
        <v>139.85</v>
      </c>
      <c r="I49" s="1"/>
      <c r="J49" s="5">
        <f t="shared" si="30"/>
        <v>2.3315785058237941E-4</v>
      </c>
      <c r="K49" s="1"/>
      <c r="L49" s="1">
        <f t="shared" si="31"/>
        <v>-26.939999999999998</v>
      </c>
      <c r="M49" s="1"/>
      <c r="N49" s="5">
        <f t="shared" si="32"/>
        <v>-0.19263496603503752</v>
      </c>
      <c r="O49" s="13"/>
      <c r="P49" s="1">
        <f>SUM(OSRRefP22_4x_0)</f>
        <v>2739.92</v>
      </c>
      <c r="Q49" s="1"/>
      <c r="R49" s="5">
        <f t="shared" si="33"/>
        <v>4.0667902949621961E-4</v>
      </c>
      <c r="S49" s="1"/>
      <c r="T49" s="1">
        <f>SUM(OSRRefT22_4x_0)</f>
        <v>2588.87</v>
      </c>
      <c r="U49" s="1"/>
      <c r="V49" s="5">
        <f t="shared" si="34"/>
        <v>4.0122715466364597E-4</v>
      </c>
      <c r="W49" s="1"/>
      <c r="X49" s="1">
        <f t="shared" si="35"/>
        <v>151.05000000000018</v>
      </c>
      <c r="Y49" s="1"/>
      <c r="Z49" s="5">
        <f t="shared" si="36"/>
        <v>5.8345919262071944E-2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>
        <v>112.91</v>
      </c>
      <c r="E50" s="2"/>
      <c r="F50" s="7">
        <f t="shared" si="29"/>
        <v>1.7397822845293662E-4</v>
      </c>
      <c r="G50" s="2"/>
      <c r="H50" s="6">
        <v>139.85</v>
      </c>
      <c r="I50" s="2"/>
      <c r="J50" s="7">
        <f t="shared" si="30"/>
        <v>2.3315785058237941E-4</v>
      </c>
      <c r="K50" s="2"/>
      <c r="L50" s="6">
        <f t="shared" si="31"/>
        <v>-26.939999999999998</v>
      </c>
      <c r="M50" s="2"/>
      <c r="N50" s="7">
        <f t="shared" si="32"/>
        <v>-0.19263496603503752</v>
      </c>
      <c r="O50" s="11"/>
      <c r="P50" s="6">
        <v>2739.92</v>
      </c>
      <c r="Q50" s="2"/>
      <c r="R50" s="7">
        <f t="shared" si="33"/>
        <v>4.0667902949621961E-4</v>
      </c>
      <c r="S50" s="2"/>
      <c r="T50" s="6">
        <v>2588.87</v>
      </c>
      <c r="U50" s="2"/>
      <c r="V50" s="7">
        <f t="shared" si="34"/>
        <v>4.0122715466364597E-4</v>
      </c>
      <c r="W50" s="2"/>
      <c r="X50" s="6">
        <f t="shared" si="35"/>
        <v>151.05000000000018</v>
      </c>
      <c r="Y50" s="2"/>
      <c r="Z50" s="7">
        <f t="shared" si="36"/>
        <v>5.8345919262071944E-2</v>
      </c>
    </row>
    <row r="51" spans="1:26" s="26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SUM(OSRRefD22_5x_0)</f>
        <v>9545.3799999999992</v>
      </c>
      <c r="E51" s="1"/>
      <c r="F51" s="5">
        <f t="shared" si="29"/>
        <v>1.4708071050483501E-2</v>
      </c>
      <c r="G51" s="1"/>
      <c r="H51" s="1">
        <f>SUM(OSRRefH22_5x_0)</f>
        <v>8182.67</v>
      </c>
      <c r="I51" s="1"/>
      <c r="J51" s="5">
        <f t="shared" si="30"/>
        <v>1.3642143362351939E-2</v>
      </c>
      <c r="K51" s="1"/>
      <c r="L51" s="1">
        <f t="shared" si="31"/>
        <v>1362.7099999999991</v>
      </c>
      <c r="M51" s="1"/>
      <c r="N51" s="5">
        <f t="shared" si="32"/>
        <v>0.16653610618538925</v>
      </c>
      <c r="O51" s="13"/>
      <c r="P51" s="1">
        <f>SUM(OSRRefP22_5x_0)</f>
        <v>86919.209999999992</v>
      </c>
      <c r="Q51" s="1"/>
      <c r="R51" s="5">
        <f t="shared" si="33"/>
        <v>1.2901186884061616E-2</v>
      </c>
      <c r="S51" s="1"/>
      <c r="T51" s="1">
        <f>SUM(OSRRefT22_5x_0)</f>
        <v>74164.17</v>
      </c>
      <c r="U51" s="1"/>
      <c r="V51" s="5">
        <f t="shared" si="34"/>
        <v>1.1494080006756205E-2</v>
      </c>
      <c r="W51" s="1"/>
      <c r="X51" s="1">
        <f t="shared" si="35"/>
        <v>12755.039999999994</v>
      </c>
      <c r="Y51" s="1"/>
      <c r="Z51" s="5">
        <f t="shared" si="36"/>
        <v>0.17198385689477808</v>
      </c>
    </row>
    <row r="52" spans="1:26" s="24" customFormat="1" hidden="1" outlineLevel="2" x14ac:dyDescent="0.25">
      <c r="A52" s="25"/>
      <c r="B52" s="11" t="str">
        <f>CONCATENATE("          ", "6399", " - ", "DONATION-ON CAMPUS")</f>
        <v xml:space="preserve">          6399 - DONATION-ON CAMPUS</v>
      </c>
      <c r="C52" s="11"/>
      <c r="D52" s="6">
        <v>9545.3799999999992</v>
      </c>
      <c r="E52" s="2"/>
      <c r="F52" s="7">
        <f t="shared" si="29"/>
        <v>1.4708071050483501E-2</v>
      </c>
      <c r="G52" s="2"/>
      <c r="H52" s="6">
        <v>8182.67</v>
      </c>
      <c r="I52" s="2"/>
      <c r="J52" s="7">
        <f t="shared" si="30"/>
        <v>1.3642143362351939E-2</v>
      </c>
      <c r="K52" s="2"/>
      <c r="L52" s="6">
        <f t="shared" si="31"/>
        <v>1362.7099999999991</v>
      </c>
      <c r="M52" s="2"/>
      <c r="N52" s="7">
        <f t="shared" si="32"/>
        <v>0.16653610618538925</v>
      </c>
      <c r="O52" s="11"/>
      <c r="P52" s="6">
        <v>86919.209999999992</v>
      </c>
      <c r="Q52" s="2"/>
      <c r="R52" s="7">
        <f t="shared" si="33"/>
        <v>1.2901186884061616E-2</v>
      </c>
      <c r="S52" s="2"/>
      <c r="T52" s="6">
        <v>74164.17</v>
      </c>
      <c r="U52" s="2"/>
      <c r="V52" s="7">
        <f t="shared" si="34"/>
        <v>1.1494080006756205E-2</v>
      </c>
      <c r="W52" s="2"/>
      <c r="X52" s="6">
        <f t="shared" si="35"/>
        <v>12755.039999999994</v>
      </c>
      <c r="Y52" s="2"/>
      <c r="Z52" s="7">
        <f t="shared" si="36"/>
        <v>0.17198385689477808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614.74</v>
      </c>
      <c r="E53" s="1"/>
      <c r="F53" s="5">
        <f t="shared" si="29"/>
        <v>9.4722678380265929E-4</v>
      </c>
      <c r="G53" s="1"/>
      <c r="H53" s="1">
        <f>SUM(OSRRefH22_6x_0)</f>
        <v>155.06</v>
      </c>
      <c r="I53" s="1"/>
      <c r="J53" s="5">
        <f t="shared" si="30"/>
        <v>2.5851595503256167E-4</v>
      </c>
      <c r="K53" s="1"/>
      <c r="L53" s="1">
        <f t="shared" si="31"/>
        <v>459.68</v>
      </c>
      <c r="M53" s="1"/>
      <c r="N53" s="5">
        <f t="shared" si="32"/>
        <v>2.9645298594092608</v>
      </c>
      <c r="O53" s="13"/>
      <c r="P53" s="1">
        <f>SUM(OSRRefP22_6x_0)</f>
        <v>1798.43</v>
      </c>
      <c r="Q53" s="1"/>
      <c r="R53" s="5">
        <f t="shared" si="33"/>
        <v>2.6693617587991117E-4</v>
      </c>
      <c r="S53" s="1"/>
      <c r="T53" s="1">
        <f>SUM(OSRRefT22_6x_0)</f>
        <v>649.15</v>
      </c>
      <c r="U53" s="1"/>
      <c r="V53" s="5">
        <f t="shared" si="34"/>
        <v>1.0060629056302781E-4</v>
      </c>
      <c r="W53" s="1"/>
      <c r="X53" s="1">
        <f t="shared" si="35"/>
        <v>1149.2800000000002</v>
      </c>
      <c r="Y53" s="1"/>
      <c r="Z53" s="5">
        <f t="shared" si="36"/>
        <v>1.7704382654240165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>
        <v>614.74</v>
      </c>
      <c r="E54" s="2"/>
      <c r="F54" s="7">
        <f t="shared" si="29"/>
        <v>9.4722678380265929E-4</v>
      </c>
      <c r="G54" s="2"/>
      <c r="H54" s="6">
        <v>155.06</v>
      </c>
      <c r="I54" s="2"/>
      <c r="J54" s="7">
        <f t="shared" si="30"/>
        <v>2.5851595503256167E-4</v>
      </c>
      <c r="K54" s="2"/>
      <c r="L54" s="6">
        <f t="shared" si="31"/>
        <v>459.68</v>
      </c>
      <c r="M54" s="2"/>
      <c r="N54" s="7">
        <f t="shared" si="32"/>
        <v>2.9645298594092608</v>
      </c>
      <c r="O54" s="11"/>
      <c r="P54" s="6">
        <v>1798.43</v>
      </c>
      <c r="Q54" s="2"/>
      <c r="R54" s="7">
        <f t="shared" si="33"/>
        <v>2.6693617587991117E-4</v>
      </c>
      <c r="S54" s="2"/>
      <c r="T54" s="6">
        <v>649.15</v>
      </c>
      <c r="U54" s="2"/>
      <c r="V54" s="7">
        <f t="shared" si="34"/>
        <v>1.0060629056302781E-4</v>
      </c>
      <c r="W54" s="2"/>
      <c r="X54" s="6">
        <f t="shared" si="35"/>
        <v>1149.2800000000002</v>
      </c>
      <c r="Y54" s="2"/>
      <c r="Z54" s="7">
        <f t="shared" si="36"/>
        <v>1.7704382654240165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1114.68</v>
      </c>
      <c r="E55" s="1"/>
      <c r="F55" s="5">
        <f t="shared" si="29"/>
        <v>1.7175631183413286E-3</v>
      </c>
      <c r="G55" s="1"/>
      <c r="H55" s="1">
        <f>SUM(OSRRefH22_7x_0)</f>
        <v>1017.85</v>
      </c>
      <c r="I55" s="1"/>
      <c r="J55" s="5">
        <f t="shared" si="30"/>
        <v>1.6969590147677862E-3</v>
      </c>
      <c r="K55" s="1"/>
      <c r="L55" s="1">
        <f t="shared" si="31"/>
        <v>96.830000000000041</v>
      </c>
      <c r="M55" s="1"/>
      <c r="N55" s="5">
        <f t="shared" si="32"/>
        <v>9.5131895662425733E-2</v>
      </c>
      <c r="O55" s="13"/>
      <c r="P55" s="1">
        <f>SUM(OSRRefP22_7x_0)</f>
        <v>3897.3</v>
      </c>
      <c r="Q55" s="1"/>
      <c r="R55" s="5">
        <f t="shared" si="33"/>
        <v>5.7846586092134692E-4</v>
      </c>
      <c r="S55" s="1"/>
      <c r="T55" s="1">
        <f>SUM(OSRRefT22_7x_0)</f>
        <v>3733.8</v>
      </c>
      <c r="U55" s="1"/>
      <c r="V55" s="5">
        <f t="shared" si="34"/>
        <v>5.7867021135982937E-4</v>
      </c>
      <c r="W55" s="1"/>
      <c r="X55" s="1">
        <f t="shared" si="35"/>
        <v>163.5</v>
      </c>
      <c r="Y55" s="1"/>
      <c r="Z55" s="5">
        <f t="shared" si="36"/>
        <v>4.3789169210991484E-2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6">
        <v>1114.68</v>
      </c>
      <c r="E56" s="2"/>
      <c r="F56" s="7">
        <f t="shared" si="29"/>
        <v>1.7175631183413286E-3</v>
      </c>
      <c r="G56" s="2"/>
      <c r="H56" s="6">
        <v>1017.85</v>
      </c>
      <c r="I56" s="2"/>
      <c r="J56" s="7">
        <f t="shared" si="30"/>
        <v>1.6969590147677862E-3</v>
      </c>
      <c r="K56" s="2"/>
      <c r="L56" s="6">
        <f t="shared" si="31"/>
        <v>96.830000000000041</v>
      </c>
      <c r="M56" s="2"/>
      <c r="N56" s="7">
        <f t="shared" si="32"/>
        <v>9.5131895662425733E-2</v>
      </c>
      <c r="O56" s="11"/>
      <c r="P56" s="6">
        <v>3897.3</v>
      </c>
      <c r="Q56" s="2"/>
      <c r="R56" s="7">
        <f t="shared" si="33"/>
        <v>5.7846586092134692E-4</v>
      </c>
      <c r="S56" s="2"/>
      <c r="T56" s="6">
        <v>3733.8</v>
      </c>
      <c r="U56" s="2"/>
      <c r="V56" s="7">
        <f t="shared" si="34"/>
        <v>5.7867021135982937E-4</v>
      </c>
      <c r="W56" s="2"/>
      <c r="X56" s="6">
        <f t="shared" si="35"/>
        <v>163.5</v>
      </c>
      <c r="Y56" s="2"/>
      <c r="Z56" s="7">
        <f t="shared" si="36"/>
        <v>4.3789169210991484E-2</v>
      </c>
    </row>
    <row r="57" spans="1:26" s="26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3.7</v>
      </c>
      <c r="I57" s="1"/>
      <c r="J57" s="5">
        <f t="shared" si="30"/>
        <v>6.1686381634236962E-6</v>
      </c>
      <c r="K57" s="1"/>
      <c r="L57" s="1">
        <f t="shared" si="31"/>
        <v>-3.7</v>
      </c>
      <c r="M57" s="1"/>
      <c r="N57" s="5">
        <f t="shared" si="32"/>
        <v>-1</v>
      </c>
      <c r="O57" s="13"/>
      <c r="P57" s="1">
        <f>SUM(OSRRefP22_8x_0)</f>
        <v>0</v>
      </c>
      <c r="Q57" s="1"/>
      <c r="R57" s="5">
        <f t="shared" si="33"/>
        <v>0</v>
      </c>
      <c r="S57" s="1"/>
      <c r="T57" s="1">
        <f>SUM(OSRRefT22_8x_0)</f>
        <v>7.4</v>
      </c>
      <c r="U57" s="1"/>
      <c r="V57" s="5">
        <f t="shared" si="34"/>
        <v>1.1468636681297171E-6</v>
      </c>
      <c r="W57" s="1"/>
      <c r="X57" s="1">
        <f t="shared" si="35"/>
        <v>-7.4</v>
      </c>
      <c r="Y57" s="1"/>
      <c r="Z57" s="5">
        <f t="shared" si="36"/>
        <v>-1</v>
      </c>
    </row>
    <row r="58" spans="1:26" s="24" customFormat="1" hidden="1" outlineLevel="2" x14ac:dyDescent="0.25">
      <c r="A58" s="25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9"/>
        <v>0</v>
      </c>
      <c r="G58" s="2"/>
      <c r="H58" s="6">
        <v>3.7</v>
      </c>
      <c r="I58" s="2"/>
      <c r="J58" s="7">
        <f t="shared" si="30"/>
        <v>6.1686381634236962E-6</v>
      </c>
      <c r="K58" s="2"/>
      <c r="L58" s="6">
        <f t="shared" si="31"/>
        <v>-3.7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7.4</v>
      </c>
      <c r="U58" s="2"/>
      <c r="V58" s="7">
        <f t="shared" si="34"/>
        <v>1.1468636681297171E-6</v>
      </c>
      <c r="W58" s="2"/>
      <c r="X58" s="6">
        <f t="shared" si="35"/>
        <v>-7.4</v>
      </c>
      <c r="Y58" s="2"/>
      <c r="Z58" s="7">
        <f t="shared" si="36"/>
        <v>-1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SUM(OSRRefD22_9x_0)</f>
        <v>845.71</v>
      </c>
      <c r="E59" s="1"/>
      <c r="F59" s="5">
        <f t="shared" si="29"/>
        <v>1.3031186572042604E-3</v>
      </c>
      <c r="G59" s="1"/>
      <c r="H59" s="1">
        <f>SUM(OSRRefH22_9x_0)</f>
        <v>15</v>
      </c>
      <c r="I59" s="1"/>
      <c r="J59" s="5">
        <f t="shared" si="30"/>
        <v>2.5007992554420388E-5</v>
      </c>
      <c r="K59" s="1"/>
      <c r="L59" s="1">
        <f t="shared" si="31"/>
        <v>830.71</v>
      </c>
      <c r="M59" s="1"/>
      <c r="N59" s="5">
        <f t="shared" si="32"/>
        <v>55.38066666666667</v>
      </c>
      <c r="O59" s="13"/>
      <c r="P59" s="1">
        <f>SUM(OSRRefP22_9x_0)</f>
        <v>8251.52</v>
      </c>
      <c r="Q59" s="1"/>
      <c r="R59" s="5">
        <f t="shared" si="33"/>
        <v>1.2247511407152932E-3</v>
      </c>
      <c r="S59" s="1"/>
      <c r="T59" s="1">
        <f>SUM(OSRRefT22_9x_0)</f>
        <v>8134.63</v>
      </c>
      <c r="U59" s="1"/>
      <c r="V59" s="5">
        <f t="shared" si="34"/>
        <v>1.2607177838754107E-3</v>
      </c>
      <c r="W59" s="1"/>
      <c r="X59" s="1">
        <f t="shared" si="35"/>
        <v>116.89000000000033</v>
      </c>
      <c r="Y59" s="1"/>
      <c r="Z59" s="5">
        <f t="shared" si="36"/>
        <v>1.4369430447359046E-2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6">
        <v>845.71</v>
      </c>
      <c r="E60" s="2"/>
      <c r="F60" s="7">
        <f t="shared" si="29"/>
        <v>1.3031186572042604E-3</v>
      </c>
      <c r="G60" s="2"/>
      <c r="H60" s="6">
        <v>15</v>
      </c>
      <c r="I60" s="2"/>
      <c r="J60" s="7">
        <f t="shared" si="30"/>
        <v>2.5007992554420388E-5</v>
      </c>
      <c r="K60" s="2"/>
      <c r="L60" s="6">
        <f t="shared" si="31"/>
        <v>830.71</v>
      </c>
      <c r="M60" s="2"/>
      <c r="N60" s="7">
        <f t="shared" si="32"/>
        <v>55.38066666666667</v>
      </c>
      <c r="O60" s="11"/>
      <c r="P60" s="6">
        <v>8251.52</v>
      </c>
      <c r="Q60" s="2"/>
      <c r="R60" s="7">
        <f t="shared" si="33"/>
        <v>1.2247511407152932E-3</v>
      </c>
      <c r="S60" s="2"/>
      <c r="T60" s="6">
        <v>8134.63</v>
      </c>
      <c r="U60" s="2"/>
      <c r="V60" s="7">
        <f t="shared" si="34"/>
        <v>1.2607177838754107E-3</v>
      </c>
      <c r="W60" s="2"/>
      <c r="X60" s="6">
        <f t="shared" si="35"/>
        <v>116.89000000000033</v>
      </c>
      <c r="Y60" s="2"/>
      <c r="Z60" s="7">
        <f t="shared" si="36"/>
        <v>1.4369430447359046E-2</v>
      </c>
    </row>
    <row r="61" spans="1:26" s="26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SUM(OSRRefD22_10x_0)</f>
        <v>5.9</v>
      </c>
      <c r="E61" s="1"/>
      <c r="F61" s="5">
        <f t="shared" si="29"/>
        <v>9.0910596747172634E-6</v>
      </c>
      <c r="G61" s="1"/>
      <c r="H61" s="1">
        <f>SUM(OSRRefH22_10x_0)</f>
        <v>4.93</v>
      </c>
      <c r="I61" s="1"/>
      <c r="J61" s="5">
        <f t="shared" si="30"/>
        <v>8.2192935528861673E-6</v>
      </c>
      <c r="K61" s="1"/>
      <c r="L61" s="1">
        <f t="shared" si="31"/>
        <v>0.97000000000000064</v>
      </c>
      <c r="M61" s="1"/>
      <c r="N61" s="5">
        <f t="shared" si="32"/>
        <v>0.19675456389452348</v>
      </c>
      <c r="O61" s="13"/>
      <c r="P61" s="1">
        <f>SUM(OSRRefP22_10x_0)</f>
        <v>41.3</v>
      </c>
      <c r="Q61" s="1"/>
      <c r="R61" s="5">
        <f t="shared" si="33"/>
        <v>6.1300490226699572E-6</v>
      </c>
      <c r="S61" s="1"/>
      <c r="T61" s="1">
        <f>SUM(OSRRefT22_10x_0)</f>
        <v>34.51</v>
      </c>
      <c r="U61" s="1"/>
      <c r="V61" s="5">
        <f t="shared" si="34"/>
        <v>5.3484142144806129E-6</v>
      </c>
      <c r="W61" s="1"/>
      <c r="X61" s="1">
        <f t="shared" si="35"/>
        <v>6.7899999999999991</v>
      </c>
      <c r="Y61" s="1"/>
      <c r="Z61" s="5">
        <f t="shared" si="36"/>
        <v>0.19675456389452331</v>
      </c>
    </row>
    <row r="62" spans="1:26" s="24" customFormat="1" hidden="1" outlineLevel="2" x14ac:dyDescent="0.25">
      <c r="A62" s="25"/>
      <c r="B62" s="11" t="str">
        <f>CONCATENATE("          ", "6314", " - ", "LIABILITY INSURANCE")</f>
        <v xml:space="preserve">          6314 - LIABILITY INSURANCE</v>
      </c>
      <c r="C62" s="11"/>
      <c r="D62" s="6">
        <v>5.9</v>
      </c>
      <c r="E62" s="2"/>
      <c r="F62" s="7">
        <f t="shared" si="29"/>
        <v>9.0910596747172634E-6</v>
      </c>
      <c r="G62" s="2"/>
      <c r="H62" s="6">
        <v>4.93</v>
      </c>
      <c r="I62" s="2"/>
      <c r="J62" s="7">
        <f t="shared" si="30"/>
        <v>8.2192935528861673E-6</v>
      </c>
      <c r="K62" s="2"/>
      <c r="L62" s="6">
        <f t="shared" si="31"/>
        <v>0.97000000000000064</v>
      </c>
      <c r="M62" s="2"/>
      <c r="N62" s="7">
        <f t="shared" si="32"/>
        <v>0.19675456389452348</v>
      </c>
      <c r="O62" s="11"/>
      <c r="P62" s="6">
        <v>41.3</v>
      </c>
      <c r="Q62" s="2"/>
      <c r="R62" s="7">
        <f t="shared" si="33"/>
        <v>6.1300490226699572E-6</v>
      </c>
      <c r="S62" s="2"/>
      <c r="T62" s="6">
        <v>34.51</v>
      </c>
      <c r="U62" s="2"/>
      <c r="V62" s="7">
        <f t="shared" si="34"/>
        <v>5.3484142144806129E-6</v>
      </c>
      <c r="W62" s="2"/>
      <c r="X62" s="6">
        <f t="shared" si="35"/>
        <v>6.7899999999999991</v>
      </c>
      <c r="Y62" s="2"/>
      <c r="Z62" s="7">
        <f t="shared" si="36"/>
        <v>0.19675456389452331</v>
      </c>
    </row>
    <row r="63" spans="1:26" s="26" customFormat="1" outlineLevel="1" collapsed="1" x14ac:dyDescent="0.25">
      <c r="A63" s="27"/>
      <c r="B63" s="13" t="str">
        <f>CONCATENATE("     ","R/H Commissions                                   ")</f>
        <v xml:space="preserve">     R/H Commissions                                   </v>
      </c>
      <c r="C63" s="13"/>
      <c r="D63" s="1">
        <f>SUM(OSRRefD22_11x_0)</f>
        <v>52199.14</v>
      </c>
      <c r="E63" s="1"/>
      <c r="F63" s="5">
        <f t="shared" si="29"/>
        <v>8.0431440120156072E-2</v>
      </c>
      <c r="G63" s="1"/>
      <c r="H63" s="1">
        <f>SUM(OSRRefH22_11x_0)</f>
        <v>50133.85</v>
      </c>
      <c r="I63" s="1"/>
      <c r="J63" s="5">
        <f t="shared" si="30"/>
        <v>8.3583129834961897E-2</v>
      </c>
      <c r="K63" s="1"/>
      <c r="L63" s="1">
        <f t="shared" si="31"/>
        <v>2065.2900000000009</v>
      </c>
      <c r="M63" s="1"/>
      <c r="N63" s="5">
        <f t="shared" si="32"/>
        <v>4.1195519594046756E-2</v>
      </c>
      <c r="O63" s="13"/>
      <c r="P63" s="1">
        <f>SUM(OSRRefP22_11x_0)</f>
        <v>523790.01000000007</v>
      </c>
      <c r="Q63" s="1"/>
      <c r="R63" s="5">
        <f t="shared" si="33"/>
        <v>7.7744756389462169E-2</v>
      </c>
      <c r="S63" s="1"/>
      <c r="T63" s="1">
        <f>SUM(OSRRefT22_11x_0)</f>
        <v>499632.82000000007</v>
      </c>
      <c r="U63" s="1"/>
      <c r="V63" s="5">
        <f t="shared" si="34"/>
        <v>7.7433882251783076E-2</v>
      </c>
      <c r="W63" s="1"/>
      <c r="X63" s="1">
        <f t="shared" si="35"/>
        <v>24157.190000000002</v>
      </c>
      <c r="Y63" s="1"/>
      <c r="Z63" s="5">
        <f t="shared" si="36"/>
        <v>4.8349886222446313E-2</v>
      </c>
    </row>
    <row r="64" spans="1:26" s="24" customFormat="1" hidden="1" outlineLevel="2" x14ac:dyDescent="0.25">
      <c r="A64" s="25"/>
      <c r="B64" s="11" t="str">
        <f>CONCATENATE("          ", "6387", " - ", "COMMISSION DUE HOUSING")</f>
        <v xml:space="preserve">          6387 - COMMISSION DUE HOUSING</v>
      </c>
      <c r="C64" s="11"/>
      <c r="D64" s="6">
        <v>52199.14</v>
      </c>
      <c r="E64" s="2"/>
      <c r="F64" s="7">
        <f t="shared" si="29"/>
        <v>8.0431440120156072E-2</v>
      </c>
      <c r="G64" s="2"/>
      <c r="H64" s="6">
        <v>50133.85</v>
      </c>
      <c r="I64" s="2"/>
      <c r="J64" s="7">
        <f t="shared" si="30"/>
        <v>8.3583129834961897E-2</v>
      </c>
      <c r="K64" s="2"/>
      <c r="L64" s="6">
        <f t="shared" si="31"/>
        <v>2065.2900000000009</v>
      </c>
      <c r="M64" s="2"/>
      <c r="N64" s="7">
        <f t="shared" si="32"/>
        <v>4.1195519594046756E-2</v>
      </c>
      <c r="O64" s="11"/>
      <c r="P64" s="6">
        <v>523790.01000000007</v>
      </c>
      <c r="Q64" s="2"/>
      <c r="R64" s="7">
        <f t="shared" si="33"/>
        <v>7.7744756389462169E-2</v>
      </c>
      <c r="S64" s="2"/>
      <c r="T64" s="6">
        <v>499632.82000000007</v>
      </c>
      <c r="U64" s="2"/>
      <c r="V64" s="7">
        <f t="shared" si="34"/>
        <v>7.7433882251783076E-2</v>
      </c>
      <c r="W64" s="2"/>
      <c r="X64" s="6">
        <f t="shared" si="35"/>
        <v>24157.190000000002</v>
      </c>
      <c r="Y64" s="2"/>
      <c r="Z64" s="7">
        <f t="shared" si="36"/>
        <v>4.8349886222446313E-2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SUM(OSRRefD22_12x_0)</f>
        <v>0</v>
      </c>
      <c r="E65" s="1"/>
      <c r="F65" s="5">
        <f t="shared" si="29"/>
        <v>0</v>
      </c>
      <c r="G65" s="1"/>
      <c r="H65" s="1">
        <f>SUM(OSRRefH22_12x_0)</f>
        <v>14.94</v>
      </c>
      <c r="I65" s="1"/>
      <c r="J65" s="5">
        <f t="shared" si="30"/>
        <v>2.4907960584202706E-5</v>
      </c>
      <c r="K65" s="1"/>
      <c r="L65" s="1">
        <f t="shared" si="31"/>
        <v>-14.94</v>
      </c>
      <c r="M65" s="1"/>
      <c r="N65" s="5">
        <f t="shared" si="32"/>
        <v>-1</v>
      </c>
      <c r="O65" s="13"/>
      <c r="P65" s="1">
        <f>SUM(OSRRefP22_12x_0)</f>
        <v>23808.939999999995</v>
      </c>
      <c r="Q65" s="1"/>
      <c r="R65" s="5">
        <f t="shared" si="33"/>
        <v>3.5338975636273031E-3</v>
      </c>
      <c r="S65" s="1"/>
      <c r="T65" s="1">
        <f>SUM(OSRRefT22_12x_0)</f>
        <v>13118.800000000001</v>
      </c>
      <c r="U65" s="1"/>
      <c r="V65" s="5">
        <f t="shared" si="34"/>
        <v>2.0331723093865045E-3</v>
      </c>
      <c r="W65" s="1"/>
      <c r="X65" s="1">
        <f t="shared" si="35"/>
        <v>10690.139999999994</v>
      </c>
      <c r="Y65" s="1"/>
      <c r="Z65" s="5">
        <f t="shared" si="36"/>
        <v>0.81487178705369345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9"/>
        <v>0</v>
      </c>
      <c r="G66" s="2"/>
      <c r="H66" s="6"/>
      <c r="I66" s="2"/>
      <c r="J66" s="7">
        <f t="shared" si="30"/>
        <v>0</v>
      </c>
      <c r="K66" s="2"/>
      <c r="L66" s="6">
        <f t="shared" si="31"/>
        <v>0</v>
      </c>
      <c r="M66" s="2"/>
      <c r="N66" s="7">
        <f t="shared" si="32"/>
        <v>0</v>
      </c>
      <c r="O66" s="11"/>
      <c r="P66" s="6">
        <v>22817.929999999997</v>
      </c>
      <c r="Q66" s="2"/>
      <c r="R66" s="7">
        <f t="shared" si="33"/>
        <v>3.3868045882772756E-3</v>
      </c>
      <c r="S66" s="2"/>
      <c r="T66" s="6">
        <v>10358.120000000001</v>
      </c>
      <c r="U66" s="2"/>
      <c r="V66" s="7">
        <f t="shared" si="34"/>
        <v>1.6053177700172682E-3</v>
      </c>
      <c r="W66" s="2"/>
      <c r="X66" s="6">
        <f t="shared" si="35"/>
        <v>12459.809999999996</v>
      </c>
      <c r="Y66" s="2"/>
      <c r="Z66" s="7">
        <f t="shared" si="36"/>
        <v>1.2029026502878897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29"/>
        <v>0</v>
      </c>
      <c r="G67" s="2"/>
      <c r="H67" s="6">
        <v>14.94</v>
      </c>
      <c r="I67" s="2"/>
      <c r="J67" s="7">
        <f t="shared" si="30"/>
        <v>2.4907960584202706E-5</v>
      </c>
      <c r="K67" s="2"/>
      <c r="L67" s="6">
        <f t="shared" si="31"/>
        <v>-14.94</v>
      </c>
      <c r="M67" s="2"/>
      <c r="N67" s="7">
        <f t="shared" si="32"/>
        <v>-1</v>
      </c>
      <c r="O67" s="11"/>
      <c r="P67" s="6">
        <v>481.82</v>
      </c>
      <c r="Q67" s="2"/>
      <c r="R67" s="7">
        <f t="shared" si="33"/>
        <v>7.1515259566654692E-5</v>
      </c>
      <c r="S67" s="2"/>
      <c r="T67" s="6">
        <v>478.92</v>
      </c>
      <c r="U67" s="2"/>
      <c r="V67" s="7">
        <f t="shared" si="34"/>
        <v>7.4223776748741089E-5</v>
      </c>
      <c r="W67" s="2"/>
      <c r="X67" s="6">
        <f t="shared" si="35"/>
        <v>2.8999999999999773</v>
      </c>
      <c r="Y67" s="2"/>
      <c r="Z67" s="7">
        <f t="shared" si="36"/>
        <v>6.0552910715776691E-3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0</v>
      </c>
      <c r="M68" s="2"/>
      <c r="N68" s="7">
        <f t="shared" si="32"/>
        <v>0</v>
      </c>
      <c r="O68" s="11"/>
      <c r="P68" s="6">
        <v>509.19</v>
      </c>
      <c r="Q68" s="2"/>
      <c r="R68" s="7">
        <f t="shared" si="33"/>
        <v>7.5577715783373259E-5</v>
      </c>
      <c r="S68" s="2"/>
      <c r="T68" s="6">
        <v>2281.7600000000002</v>
      </c>
      <c r="U68" s="2"/>
      <c r="V68" s="7">
        <f t="shared" si="34"/>
        <v>3.5363076262049503E-4</v>
      </c>
      <c r="W68" s="2"/>
      <c r="X68" s="6">
        <f t="shared" si="35"/>
        <v>-1772.5700000000002</v>
      </c>
      <c r="Y68" s="2"/>
      <c r="Z68" s="7">
        <f t="shared" si="36"/>
        <v>-0.77684331393310424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SUM(OSRRefD22_13x_0)</f>
        <v>15986.09</v>
      </c>
      <c r="E69" s="1"/>
      <c r="F69" s="5">
        <f t="shared" ref="F69:F72" si="37">IF(D$12=0,0,D69/D$12)</f>
        <v>2.4632287822949302E-2</v>
      </c>
      <c r="G69" s="1"/>
      <c r="H69" s="1">
        <f>SUM(OSRRefH22_13x_0)</f>
        <v>15655.74</v>
      </c>
      <c r="I69" s="1"/>
      <c r="J69" s="5">
        <f t="shared" ref="J69:J72" si="38">IF(H$12=0,0,H69/H$12)</f>
        <v>2.6101241956929429E-2</v>
      </c>
      <c r="K69" s="1"/>
      <c r="L69" s="1">
        <f t="shared" ref="L69:L72" si="39">+D69-H69</f>
        <v>330.35000000000036</v>
      </c>
      <c r="M69" s="1"/>
      <c r="N69" s="5">
        <f t="shared" ref="N69:N72" si="40">IF(H69=0,0,L69/H69)</f>
        <v>2.1100886959032301E-2</v>
      </c>
      <c r="O69" s="13"/>
      <c r="P69" s="1">
        <f>SUM(OSRRefP22_13x_0)</f>
        <v>128952.86</v>
      </c>
      <c r="Q69" s="1"/>
      <c r="R69" s="5">
        <f t="shared" ref="R69:R72" si="41">IF(P$12=0,0,P69/P$12)</f>
        <v>1.9140129622602805E-2</v>
      </c>
      <c r="S69" s="1"/>
      <c r="T69" s="1">
        <f>SUM(OSRRefT22_13x_0)</f>
        <v>102635.51999999999</v>
      </c>
      <c r="U69" s="1"/>
      <c r="V69" s="5">
        <f t="shared" ref="V69:V72" si="42">IF(T$12=0,0,T69/T$12)</f>
        <v>1.5906614722648774E-2</v>
      </c>
      <c r="W69" s="1"/>
      <c r="X69" s="1">
        <f t="shared" ref="X69:X72" si="43">+P69-T69</f>
        <v>26317.340000000011</v>
      </c>
      <c r="Y69" s="1"/>
      <c r="Z69" s="5">
        <f t="shared" ref="Z69:Z72" si="44">IF(T69=0,0,X69/T69)</f>
        <v>0.25641551774668275</v>
      </c>
    </row>
    <row r="70" spans="1:26" s="24" customFormat="1" hidden="1" outlineLevel="2" x14ac:dyDescent="0.25">
      <c r="A70" s="25"/>
      <c r="B70" s="11" t="str">
        <f>CONCATENATE("          ", "6282", " - ", "JANITORIAL/EXTERMINATOR EXPENS")</f>
        <v xml:space="preserve">          6282 - JANITORIAL/EXTERMINATOR EXPENS</v>
      </c>
      <c r="C70" s="11"/>
      <c r="D70" s="6"/>
      <c r="E70" s="2"/>
      <c r="F70" s="7">
        <f t="shared" si="37"/>
        <v>0</v>
      </c>
      <c r="G70" s="2"/>
      <c r="H70" s="6">
        <v>1658.3</v>
      </c>
      <c r="I70" s="2"/>
      <c r="J70" s="7">
        <f t="shared" si="38"/>
        <v>2.7647169368663553E-3</v>
      </c>
      <c r="K70" s="2"/>
      <c r="L70" s="6">
        <f t="shared" si="39"/>
        <v>-1658.3</v>
      </c>
      <c r="M70" s="2"/>
      <c r="N70" s="7">
        <f t="shared" si="40"/>
        <v>-1</v>
      </c>
      <c r="O70" s="11"/>
      <c r="P70" s="6">
        <v>10828.1</v>
      </c>
      <c r="Q70" s="2"/>
      <c r="R70" s="7">
        <f t="shared" si="41"/>
        <v>1.6071860489678589E-3</v>
      </c>
      <c r="S70" s="2"/>
      <c r="T70" s="6">
        <v>9213.92</v>
      </c>
      <c r="U70" s="2"/>
      <c r="V70" s="7">
        <f t="shared" si="42"/>
        <v>1.4279878498721301E-3</v>
      </c>
      <c r="W70" s="2"/>
      <c r="X70" s="6">
        <f t="shared" si="43"/>
        <v>1614.1800000000003</v>
      </c>
      <c r="Y70" s="2"/>
      <c r="Z70" s="7">
        <f t="shared" si="44"/>
        <v>0.17518927883029159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6">
        <v>12248.2</v>
      </c>
      <c r="E71" s="2"/>
      <c r="F71" s="7">
        <f t="shared" si="37"/>
        <v>1.8872731713198639E-2</v>
      </c>
      <c r="G71" s="2"/>
      <c r="H71" s="6">
        <v>11438.01</v>
      </c>
      <c r="I71" s="2"/>
      <c r="J71" s="7">
        <f t="shared" si="38"/>
        <v>1.9069444594492398E-2</v>
      </c>
      <c r="K71" s="2"/>
      <c r="L71" s="6">
        <f t="shared" si="39"/>
        <v>810.19000000000051</v>
      </c>
      <c r="M71" s="2"/>
      <c r="N71" s="7">
        <f t="shared" si="40"/>
        <v>7.0833125692318893E-2</v>
      </c>
      <c r="O71" s="11"/>
      <c r="P71" s="6">
        <v>86333.22</v>
      </c>
      <c r="Q71" s="2"/>
      <c r="R71" s="7">
        <f t="shared" si="41"/>
        <v>1.2814209948788145E-2</v>
      </c>
      <c r="S71" s="2"/>
      <c r="T71" s="6">
        <v>68500.34</v>
      </c>
      <c r="U71" s="2"/>
      <c r="V71" s="7">
        <f t="shared" si="42"/>
        <v>1.06162907027747E-2</v>
      </c>
      <c r="W71" s="2"/>
      <c r="X71" s="6">
        <f t="shared" si="43"/>
        <v>17832.880000000005</v>
      </c>
      <c r="Y71" s="2"/>
      <c r="Z71" s="7">
        <f t="shared" si="44"/>
        <v>0.26033272243612232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3737.89</v>
      </c>
      <c r="E72" s="2"/>
      <c r="F72" s="7">
        <f t="shared" si="37"/>
        <v>5.7595561097506624E-3</v>
      </c>
      <c r="G72" s="2"/>
      <c r="H72" s="6">
        <v>2559.4299999999998</v>
      </c>
      <c r="I72" s="2"/>
      <c r="J72" s="7">
        <f t="shared" si="38"/>
        <v>4.267080425570678E-3</v>
      </c>
      <c r="K72" s="2"/>
      <c r="L72" s="6">
        <f t="shared" si="39"/>
        <v>1178.46</v>
      </c>
      <c r="M72" s="2"/>
      <c r="N72" s="7">
        <f t="shared" si="40"/>
        <v>0.46043845700019148</v>
      </c>
      <c r="O72" s="11"/>
      <c r="P72" s="6">
        <v>31791.539999999997</v>
      </c>
      <c r="Q72" s="2"/>
      <c r="R72" s="7">
        <f t="shared" si="41"/>
        <v>4.7187336248468003E-3</v>
      </c>
      <c r="S72" s="2"/>
      <c r="T72" s="6">
        <v>24921.26</v>
      </c>
      <c r="U72" s="2"/>
      <c r="V72" s="7">
        <f t="shared" si="42"/>
        <v>3.8623361700019444E-3</v>
      </c>
      <c r="W72" s="2"/>
      <c r="X72" s="6">
        <f t="shared" si="43"/>
        <v>6870.2799999999988</v>
      </c>
      <c r="Y72" s="2"/>
      <c r="Z72" s="7">
        <f t="shared" si="44"/>
        <v>0.27567948009049298</v>
      </c>
    </row>
    <row r="73" spans="1:26" s="26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SUM(OSRRefD22_14x_0)</f>
        <v>15670.74</v>
      </c>
      <c r="E73" s="1"/>
      <c r="F73" s="5">
        <f t="shared" ref="F73:F81" si="45">IF(D$12=0,0,D73/D$12)</f>
        <v>2.4146378387623523E-2</v>
      </c>
      <c r="G73" s="1"/>
      <c r="H73" s="1">
        <f>SUM(OSRRefH22_14x_0)</f>
        <v>13058.49</v>
      </c>
      <c r="I73" s="1"/>
      <c r="J73" s="5">
        <f t="shared" ref="J73:J81" si="46">IF(H$12=0,0,H73/H$12)</f>
        <v>2.177110804613154E-2</v>
      </c>
      <c r="K73" s="1"/>
      <c r="L73" s="1">
        <f t="shared" ref="L73:L81" si="47">+D73-H73</f>
        <v>2612.25</v>
      </c>
      <c r="M73" s="1"/>
      <c r="N73" s="5">
        <f t="shared" ref="N73:N81" si="48">IF(H73=0,0,L73/H73)</f>
        <v>0.20004227134990341</v>
      </c>
      <c r="O73" s="13"/>
      <c r="P73" s="1">
        <f>SUM(OSRRefP22_14x_0)</f>
        <v>150267.11000000002</v>
      </c>
      <c r="Q73" s="1"/>
      <c r="R73" s="5">
        <f t="shared" ref="R73:R81" si="49">IF(P$12=0,0,P73/P$12)</f>
        <v>2.2303746992613536E-2</v>
      </c>
      <c r="S73" s="1"/>
      <c r="T73" s="1">
        <f>SUM(OSRRefT22_14x_0)</f>
        <v>144801.81999999998</v>
      </c>
      <c r="U73" s="1"/>
      <c r="V73" s="5">
        <f t="shared" ref="V73:V81" si="50">IF(T$12=0,0,T73/T$12)</f>
        <v>2.2441614383386349E-2</v>
      </c>
      <c r="W73" s="1"/>
      <c r="X73" s="1">
        <f t="shared" ref="X73:X81" si="51">+P73-T73</f>
        <v>5465.2900000000373</v>
      </c>
      <c r="Y73" s="1"/>
      <c r="Z73" s="5">
        <f t="shared" ref="Z73:Z81" si="52">IF(T73=0,0,X73/T73)</f>
        <v>3.7743241072522693E-2</v>
      </c>
    </row>
    <row r="74" spans="1:26" s="24" customFormat="1" hidden="1" outlineLevel="2" x14ac:dyDescent="0.25">
      <c r="A74" s="25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>
        <v>100</v>
      </c>
      <c r="Q74" s="2"/>
      <c r="R74" s="7">
        <f t="shared" si="49"/>
        <v>1.4842733711065272E-5</v>
      </c>
      <c r="S74" s="2"/>
      <c r="T74" s="6">
        <v>30.98</v>
      </c>
      <c r="U74" s="2"/>
      <c r="V74" s="7">
        <f t="shared" si="50"/>
        <v>4.8013292484673829E-6</v>
      </c>
      <c r="W74" s="2"/>
      <c r="X74" s="6">
        <f t="shared" si="51"/>
        <v>69.02</v>
      </c>
      <c r="Y74" s="2"/>
      <c r="Z74" s="7">
        <f t="shared" si="52"/>
        <v>2.2278889606197545</v>
      </c>
    </row>
    <row r="75" spans="1:26" s="24" customFormat="1" hidden="1" outlineLevel="2" x14ac:dyDescent="0.25">
      <c r="A75" s="25"/>
      <c r="B75" s="11" t="str">
        <f>CONCATENATE("          ", "6237", " - ", "JANITORIAL SUPPLIES")</f>
        <v xml:space="preserve">          6237 - JANITORIAL SUPPLIES</v>
      </c>
      <c r="C75" s="11"/>
      <c r="D75" s="6">
        <v>6200.93</v>
      </c>
      <c r="E75" s="2"/>
      <c r="F75" s="7">
        <f t="shared" si="45"/>
        <v>9.5547499438550024E-3</v>
      </c>
      <c r="G75" s="2"/>
      <c r="H75" s="6">
        <v>5653.36</v>
      </c>
      <c r="I75" s="2"/>
      <c r="J75" s="7">
        <f t="shared" si="46"/>
        <v>9.4252789858305357E-3</v>
      </c>
      <c r="K75" s="2"/>
      <c r="L75" s="6">
        <f t="shared" si="47"/>
        <v>547.57000000000062</v>
      </c>
      <c r="M75" s="2"/>
      <c r="N75" s="7">
        <f t="shared" si="48"/>
        <v>9.6857444068660162E-2</v>
      </c>
      <c r="O75" s="11"/>
      <c r="P75" s="6">
        <v>56396.12</v>
      </c>
      <c r="Q75" s="2"/>
      <c r="R75" s="7">
        <f t="shared" si="49"/>
        <v>8.3707259149728239E-3</v>
      </c>
      <c r="S75" s="2"/>
      <c r="T75" s="6">
        <v>65263.66</v>
      </c>
      <c r="U75" s="2"/>
      <c r="V75" s="7">
        <f t="shared" si="50"/>
        <v>1.0114664932860904E-2</v>
      </c>
      <c r="W75" s="2"/>
      <c r="X75" s="6">
        <f t="shared" si="51"/>
        <v>-8867.5400000000009</v>
      </c>
      <c r="Y75" s="2"/>
      <c r="Z75" s="7">
        <f t="shared" si="52"/>
        <v>-0.13587255143214463</v>
      </c>
    </row>
    <row r="76" spans="1:26" s="24" customFormat="1" hidden="1" outlineLevel="2" x14ac:dyDescent="0.25">
      <c r="A76" s="25"/>
      <c r="B76" s="11" t="str">
        <f>CONCATENATE("          ", "6239", " - ", "KITCHEN SUPPLIES")</f>
        <v xml:space="preserve">          6239 - KITCHEN SUPPLIES</v>
      </c>
      <c r="C76" s="11"/>
      <c r="D76" s="6">
        <v>3302.96</v>
      </c>
      <c r="E76" s="2"/>
      <c r="F76" s="7">
        <f t="shared" si="45"/>
        <v>5.0893909259668016E-3</v>
      </c>
      <c r="G76" s="2"/>
      <c r="H76" s="6">
        <v>627.94000000000005</v>
      </c>
      <c r="I76" s="2"/>
      <c r="J76" s="7">
        <f t="shared" si="46"/>
        <v>1.0469012563081826E-3</v>
      </c>
      <c r="K76" s="2"/>
      <c r="L76" s="6">
        <f t="shared" si="47"/>
        <v>2675.02</v>
      </c>
      <c r="M76" s="2"/>
      <c r="N76" s="7">
        <f t="shared" si="48"/>
        <v>4.2599929929611102</v>
      </c>
      <c r="O76" s="11"/>
      <c r="P76" s="6">
        <v>24931.15</v>
      </c>
      <c r="Q76" s="2"/>
      <c r="R76" s="7">
        <f t="shared" si="49"/>
        <v>3.70046420560625E-3</v>
      </c>
      <c r="S76" s="2"/>
      <c r="T76" s="6">
        <v>14928.430000000002</v>
      </c>
      <c r="U76" s="2"/>
      <c r="V76" s="7">
        <f t="shared" si="50"/>
        <v>2.313631620164556E-3</v>
      </c>
      <c r="W76" s="2"/>
      <c r="X76" s="6">
        <f t="shared" si="51"/>
        <v>10002.719999999999</v>
      </c>
      <c r="Y76" s="2"/>
      <c r="Z76" s="7">
        <f t="shared" si="52"/>
        <v>0.6700450080818946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-332.96</v>
      </c>
      <c r="E77" s="2"/>
      <c r="F77" s="7">
        <f t="shared" si="45"/>
        <v>-5.1304393716845073E-4</v>
      </c>
      <c r="G77" s="2"/>
      <c r="H77" s="6">
        <v>1067.55</v>
      </c>
      <c r="I77" s="2"/>
      <c r="J77" s="7">
        <f t="shared" si="46"/>
        <v>1.7798188300980991E-3</v>
      </c>
      <c r="K77" s="2"/>
      <c r="L77" s="6">
        <f t="shared" si="47"/>
        <v>-1400.51</v>
      </c>
      <c r="M77" s="2"/>
      <c r="N77" s="7">
        <f t="shared" si="48"/>
        <v>-1.3118917146737858</v>
      </c>
      <c r="O77" s="11"/>
      <c r="P77" s="6">
        <v>26373.190000000002</v>
      </c>
      <c r="Q77" s="2"/>
      <c r="R77" s="7">
        <f t="shared" si="49"/>
        <v>3.9145023628132953E-3</v>
      </c>
      <c r="S77" s="2"/>
      <c r="T77" s="6">
        <v>8039.46</v>
      </c>
      <c r="U77" s="2"/>
      <c r="V77" s="7">
        <f t="shared" si="50"/>
        <v>1.245968187213802E-3</v>
      </c>
      <c r="W77" s="2"/>
      <c r="X77" s="6">
        <f t="shared" si="51"/>
        <v>18333.730000000003</v>
      </c>
      <c r="Y77" s="2"/>
      <c r="Z77" s="7">
        <f t="shared" si="52"/>
        <v>2.2804678423675226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6">
        <v>4310.8</v>
      </c>
      <c r="E78" s="2"/>
      <c r="F78" s="7">
        <f t="shared" si="45"/>
        <v>6.6423288213171483E-3</v>
      </c>
      <c r="G78" s="2"/>
      <c r="H78" s="6">
        <v>4059.24</v>
      </c>
      <c r="I78" s="2"/>
      <c r="J78" s="7">
        <f t="shared" si="46"/>
        <v>6.767562913107027E-3</v>
      </c>
      <c r="K78" s="2"/>
      <c r="L78" s="6">
        <f t="shared" si="47"/>
        <v>251.5600000000004</v>
      </c>
      <c r="M78" s="2"/>
      <c r="N78" s="7">
        <f t="shared" si="48"/>
        <v>6.1972191838866493E-2</v>
      </c>
      <c r="O78" s="11"/>
      <c r="P78" s="6">
        <v>42143.77</v>
      </c>
      <c r="Q78" s="2"/>
      <c r="R78" s="7">
        <f t="shared" si="49"/>
        <v>6.2552875569038121E-3</v>
      </c>
      <c r="S78" s="2"/>
      <c r="T78" s="6">
        <v>44927.47</v>
      </c>
      <c r="U78" s="2"/>
      <c r="V78" s="7">
        <f t="shared" si="50"/>
        <v>6.9629301410794346E-3</v>
      </c>
      <c r="W78" s="2"/>
      <c r="X78" s="6">
        <f t="shared" si="51"/>
        <v>-2783.7000000000044</v>
      </c>
      <c r="Y78" s="2"/>
      <c r="Z78" s="7">
        <f t="shared" si="52"/>
        <v>-6.1959865534382513E-2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>
        <v>1351.44</v>
      </c>
      <c r="Q79" s="2"/>
      <c r="R79" s="7">
        <f t="shared" si="49"/>
        <v>2.0059064046482053E-4</v>
      </c>
      <c r="S79" s="2"/>
      <c r="T79" s="6">
        <v>1828.87</v>
      </c>
      <c r="U79" s="2"/>
      <c r="V79" s="7">
        <f t="shared" si="50"/>
        <v>2.8344115631518855E-4</v>
      </c>
      <c r="W79" s="2"/>
      <c r="X79" s="6">
        <f t="shared" si="51"/>
        <v>-477.42999999999984</v>
      </c>
      <c r="Y79" s="2"/>
      <c r="Z79" s="7">
        <f t="shared" si="52"/>
        <v>-0.26105190636841319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5"/>
        <v>0</v>
      </c>
      <c r="G80" s="2"/>
      <c r="H80" s="6">
        <v>1650.4</v>
      </c>
      <c r="I80" s="2"/>
      <c r="J80" s="7">
        <f t="shared" si="46"/>
        <v>2.751546060787694E-3</v>
      </c>
      <c r="K80" s="2"/>
      <c r="L80" s="6">
        <f t="shared" si="47"/>
        <v>-1650.4</v>
      </c>
      <c r="M80" s="2"/>
      <c r="N80" s="7">
        <f t="shared" si="48"/>
        <v>-1</v>
      </c>
      <c r="O80" s="11"/>
      <c r="P80" s="6">
        <v>667.78</v>
      </c>
      <c r="Q80" s="2"/>
      <c r="R80" s="7">
        <f t="shared" si="49"/>
        <v>9.9116807175751671E-5</v>
      </c>
      <c r="S80" s="2"/>
      <c r="T80" s="6">
        <v>-379.64</v>
      </c>
      <c r="U80" s="2"/>
      <c r="V80" s="7">
        <f t="shared" si="50"/>
        <v>-5.8837205806589963E-5</v>
      </c>
      <c r="W80" s="2"/>
      <c r="X80" s="6">
        <f t="shared" si="51"/>
        <v>1047.42</v>
      </c>
      <c r="Y80" s="2"/>
      <c r="Z80" s="7">
        <f t="shared" si="52"/>
        <v>-2.758982193657149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>
        <v>2189.0100000000002</v>
      </c>
      <c r="E81" s="2"/>
      <c r="F81" s="7">
        <f t="shared" si="45"/>
        <v>3.3729526336530231E-3</v>
      </c>
      <c r="G81" s="2"/>
      <c r="H81" s="6"/>
      <c r="I81" s="2"/>
      <c r="J81" s="7">
        <f t="shared" si="46"/>
        <v>0</v>
      </c>
      <c r="K81" s="2"/>
      <c r="L81" s="6">
        <f t="shared" si="47"/>
        <v>2189.0100000000002</v>
      </c>
      <c r="M81" s="2"/>
      <c r="N81" s="7">
        <f t="shared" si="48"/>
        <v>0</v>
      </c>
      <c r="O81" s="11"/>
      <c r="P81" s="6">
        <v>-1696.34</v>
      </c>
      <c r="Q81" s="2"/>
      <c r="R81" s="7">
        <f t="shared" si="49"/>
        <v>-2.5178322903428465E-4</v>
      </c>
      <c r="S81" s="2"/>
      <c r="T81" s="6">
        <v>10162.59</v>
      </c>
      <c r="U81" s="2"/>
      <c r="V81" s="7">
        <f t="shared" si="50"/>
        <v>1.575014222310592E-3</v>
      </c>
      <c r="W81" s="2"/>
      <c r="X81" s="6">
        <f t="shared" si="51"/>
        <v>-11858.93</v>
      </c>
      <c r="Y81" s="2"/>
      <c r="Z81" s="7">
        <f t="shared" si="52"/>
        <v>-1.1669200469565337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741.15</v>
      </c>
      <c r="E82" s="1"/>
      <c r="F82" s="5">
        <f t="shared" ref="F82:F88" si="53">IF(D$12=0,0,D82/D$12)</f>
        <v>1.1420065894774067E-3</v>
      </c>
      <c r="G82" s="1"/>
      <c r="H82" s="1">
        <f>SUM(OSRRefH22_15x_0)</f>
        <v>60.6</v>
      </c>
      <c r="I82" s="1"/>
      <c r="J82" s="5">
        <f t="shared" ref="J82:J88" si="54">IF(H$12=0,0,H82/H$12)</f>
        <v>1.0103228991985838E-4</v>
      </c>
      <c r="K82" s="1"/>
      <c r="L82" s="1">
        <f t="shared" ref="L82:L88" si="55">+D82-H82</f>
        <v>680.55</v>
      </c>
      <c r="M82" s="1"/>
      <c r="N82" s="5">
        <f t="shared" ref="N82:N88" si="56">IF(H82=0,0,L82/H82)</f>
        <v>11.230198019801978</v>
      </c>
      <c r="O82" s="13"/>
      <c r="P82" s="1">
        <f>SUM(OSRRefP22_15x_0)</f>
        <v>4432.2</v>
      </c>
      <c r="Q82" s="1"/>
      <c r="R82" s="5">
        <f t="shared" ref="R82:R88" si="57">IF(P$12=0,0,P82/P$12)</f>
        <v>6.5785964354183495E-4</v>
      </c>
      <c r="S82" s="1"/>
      <c r="T82" s="1">
        <f>SUM(OSRRefT22_15x_0)</f>
        <v>4265.25</v>
      </c>
      <c r="U82" s="1"/>
      <c r="V82" s="5">
        <f t="shared" ref="V82:V88" si="58">IF(T$12=0,0,T82/T$12)</f>
        <v>6.6103517033652367E-4</v>
      </c>
      <c r="W82" s="1"/>
      <c r="X82" s="1">
        <f t="shared" ref="X82:X88" si="59">+P82-T82</f>
        <v>166.94999999999982</v>
      </c>
      <c r="Y82" s="1"/>
      <c r="Z82" s="5">
        <f t="shared" ref="Z82:Z88" si="60">IF(T82=0,0,X82/T82)</f>
        <v>3.9141902584842583E-2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741.15</v>
      </c>
      <c r="E83" s="2"/>
      <c r="F83" s="7">
        <f t="shared" si="53"/>
        <v>1.1420065894774067E-3</v>
      </c>
      <c r="G83" s="2"/>
      <c r="H83" s="6">
        <v>60.6</v>
      </c>
      <c r="I83" s="2"/>
      <c r="J83" s="7">
        <f t="shared" si="54"/>
        <v>1.0103228991985838E-4</v>
      </c>
      <c r="K83" s="2"/>
      <c r="L83" s="6">
        <f t="shared" si="55"/>
        <v>680.55</v>
      </c>
      <c r="M83" s="2"/>
      <c r="N83" s="7">
        <f t="shared" si="56"/>
        <v>11.230198019801978</v>
      </c>
      <c r="O83" s="11"/>
      <c r="P83" s="6">
        <v>4432.2</v>
      </c>
      <c r="Q83" s="2"/>
      <c r="R83" s="7">
        <f t="shared" si="57"/>
        <v>6.5785964354183495E-4</v>
      </c>
      <c r="S83" s="2"/>
      <c r="T83" s="6">
        <v>4265.25</v>
      </c>
      <c r="U83" s="2"/>
      <c r="V83" s="7">
        <f t="shared" si="58"/>
        <v>6.6103517033652367E-4</v>
      </c>
      <c r="W83" s="2"/>
      <c r="X83" s="6">
        <f t="shared" si="59"/>
        <v>166.94999999999982</v>
      </c>
      <c r="Y83" s="2"/>
      <c r="Z83" s="7">
        <f t="shared" si="60"/>
        <v>3.9141902584842583E-2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273.32</v>
      </c>
      <c r="E84" s="1"/>
      <c r="F84" s="5">
        <f t="shared" si="53"/>
        <v>4.2114719157520711E-4</v>
      </c>
      <c r="G84" s="1"/>
      <c r="H84" s="1">
        <f>SUM(OSRRefH22_16x_0)</f>
        <v>440.18</v>
      </c>
      <c r="I84" s="1"/>
      <c r="J84" s="5">
        <f t="shared" si="54"/>
        <v>7.3386787750698442E-4</v>
      </c>
      <c r="K84" s="1"/>
      <c r="L84" s="1">
        <f t="shared" si="55"/>
        <v>-166.86</v>
      </c>
      <c r="M84" s="1"/>
      <c r="N84" s="5">
        <f t="shared" si="56"/>
        <v>-0.37907219773728934</v>
      </c>
      <c r="O84" s="13"/>
      <c r="P84" s="1">
        <f>SUM(OSRRefP22_16x_0)</f>
        <v>6034.69</v>
      </c>
      <c r="Q84" s="1"/>
      <c r="R84" s="5">
        <f t="shared" si="57"/>
        <v>8.9571296698828481E-4</v>
      </c>
      <c r="S84" s="1"/>
      <c r="T84" s="1">
        <f>SUM(OSRRefT22_16x_0)</f>
        <v>7113.38</v>
      </c>
      <c r="U84" s="1"/>
      <c r="V84" s="5">
        <f t="shared" si="58"/>
        <v>1.1024428485946712E-3</v>
      </c>
      <c r="W84" s="1"/>
      <c r="X84" s="1">
        <f t="shared" si="59"/>
        <v>-1078.6900000000005</v>
      </c>
      <c r="Y84" s="1"/>
      <c r="Z84" s="5">
        <f t="shared" si="60"/>
        <v>-0.15164239784743688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>
        <v>273.32</v>
      </c>
      <c r="E85" s="2"/>
      <c r="F85" s="7">
        <f t="shared" si="53"/>
        <v>4.2114719157520711E-4</v>
      </c>
      <c r="G85" s="2"/>
      <c r="H85" s="6">
        <v>440.18</v>
      </c>
      <c r="I85" s="2"/>
      <c r="J85" s="7">
        <f t="shared" si="54"/>
        <v>7.3386787750698442E-4</v>
      </c>
      <c r="K85" s="2"/>
      <c r="L85" s="6">
        <f t="shared" si="55"/>
        <v>-166.86</v>
      </c>
      <c r="M85" s="2"/>
      <c r="N85" s="7">
        <f t="shared" si="56"/>
        <v>-0.37907219773728934</v>
      </c>
      <c r="O85" s="11"/>
      <c r="P85" s="6">
        <v>6034.69</v>
      </c>
      <c r="Q85" s="2"/>
      <c r="R85" s="7">
        <f t="shared" si="57"/>
        <v>8.9571296698828481E-4</v>
      </c>
      <c r="S85" s="2"/>
      <c r="T85" s="6">
        <v>7113.38</v>
      </c>
      <c r="U85" s="2"/>
      <c r="V85" s="7">
        <f t="shared" si="58"/>
        <v>1.1024428485946712E-3</v>
      </c>
      <c r="W85" s="2"/>
      <c r="X85" s="6">
        <f t="shared" si="59"/>
        <v>-1078.6900000000005</v>
      </c>
      <c r="Y85" s="2"/>
      <c r="Z85" s="7">
        <f t="shared" si="60"/>
        <v>-0.15164239784743688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SUM(OSRRefD22_17x_0)</f>
        <v>154.97999999999999</v>
      </c>
      <c r="E86" s="1"/>
      <c r="F86" s="5">
        <f t="shared" si="53"/>
        <v>2.3880210650638664E-4</v>
      </c>
      <c r="G86" s="1"/>
      <c r="H86" s="1">
        <f>SUM(OSRRefH22_17x_0)</f>
        <v>141.88</v>
      </c>
      <c r="I86" s="1"/>
      <c r="J86" s="5">
        <f t="shared" si="54"/>
        <v>2.3654226557474431E-4</v>
      </c>
      <c r="K86" s="1"/>
      <c r="L86" s="1">
        <f t="shared" si="55"/>
        <v>13.099999999999994</v>
      </c>
      <c r="M86" s="1"/>
      <c r="N86" s="5">
        <f t="shared" si="56"/>
        <v>9.2331547786862103E-2</v>
      </c>
      <c r="O86" s="13"/>
      <c r="P86" s="1">
        <f>SUM(OSRRefP22_17x_0)</f>
        <v>1894.26</v>
      </c>
      <c r="Q86" s="1"/>
      <c r="R86" s="5">
        <f t="shared" si="57"/>
        <v>2.8115996759522504E-4</v>
      </c>
      <c r="S86" s="1"/>
      <c r="T86" s="1">
        <f>SUM(OSRRefT22_17x_0)</f>
        <v>1745.9099999999999</v>
      </c>
      <c r="U86" s="1"/>
      <c r="V86" s="5">
        <f t="shared" si="58"/>
        <v>2.7058388470599382E-4</v>
      </c>
      <c r="W86" s="1"/>
      <c r="X86" s="1">
        <f t="shared" si="59"/>
        <v>148.35000000000014</v>
      </c>
      <c r="Y86" s="1"/>
      <c r="Z86" s="5">
        <f t="shared" si="60"/>
        <v>8.4970015636544924E-2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>
        <v>154.97999999999999</v>
      </c>
      <c r="E87" s="2"/>
      <c r="F87" s="7">
        <f t="shared" si="53"/>
        <v>2.3880210650638664E-4</v>
      </c>
      <c r="G87" s="2"/>
      <c r="H87" s="6">
        <v>141.88</v>
      </c>
      <c r="I87" s="2"/>
      <c r="J87" s="7">
        <f t="shared" si="54"/>
        <v>2.3654226557474431E-4</v>
      </c>
      <c r="K87" s="2"/>
      <c r="L87" s="6">
        <f t="shared" si="55"/>
        <v>13.099999999999994</v>
      </c>
      <c r="M87" s="2"/>
      <c r="N87" s="7">
        <f t="shared" si="56"/>
        <v>9.2331547786862103E-2</v>
      </c>
      <c r="O87" s="11"/>
      <c r="P87" s="6">
        <v>1894.26</v>
      </c>
      <c r="Q87" s="2"/>
      <c r="R87" s="7">
        <f t="shared" si="57"/>
        <v>2.8115996759522504E-4</v>
      </c>
      <c r="S87" s="2"/>
      <c r="T87" s="6">
        <v>1175.53</v>
      </c>
      <c r="U87" s="2"/>
      <c r="V87" s="7">
        <f t="shared" si="58"/>
        <v>1.821854929454765E-4</v>
      </c>
      <c r="W87" s="2"/>
      <c r="X87" s="6">
        <f t="shared" si="59"/>
        <v>718.73</v>
      </c>
      <c r="Y87" s="2"/>
      <c r="Z87" s="7">
        <f t="shared" si="60"/>
        <v>0.61140932175274132</v>
      </c>
    </row>
    <row r="88" spans="1:26" s="24" customFormat="1" hidden="1" outlineLevel="2" x14ac:dyDescent="0.25">
      <c r="A88" s="25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53"/>
        <v>0</v>
      </c>
      <c r="G88" s="2"/>
      <c r="H88" s="6"/>
      <c r="I88" s="2"/>
      <c r="J88" s="7">
        <f t="shared" si="54"/>
        <v>0</v>
      </c>
      <c r="K88" s="2"/>
      <c r="L88" s="6">
        <f t="shared" si="55"/>
        <v>0</v>
      </c>
      <c r="M88" s="2"/>
      <c r="N88" s="7">
        <f t="shared" si="56"/>
        <v>0</v>
      </c>
      <c r="O88" s="11"/>
      <c r="P88" s="6"/>
      <c r="Q88" s="2"/>
      <c r="R88" s="7">
        <f t="shared" si="57"/>
        <v>0</v>
      </c>
      <c r="S88" s="2"/>
      <c r="T88" s="6">
        <v>570.38</v>
      </c>
      <c r="U88" s="2"/>
      <c r="V88" s="7">
        <f t="shared" si="58"/>
        <v>8.8398391760517299E-5</v>
      </c>
      <c r="W88" s="2"/>
      <c r="X88" s="6">
        <f t="shared" si="59"/>
        <v>-570.38</v>
      </c>
      <c r="Y88" s="2"/>
      <c r="Z88" s="7">
        <f t="shared" si="60"/>
        <v>-1</v>
      </c>
    </row>
    <row r="89" spans="1:26" s="59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1">
        <f>+D24-D26+D90</f>
        <v>87778.689999999886</v>
      </c>
      <c r="E92" s="14"/>
      <c r="F92" s="22">
        <f>IF(D$12=0,0,D92/D$12)</f>
        <v>0.13525445914550954</v>
      </c>
      <c r="G92" s="14"/>
      <c r="H92" s="21">
        <f>+H24-H26+H90</f>
        <v>91774.230000000272</v>
      </c>
      <c r="I92" s="14"/>
      <c r="J92" s="22">
        <f>IF(H$12=0,0,H92/H$12)</f>
        <v>0.15300595070184472</v>
      </c>
      <c r="K92" s="16"/>
      <c r="L92" s="21">
        <f>+D92-H92</f>
        <v>-3995.5400000003865</v>
      </c>
      <c r="M92" s="16"/>
      <c r="N92" s="22">
        <f>IF(H92=0,0,L92/H92)</f>
        <v>-4.353662242658287E-2</v>
      </c>
      <c r="O92" s="29"/>
      <c r="P92" s="21">
        <f>+P24-P26+P90</f>
        <v>1767531.4100000001</v>
      </c>
      <c r="Q92" s="14"/>
      <c r="R92" s="22">
        <f>IF(P$12=0,0,P92/P$12)</f>
        <v>0.26234998044573737</v>
      </c>
      <c r="S92" s="14"/>
      <c r="T92" s="21">
        <f>+T24-T26+T90</f>
        <v>1840378.8600000017</v>
      </c>
      <c r="U92" s="14"/>
      <c r="V92" s="22">
        <f>IF(T$12=0,0,T92/T$12)</f>
        <v>0.28522481758486334</v>
      </c>
      <c r="W92" s="16"/>
      <c r="X92" s="21">
        <f>+P92-T92</f>
        <v>-72847.450000001583</v>
      </c>
      <c r="Y92" s="16"/>
      <c r="Z92" s="22">
        <f>IF(T92=0,0,X92/T92)</f>
        <v>-3.9582855238840073E-2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45020.5</v>
      </c>
      <c r="E94" s="4"/>
      <c r="F94" s="12">
        <f>IF(D$12=0,0,D94/D$12)</f>
        <v>6.9370178319594661E-2</v>
      </c>
      <c r="G94" s="4"/>
      <c r="H94" s="4">
        <v>24951.73</v>
      </c>
      <c r="I94" s="4"/>
      <c r="J94" s="12">
        <f>IF(H$12=0,0,H94/H$12)</f>
        <v>4.1599511870660522E-2</v>
      </c>
      <c r="K94" s="4"/>
      <c r="L94" s="4">
        <f>+D94-H94</f>
        <v>20068.77</v>
      </c>
      <c r="M94" s="4"/>
      <c r="N94" s="12">
        <f>IF(H94=0,0,L94/H94)</f>
        <v>0.80430374967988194</v>
      </c>
      <c r="O94" s="10"/>
      <c r="P94" s="4">
        <v>702605.32</v>
      </c>
      <c r="Q94" s="4"/>
      <c r="R94" s="12">
        <f>IF(P$12=0,0,P94/P$12)</f>
        <v>0.10428583668737802</v>
      </c>
      <c r="S94" s="4"/>
      <c r="T94" s="4">
        <v>656532.77</v>
      </c>
      <c r="U94" s="4"/>
      <c r="V94" s="12">
        <f>IF(T$12=0,0,T94/T$12)</f>
        <v>0.10175048389858971</v>
      </c>
      <c r="W94" s="4"/>
      <c r="X94" s="4">
        <f>+P94-T94</f>
        <v>46072.54999999993</v>
      </c>
      <c r="Y94" s="4"/>
      <c r="Z94" s="12">
        <f>IF(T94=0,0,X94/T94)</f>
        <v>7.0175552699372382E-2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4">
        <f>+D92-D94</f>
        <v>42758.189999999886</v>
      </c>
      <c r="E96" s="14"/>
      <c r="F96" s="31">
        <f>IF(D$12=0,0,D96/D$12)</f>
        <v>6.5884280825914895E-2</v>
      </c>
      <c r="G96" s="14"/>
      <c r="H96" s="34">
        <f>+H92-H94</f>
        <v>66822.500000000276</v>
      </c>
      <c r="I96" s="14"/>
      <c r="J96" s="31">
        <f>IF(H$12=0,0,H96/H$12)</f>
        <v>0.11140643883118422</v>
      </c>
      <c r="K96" s="16"/>
      <c r="L96" s="34">
        <f>D96-H96</f>
        <v>-24064.310000000391</v>
      </c>
      <c r="M96" s="16"/>
      <c r="N96" s="31">
        <f>IF(H96=0,0,L96/H96)</f>
        <v>-0.36012286280819022</v>
      </c>
      <c r="O96" s="29"/>
      <c r="P96" s="34">
        <f>+P92-P94</f>
        <v>1064926.0900000003</v>
      </c>
      <c r="Q96" s="14"/>
      <c r="R96" s="31">
        <f>IF(P$12=0,0,P96/P$12)</f>
        <v>0.15806414375835934</v>
      </c>
      <c r="S96" s="14"/>
      <c r="T96" s="34">
        <f>+T92-T94</f>
        <v>1183846.0900000017</v>
      </c>
      <c r="U96" s="14"/>
      <c r="V96" s="31">
        <f>IF(T$12=0,0,T96/T$12)</f>
        <v>0.18347433368627367</v>
      </c>
      <c r="W96" s="16"/>
      <c r="X96" s="34">
        <f>P96-T96</f>
        <v>-118920.0000000014</v>
      </c>
      <c r="Y96" s="16"/>
      <c r="Z96" s="31">
        <f>IF(T96=0,0,X96/T96)</f>
        <v>-0.10045224713290325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0">
        <f>SUM(D96:D98)</f>
        <v>42758.189999999886</v>
      </c>
      <c r="E99" s="14"/>
      <c r="F99" s="33">
        <f>IF(D$12=0,0,D99/D$12)</f>
        <v>6.5884280825914895E-2</v>
      </c>
      <c r="G99" s="14"/>
      <c r="H99" s="30">
        <f>SUM(H96:H98)</f>
        <v>66822.500000000276</v>
      </c>
      <c r="I99" s="14"/>
      <c r="J99" s="33">
        <f>IF(H$12=0,0,H99/H$12)</f>
        <v>0.11140643883118422</v>
      </c>
      <c r="K99" s="16"/>
      <c r="L99" s="30">
        <f>+D99-H99</f>
        <v>-24064.310000000391</v>
      </c>
      <c r="M99" s="16"/>
      <c r="N99" s="33">
        <f>IF(H99=0,0,L99/H99)</f>
        <v>-0.36012286280819022</v>
      </c>
      <c r="O99" s="29"/>
      <c r="P99" s="30">
        <f>SUM(P96:P98)</f>
        <v>1064926.0900000003</v>
      </c>
      <c r="Q99" s="14"/>
      <c r="R99" s="33">
        <f>IF(P$12=0,0,P99/P$12)</f>
        <v>0.15806414375835934</v>
      </c>
      <c r="S99" s="14"/>
      <c r="T99" s="30">
        <f>SUM(T96:T98)</f>
        <v>1183846.0900000017</v>
      </c>
      <c r="U99" s="14"/>
      <c r="V99" s="33">
        <f>IF(T$12=0,0,T99/T$12)</f>
        <v>0.18347433368627367</v>
      </c>
      <c r="W99" s="16"/>
      <c r="X99" s="30">
        <f>+P99-T99</f>
        <v>-118920.0000000014</v>
      </c>
      <c r="Y99" s="16"/>
      <c r="Z99" s="33">
        <f>IF(T99=0,0,X99/T99)</f>
        <v>-0.10045224713290325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43879.553505868054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 t="s">
        <v>313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","430", " - ", "Res Hall Management")</f>
        <v>Department 430 - Res Hall Management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15835.96</v>
      </c>
      <c r="E18" s="20"/>
      <c r="F18" s="32">
        <f t="shared" ref="F18:F27" si="0">IF(D$12=0,0,D18/D$12)</f>
        <v>0</v>
      </c>
      <c r="G18" s="20"/>
      <c r="H18" s="20">
        <f>SUM(OSRRefH22x_0)</f>
        <v>13789.74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2046.2199999999993</v>
      </c>
      <c r="M18" s="4"/>
      <c r="N18" s="32">
        <f t="shared" ref="N18:N27" si="3">IF(H18=0,0,L18/H18)</f>
        <v>0.14838713420267527</v>
      </c>
      <c r="O18" s="10"/>
      <c r="P18" s="20">
        <f>SUM(OSRRefP22x_0)</f>
        <v>108367.76</v>
      </c>
      <c r="Q18" s="20"/>
      <c r="R18" s="32">
        <f t="shared" ref="R18:R27" si="4">IF(P$12=0,0,P18/P$12)</f>
        <v>0</v>
      </c>
      <c r="S18" s="20"/>
      <c r="T18" s="20">
        <f>SUM(OSRRefT22x_0)</f>
        <v>99565.12999999999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8802.6300000000047</v>
      </c>
      <c r="Y18" s="4"/>
      <c r="Z18" s="32">
        <f t="shared" ref="Z18:Z27" si="7">IF(T18=0,0,X18/T18)</f>
        <v>8.8410771923865372E-2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5846.9699999999993</v>
      </c>
      <c r="E19" s="1"/>
      <c r="F19" s="5">
        <f t="shared" si="0"/>
        <v>0</v>
      </c>
      <c r="G19" s="1"/>
      <c r="H19" s="1">
        <f>SUM(OSRRefH22_0x_0)</f>
        <v>5679.72</v>
      </c>
      <c r="I19" s="1"/>
      <c r="J19" s="5">
        <f t="shared" si="1"/>
        <v>0</v>
      </c>
      <c r="K19" s="1"/>
      <c r="L19" s="1">
        <f t="shared" si="2"/>
        <v>167.24999999999909</v>
      </c>
      <c r="M19" s="1"/>
      <c r="N19" s="5">
        <f t="shared" si="3"/>
        <v>2.9446874141682879E-2</v>
      </c>
      <c r="O19" s="13"/>
      <c r="P19" s="1">
        <f>SUM(OSRRefP22_0x_0)</f>
        <v>41257.519999999997</v>
      </c>
      <c r="Q19" s="1"/>
      <c r="R19" s="5">
        <f t="shared" si="4"/>
        <v>0</v>
      </c>
      <c r="S19" s="1"/>
      <c r="T19" s="1">
        <f>SUM(OSRRefT22_0x_0)</f>
        <v>38777.79</v>
      </c>
      <c r="U19" s="1"/>
      <c r="V19" s="5">
        <f t="shared" si="5"/>
        <v>0</v>
      </c>
      <c r="W19" s="1"/>
      <c r="X19" s="1">
        <f t="shared" si="6"/>
        <v>2479.7299999999959</v>
      </c>
      <c r="Y19" s="1"/>
      <c r="Z19" s="5">
        <f t="shared" si="7"/>
        <v>6.3947171821808202E-2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604.94000000000005</v>
      </c>
      <c r="I20" s="2"/>
      <c r="J20" s="7">
        <f t="shared" si="1"/>
        <v>0</v>
      </c>
      <c r="K20" s="2"/>
      <c r="L20" s="6">
        <f t="shared" si="2"/>
        <v>18.159999999999968</v>
      </c>
      <c r="M20" s="2"/>
      <c r="N20" s="7">
        <f t="shared" si="3"/>
        <v>3.0019506066717307E-2</v>
      </c>
      <c r="O20" s="11"/>
      <c r="P20" s="6">
        <v>5538.64</v>
      </c>
      <c r="Q20" s="2"/>
      <c r="R20" s="7">
        <f t="shared" si="4"/>
        <v>0</v>
      </c>
      <c r="S20" s="2"/>
      <c r="T20" s="6">
        <v>5377.14</v>
      </c>
      <c r="U20" s="2"/>
      <c r="V20" s="7">
        <f t="shared" si="5"/>
        <v>0</v>
      </c>
      <c r="W20" s="2"/>
      <c r="X20" s="6">
        <f t="shared" si="6"/>
        <v>161.5</v>
      </c>
      <c r="Y20" s="2"/>
      <c r="Z20" s="7">
        <f t="shared" si="7"/>
        <v>3.0034553684672519E-2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>
        <v>276.77</v>
      </c>
      <c r="I21" s="2"/>
      <c r="J21" s="7">
        <f t="shared" si="1"/>
        <v>0</v>
      </c>
      <c r="K21" s="2"/>
      <c r="L21" s="6">
        <f t="shared" si="2"/>
        <v>39.259999999999991</v>
      </c>
      <c r="M21" s="2"/>
      <c r="N21" s="7">
        <f t="shared" si="3"/>
        <v>0.14185063410051665</v>
      </c>
      <c r="O21" s="11"/>
      <c r="P21" s="6">
        <v>2218.7800000000002</v>
      </c>
      <c r="Q21" s="2"/>
      <c r="R21" s="7">
        <f t="shared" si="4"/>
        <v>0</v>
      </c>
      <c r="S21" s="2"/>
      <c r="T21" s="6">
        <v>2587.94</v>
      </c>
      <c r="U21" s="2"/>
      <c r="V21" s="7">
        <f t="shared" si="5"/>
        <v>0</v>
      </c>
      <c r="W21" s="2"/>
      <c r="X21" s="6">
        <f t="shared" si="6"/>
        <v>-369.15999999999985</v>
      </c>
      <c r="Y21" s="2"/>
      <c r="Z21" s="7">
        <f t="shared" si="7"/>
        <v>-0.14264627464315241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2730.6</v>
      </c>
      <c r="I22" s="2"/>
      <c r="J22" s="7">
        <f t="shared" si="1"/>
        <v>0</v>
      </c>
      <c r="K22" s="2"/>
      <c r="L22" s="6">
        <f t="shared" si="2"/>
        <v>7.3000000000001819</v>
      </c>
      <c r="M22" s="2"/>
      <c r="N22" s="7">
        <f t="shared" si="3"/>
        <v>2.6734051124295694E-3</v>
      </c>
      <c r="O22" s="11"/>
      <c r="P22" s="6">
        <v>19121.5</v>
      </c>
      <c r="Q22" s="2"/>
      <c r="R22" s="7">
        <f t="shared" si="4"/>
        <v>0</v>
      </c>
      <c r="S22" s="2"/>
      <c r="T22" s="6">
        <v>17769.47</v>
      </c>
      <c r="U22" s="2"/>
      <c r="V22" s="7">
        <f t="shared" si="5"/>
        <v>0</v>
      </c>
      <c r="W22" s="2"/>
      <c r="X22" s="6">
        <f t="shared" si="6"/>
        <v>1352.0299999999988</v>
      </c>
      <c r="Y22" s="2"/>
      <c r="Z22" s="7">
        <f t="shared" si="7"/>
        <v>7.6087244020221129E-2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20.56</v>
      </c>
      <c r="I23" s="2"/>
      <c r="J23" s="7">
        <f t="shared" si="1"/>
        <v>0</v>
      </c>
      <c r="K23" s="2"/>
      <c r="L23" s="6">
        <f t="shared" si="2"/>
        <v>0.62000000000000099</v>
      </c>
      <c r="M23" s="2"/>
      <c r="N23" s="7">
        <f t="shared" si="3"/>
        <v>3.0155642023346352E-2</v>
      </c>
      <c r="O23" s="11"/>
      <c r="P23" s="6">
        <v>187.75</v>
      </c>
      <c r="Q23" s="2"/>
      <c r="R23" s="7">
        <f t="shared" si="4"/>
        <v>0</v>
      </c>
      <c r="S23" s="2"/>
      <c r="T23" s="6">
        <v>192.25</v>
      </c>
      <c r="U23" s="2"/>
      <c r="V23" s="7">
        <f t="shared" si="5"/>
        <v>0</v>
      </c>
      <c r="W23" s="2"/>
      <c r="X23" s="6">
        <f t="shared" si="6"/>
        <v>-4.5</v>
      </c>
      <c r="Y23" s="2"/>
      <c r="Z23" s="7">
        <f t="shared" si="7"/>
        <v>-2.3407022106631991E-2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853.4</v>
      </c>
      <c r="E24" s="2"/>
      <c r="F24" s="7">
        <f t="shared" si="0"/>
        <v>0</v>
      </c>
      <c r="G24" s="2"/>
      <c r="H24" s="6">
        <v>811.58</v>
      </c>
      <c r="I24" s="2"/>
      <c r="J24" s="7">
        <f t="shared" si="1"/>
        <v>0</v>
      </c>
      <c r="K24" s="2"/>
      <c r="L24" s="6">
        <f t="shared" si="2"/>
        <v>41.819999999999936</v>
      </c>
      <c r="M24" s="2"/>
      <c r="N24" s="7">
        <f t="shared" si="3"/>
        <v>5.1529116045244995E-2</v>
      </c>
      <c r="O24" s="11"/>
      <c r="P24" s="6">
        <v>4266.9799999999996</v>
      </c>
      <c r="Q24" s="2"/>
      <c r="R24" s="7">
        <f t="shared" si="4"/>
        <v>0</v>
      </c>
      <c r="S24" s="2"/>
      <c r="T24" s="6">
        <v>4320.53</v>
      </c>
      <c r="U24" s="2"/>
      <c r="V24" s="7">
        <f t="shared" si="5"/>
        <v>0</v>
      </c>
      <c r="W24" s="2"/>
      <c r="X24" s="6">
        <f t="shared" si="6"/>
        <v>-53.550000000000182</v>
      </c>
      <c r="Y24" s="2"/>
      <c r="Z24" s="7">
        <f t="shared" si="7"/>
        <v>-1.2394312734780267E-2</v>
      </c>
    </row>
    <row r="25" spans="1:26" s="24" customFormat="1" hidden="1" outlineLevel="2" x14ac:dyDescent="0.25">
      <c r="A25" s="25"/>
      <c r="B25" s="11" t="str">
        <f>CONCATENATE("          ", "6118", " - ", "VACATION")</f>
        <v xml:space="preserve">          6118 - VACATION</v>
      </c>
      <c r="C25" s="11"/>
      <c r="D25" s="6">
        <v>752.4</v>
      </c>
      <c r="E25" s="2"/>
      <c r="F25" s="7">
        <f t="shared" si="0"/>
        <v>0</v>
      </c>
      <c r="G25" s="2"/>
      <c r="H25" s="6">
        <v>730.48</v>
      </c>
      <c r="I25" s="2"/>
      <c r="J25" s="7">
        <f t="shared" si="1"/>
        <v>0</v>
      </c>
      <c r="K25" s="2"/>
      <c r="L25" s="6">
        <f t="shared" si="2"/>
        <v>21.919999999999959</v>
      </c>
      <c r="M25" s="2"/>
      <c r="N25" s="7">
        <f t="shared" si="3"/>
        <v>3.0007666192092813E-2</v>
      </c>
      <c r="O25" s="11"/>
      <c r="P25" s="6">
        <v>5983.45</v>
      </c>
      <c r="Q25" s="2"/>
      <c r="R25" s="7">
        <f t="shared" si="4"/>
        <v>0</v>
      </c>
      <c r="S25" s="2"/>
      <c r="T25" s="6">
        <v>4691</v>
      </c>
      <c r="U25" s="2"/>
      <c r="V25" s="7">
        <f t="shared" si="5"/>
        <v>0</v>
      </c>
      <c r="W25" s="2"/>
      <c r="X25" s="6">
        <f t="shared" si="6"/>
        <v>1292.4499999999998</v>
      </c>
      <c r="Y25" s="2"/>
      <c r="Z25" s="7">
        <f t="shared" si="7"/>
        <v>0.27551694734598164</v>
      </c>
    </row>
    <row r="26" spans="1:26" s="24" customFormat="1" hidden="1" outlineLevel="2" x14ac:dyDescent="0.25">
      <c r="A26" s="25"/>
      <c r="B26" s="11" t="str">
        <f>CONCATENATE("          ", "6119", " - ", "SICK LEAVE")</f>
        <v xml:space="preserve">          6119 - SICK LEAVE</v>
      </c>
      <c r="C26" s="11"/>
      <c r="D26" s="6">
        <v>375.68</v>
      </c>
      <c r="E26" s="2"/>
      <c r="F26" s="7">
        <f t="shared" si="0"/>
        <v>0</v>
      </c>
      <c r="G26" s="2"/>
      <c r="H26" s="6">
        <v>364.74</v>
      </c>
      <c r="I26" s="2"/>
      <c r="J26" s="7">
        <f t="shared" si="1"/>
        <v>0</v>
      </c>
      <c r="K26" s="2"/>
      <c r="L26" s="6">
        <f t="shared" si="2"/>
        <v>10.939999999999998</v>
      </c>
      <c r="M26" s="2"/>
      <c r="N26" s="7">
        <f t="shared" si="3"/>
        <v>2.9993968306190704E-2</v>
      </c>
      <c r="O26" s="11"/>
      <c r="P26" s="6">
        <v>3048.1</v>
      </c>
      <c r="Q26" s="2"/>
      <c r="R26" s="7">
        <f t="shared" si="4"/>
        <v>0</v>
      </c>
      <c r="S26" s="2"/>
      <c r="T26" s="6">
        <v>2855.77</v>
      </c>
      <c r="U26" s="2"/>
      <c r="V26" s="7">
        <f t="shared" si="5"/>
        <v>0</v>
      </c>
      <c r="W26" s="2"/>
      <c r="X26" s="6">
        <f t="shared" si="6"/>
        <v>192.32999999999993</v>
      </c>
      <c r="Y26" s="2"/>
      <c r="Z26" s="7">
        <f t="shared" si="7"/>
        <v>6.7347860647040875E-2</v>
      </c>
    </row>
    <row r="27" spans="1:26" s="24" customFormat="1" hidden="1" outlineLevel="2" x14ac:dyDescent="0.25">
      <c r="A27" s="25"/>
      <c r="B27" s="11" t="str">
        <f>CONCATENATE("          ", "6156", " - ", "EMPLOYEE MEALS")</f>
        <v xml:space="preserve">          6156 - EMPLOYEE MEALS</v>
      </c>
      <c r="C27" s="11"/>
      <c r="D27" s="6">
        <v>167.28</v>
      </c>
      <c r="E27" s="2"/>
      <c r="F27" s="7">
        <f t="shared" si="0"/>
        <v>0</v>
      </c>
      <c r="G27" s="2"/>
      <c r="H27" s="6">
        <v>140.05000000000001</v>
      </c>
      <c r="I27" s="2"/>
      <c r="J27" s="7">
        <f t="shared" si="1"/>
        <v>0</v>
      </c>
      <c r="K27" s="2"/>
      <c r="L27" s="6">
        <f t="shared" si="2"/>
        <v>27.22999999999999</v>
      </c>
      <c r="M27" s="2"/>
      <c r="N27" s="7">
        <f t="shared" si="3"/>
        <v>0.19443056051410201</v>
      </c>
      <c r="O27" s="11"/>
      <c r="P27" s="6">
        <v>892.32</v>
      </c>
      <c r="Q27" s="2"/>
      <c r="R27" s="7">
        <f t="shared" si="4"/>
        <v>0</v>
      </c>
      <c r="S27" s="2"/>
      <c r="T27" s="6">
        <v>983.69</v>
      </c>
      <c r="U27" s="2"/>
      <c r="V27" s="7">
        <f t="shared" si="5"/>
        <v>0</v>
      </c>
      <c r="W27" s="2"/>
      <c r="X27" s="6">
        <f t="shared" si="6"/>
        <v>-91.37</v>
      </c>
      <c r="Y27" s="2"/>
      <c r="Z27" s="7">
        <f t="shared" si="7"/>
        <v>-9.2884953593103517E-2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8552.0400000000009</v>
      </c>
      <c r="E28" s="1"/>
      <c r="F28" s="5">
        <f t="shared" ref="F28:F40" si="8">IF(D$12=0,0,D28/D$12)</f>
        <v>0</v>
      </c>
      <c r="G28" s="1"/>
      <c r="H28" s="1">
        <f>SUM(OSRRefH22_1x_0)</f>
        <v>7907.85</v>
      </c>
      <c r="I28" s="1"/>
      <c r="J28" s="5">
        <f t="shared" ref="J28:J40" si="9">IF(H$12=0,0,H28/H$12)</f>
        <v>0</v>
      </c>
      <c r="K28" s="1"/>
      <c r="L28" s="1">
        <f t="shared" ref="L28:L40" si="10">+D28-H28</f>
        <v>644.19000000000051</v>
      </c>
      <c r="M28" s="1"/>
      <c r="N28" s="5">
        <f t="shared" ref="N28:N40" si="11">IF(H28=0,0,L28/H28)</f>
        <v>8.1462091466074915E-2</v>
      </c>
      <c r="O28" s="13"/>
      <c r="P28" s="1">
        <f>SUM(OSRRefP22_1x_0)</f>
        <v>54164.28</v>
      </c>
      <c r="Q28" s="1"/>
      <c r="R28" s="5">
        <f t="shared" ref="R28:R40" si="12">IF(P$12=0,0,P28/P$12)</f>
        <v>0</v>
      </c>
      <c r="S28" s="1"/>
      <c r="T28" s="1">
        <f>SUM(OSRRefT22_1x_0)</f>
        <v>54959.26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-794.9800000000032</v>
      </c>
      <c r="Y28" s="1"/>
      <c r="Z28" s="5">
        <f t="shared" ref="Z28:Z40" si="15">IF(T28=0,0,X28/T28)</f>
        <v>-1.4464896361413949E-2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8552.0400000000009</v>
      </c>
      <c r="E29" s="2"/>
      <c r="F29" s="7">
        <f t="shared" si="8"/>
        <v>0</v>
      </c>
      <c r="G29" s="2"/>
      <c r="H29" s="6">
        <v>7907.85</v>
      </c>
      <c r="I29" s="2"/>
      <c r="J29" s="7">
        <f t="shared" si="9"/>
        <v>0</v>
      </c>
      <c r="K29" s="2"/>
      <c r="L29" s="6">
        <f t="shared" si="10"/>
        <v>644.19000000000051</v>
      </c>
      <c r="M29" s="2"/>
      <c r="N29" s="7">
        <f t="shared" si="11"/>
        <v>8.1462091466074915E-2</v>
      </c>
      <c r="O29" s="11"/>
      <c r="P29" s="6">
        <v>54164.28</v>
      </c>
      <c r="Q29" s="2"/>
      <c r="R29" s="7">
        <f t="shared" si="12"/>
        <v>0</v>
      </c>
      <c r="S29" s="2"/>
      <c r="T29" s="6">
        <v>54959.26</v>
      </c>
      <c r="U29" s="2"/>
      <c r="V29" s="7">
        <f t="shared" si="13"/>
        <v>0</v>
      </c>
      <c r="W29" s="2"/>
      <c r="X29" s="6">
        <f t="shared" si="14"/>
        <v>-794.9800000000032</v>
      </c>
      <c r="Y29" s="2"/>
      <c r="Z29" s="7">
        <f t="shared" si="15"/>
        <v>-1.4464896361413949E-2</v>
      </c>
    </row>
    <row r="30" spans="1:26" s="26" customFormat="1" outlineLevel="1" collapsed="1" x14ac:dyDescent="0.25">
      <c r="A30" s="27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5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6" customFormat="1" outlineLevel="1" collapsed="1" x14ac:dyDescent="0.25">
      <c r="A32" s="27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5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40.9</v>
      </c>
      <c r="U33" s="2"/>
      <c r="V33" s="7">
        <f t="shared" si="13"/>
        <v>0</v>
      </c>
      <c r="W33" s="2"/>
      <c r="X33" s="6">
        <f t="shared" si="14"/>
        <v>-40.9</v>
      </c>
      <c r="Y33" s="2"/>
      <c r="Z33" s="7">
        <f t="shared" si="15"/>
        <v>-1</v>
      </c>
    </row>
    <row r="34" spans="1:26" s="26" customFormat="1" outlineLevel="1" collapsed="1" x14ac:dyDescent="0.25">
      <c r="A34" s="27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3"/>
      <c r="P34" s="1">
        <f>SUM(OSRRefP22_4x_0)</f>
        <v>214.55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-108.75999999999999</v>
      </c>
      <c r="Y34" s="1"/>
      <c r="Z34" s="5">
        <f t="shared" si="15"/>
        <v>-0.33639540997803963</v>
      </c>
    </row>
    <row r="35" spans="1:26" s="24" customFormat="1" hidden="1" outlineLevel="2" x14ac:dyDescent="0.25">
      <c r="A35" s="25"/>
      <c r="B35" s="11" t="str">
        <f>CONCATENATE("          ", "6279", " - ", "GENERAL EXPENSE")</f>
        <v xml:space="preserve">          6279 - GENERAL EXPENSE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214.55</v>
      </c>
      <c r="Q35" s="2"/>
      <c r="R35" s="7">
        <f t="shared" si="12"/>
        <v>0</v>
      </c>
      <c r="S35" s="2"/>
      <c r="T35" s="6">
        <v>323.31</v>
      </c>
      <c r="U35" s="2"/>
      <c r="V35" s="7">
        <f t="shared" si="13"/>
        <v>0</v>
      </c>
      <c r="W35" s="2"/>
      <c r="X35" s="6">
        <f t="shared" si="14"/>
        <v>-108.75999999999999</v>
      </c>
      <c r="Y35" s="2"/>
      <c r="Z35" s="7">
        <f t="shared" si="15"/>
        <v>-0.33639540997803963</v>
      </c>
    </row>
    <row r="36" spans="1:26" s="26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6340.43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6340.43</v>
      </c>
      <c r="Y36" s="1"/>
      <c r="Z36" s="5">
        <f t="shared" si="15"/>
        <v>0</v>
      </c>
    </row>
    <row r="37" spans="1:26" s="24" customFormat="1" hidden="1" outlineLevel="2" x14ac:dyDescent="0.25">
      <c r="A37" s="25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6340.43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6340.43</v>
      </c>
      <c r="Y37" s="2"/>
      <c r="Z37" s="7">
        <f t="shared" si="15"/>
        <v>0</v>
      </c>
    </row>
    <row r="38" spans="1:26" s="26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1231.97</v>
      </c>
      <c r="E38" s="1"/>
      <c r="F38" s="5">
        <f t="shared" si="8"/>
        <v>0</v>
      </c>
      <c r="G38" s="1"/>
      <c r="H38" s="1">
        <f>SUM(OSRRefH22_6x_0)</f>
        <v>10.29</v>
      </c>
      <c r="I38" s="1"/>
      <c r="J38" s="5">
        <f t="shared" si="9"/>
        <v>0</v>
      </c>
      <c r="K38" s="1"/>
      <c r="L38" s="1">
        <f t="shared" si="10"/>
        <v>1221.68</v>
      </c>
      <c r="M38" s="1"/>
      <c r="N38" s="5">
        <f t="shared" si="11"/>
        <v>118.72497570456756</v>
      </c>
      <c r="O38" s="13"/>
      <c r="P38" s="1">
        <f>SUM(OSRRefP22_6x_0)</f>
        <v>3665.01</v>
      </c>
      <c r="Q38" s="1"/>
      <c r="R38" s="5">
        <f t="shared" si="12"/>
        <v>0</v>
      </c>
      <c r="S38" s="1"/>
      <c r="T38" s="1">
        <f>SUM(OSRRefT22_6x_0)</f>
        <v>717.03</v>
      </c>
      <c r="U38" s="1"/>
      <c r="V38" s="5">
        <f t="shared" si="13"/>
        <v>0</v>
      </c>
      <c r="W38" s="1"/>
      <c r="X38" s="1">
        <f t="shared" si="14"/>
        <v>2947.9800000000005</v>
      </c>
      <c r="Y38" s="1"/>
      <c r="Z38" s="5">
        <f t="shared" si="15"/>
        <v>4.1113760930505006</v>
      </c>
    </row>
    <row r="39" spans="1:26" s="24" customFormat="1" hidden="1" outlineLevel="2" x14ac:dyDescent="0.25">
      <c r="A39" s="25"/>
      <c r="B39" s="11" t="str">
        <f>CONCATENATE("          ", "6241", " - ", "OFFICE EXPENSE")</f>
        <v xml:space="preserve">          6241 - OFFICE EXPENSE</v>
      </c>
      <c r="C39" s="11"/>
      <c r="D39" s="6">
        <v>1231.97</v>
      </c>
      <c r="E39" s="2"/>
      <c r="F39" s="7">
        <f t="shared" si="8"/>
        <v>0</v>
      </c>
      <c r="G39" s="2"/>
      <c r="H39" s="6">
        <v>10.29</v>
      </c>
      <c r="I39" s="2"/>
      <c r="J39" s="7">
        <f t="shared" si="9"/>
        <v>0</v>
      </c>
      <c r="K39" s="2"/>
      <c r="L39" s="6">
        <f t="shared" si="10"/>
        <v>1221.68</v>
      </c>
      <c r="M39" s="2"/>
      <c r="N39" s="7">
        <f t="shared" si="11"/>
        <v>118.72497570456756</v>
      </c>
      <c r="O39" s="11"/>
      <c r="P39" s="6">
        <v>3665.01</v>
      </c>
      <c r="Q39" s="2"/>
      <c r="R39" s="7">
        <f t="shared" si="12"/>
        <v>0</v>
      </c>
      <c r="S39" s="2"/>
      <c r="T39" s="6">
        <v>410.24</v>
      </c>
      <c r="U39" s="2"/>
      <c r="V39" s="7">
        <f t="shared" si="13"/>
        <v>0</v>
      </c>
      <c r="W39" s="2"/>
      <c r="X39" s="6">
        <f t="shared" si="14"/>
        <v>3254.7700000000004</v>
      </c>
      <c r="Y39" s="2"/>
      <c r="Z39" s="7">
        <f t="shared" si="15"/>
        <v>7.9338192277691117</v>
      </c>
    </row>
    <row r="40" spans="1:26" s="24" customFormat="1" hidden="1" outlineLevel="2" x14ac:dyDescent="0.25">
      <c r="A40" s="25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8"/>
        <v>0</v>
      </c>
      <c r="G40" s="2"/>
      <c r="H40" s="6"/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306.79000000000002</v>
      </c>
      <c r="U40" s="2"/>
      <c r="V40" s="7">
        <f t="shared" si="13"/>
        <v>0</v>
      </c>
      <c r="W40" s="2"/>
      <c r="X40" s="6">
        <f t="shared" si="14"/>
        <v>-306.79000000000002</v>
      </c>
      <c r="Y40" s="2"/>
      <c r="Z40" s="7">
        <f t="shared" si="15"/>
        <v>-1</v>
      </c>
    </row>
    <row r="41" spans="1:26" s="26" customFormat="1" outlineLevel="1" collapsed="1" x14ac:dyDescent="0.25">
      <c r="A41" s="27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-550</v>
      </c>
      <c r="Q41" s="1"/>
      <c r="R41" s="5">
        <f t="shared" ref="R41:R46" si="20">IF(P$12=0,0,P41/P$12)</f>
        <v>0</v>
      </c>
      <c r="S41" s="1"/>
      <c r="T41" s="1">
        <f>SUM(OSRRefT22_7x_0)</f>
        <v>260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-3.1153846153846154</v>
      </c>
    </row>
    <row r="42" spans="1:26" s="24" customFormat="1" hidden="1" outlineLevel="2" x14ac:dyDescent="0.25">
      <c r="A42" s="25"/>
      <c r="B42" s="11" t="str">
        <f>CONCATENATE("          ", "6309", " - ", "TELEPHONE")</f>
        <v xml:space="preserve">          6309 - TELEPHONE</v>
      </c>
      <c r="C42" s="11"/>
      <c r="D42" s="6">
        <v>50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-550</v>
      </c>
      <c r="Q42" s="2"/>
      <c r="R42" s="7">
        <f t="shared" si="20"/>
        <v>0</v>
      </c>
      <c r="S42" s="2"/>
      <c r="T42" s="6">
        <v>260</v>
      </c>
      <c r="U42" s="2"/>
      <c r="V42" s="7">
        <f t="shared" si="21"/>
        <v>0</v>
      </c>
      <c r="W42" s="2"/>
      <c r="X42" s="6">
        <f t="shared" si="22"/>
        <v>-810</v>
      </c>
      <c r="Y42" s="2"/>
      <c r="Z42" s="7">
        <f t="shared" si="23"/>
        <v>-3.1153846153846154</v>
      </c>
    </row>
    <row r="43" spans="1:26" s="26" customFormat="1" outlineLevel="1" collapsed="1" x14ac:dyDescent="0.25">
      <c r="A43" s="27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SUM(OSRRefP22_8x_0)</f>
        <v>2950.22</v>
      </c>
      <c r="Q43" s="1"/>
      <c r="R43" s="5">
        <f t="shared" si="20"/>
        <v>0</v>
      </c>
      <c r="S43" s="1"/>
      <c r="T43" s="1">
        <f>SUM(OSRRefT22_8x_0)</f>
        <v>3035.31</v>
      </c>
      <c r="U43" s="1"/>
      <c r="V43" s="5">
        <f t="shared" si="21"/>
        <v>0</v>
      </c>
      <c r="W43" s="1"/>
      <c r="X43" s="1">
        <f t="shared" si="22"/>
        <v>-85.090000000000146</v>
      </c>
      <c r="Y43" s="1"/>
      <c r="Z43" s="5">
        <f t="shared" si="23"/>
        <v>-2.8033380445489964E-2</v>
      </c>
    </row>
    <row r="44" spans="1:26" s="24" customFormat="1" hidden="1" outlineLevel="2" x14ac:dyDescent="0.25">
      <c r="A44" s="25"/>
      <c r="B44" s="11" t="str">
        <f>CONCATENATE("          ", "6376", " - ", "TRAINING")</f>
        <v xml:space="preserve">          6376 - TRAINING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2950.22</v>
      </c>
      <c r="Q44" s="2"/>
      <c r="R44" s="7">
        <f t="shared" si="20"/>
        <v>0</v>
      </c>
      <c r="S44" s="2"/>
      <c r="T44" s="6">
        <v>3035.31</v>
      </c>
      <c r="U44" s="2"/>
      <c r="V44" s="7">
        <f t="shared" si="21"/>
        <v>0</v>
      </c>
      <c r="W44" s="2"/>
      <c r="X44" s="6">
        <f t="shared" si="22"/>
        <v>-85.090000000000146</v>
      </c>
      <c r="Y44" s="2"/>
      <c r="Z44" s="7">
        <f t="shared" si="23"/>
        <v>-2.8033380445489964E-2</v>
      </c>
    </row>
    <row r="45" spans="1:26" s="26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154.97999999999999</v>
      </c>
      <c r="E45" s="1"/>
      <c r="F45" s="5">
        <f t="shared" si="16"/>
        <v>0</v>
      </c>
      <c r="G45" s="1"/>
      <c r="H45" s="1">
        <f>SUM(OSRRefH22_9x_0)</f>
        <v>141.88</v>
      </c>
      <c r="I45" s="1"/>
      <c r="J45" s="5">
        <f t="shared" si="17"/>
        <v>0</v>
      </c>
      <c r="K45" s="1"/>
      <c r="L45" s="1">
        <f t="shared" si="18"/>
        <v>13.099999999999994</v>
      </c>
      <c r="M45" s="1"/>
      <c r="N45" s="5">
        <f t="shared" si="19"/>
        <v>9.2331547786862103E-2</v>
      </c>
      <c r="O45" s="13"/>
      <c r="P45" s="1">
        <f>SUM(OSRRefP22_9x_0)</f>
        <v>325.75</v>
      </c>
      <c r="Q45" s="1"/>
      <c r="R45" s="5">
        <f t="shared" si="20"/>
        <v>0</v>
      </c>
      <c r="S45" s="1"/>
      <c r="T45" s="1">
        <f>SUM(OSRRefT22_9x_0)</f>
        <v>1175.53</v>
      </c>
      <c r="U45" s="1"/>
      <c r="V45" s="5">
        <f t="shared" si="21"/>
        <v>0</v>
      </c>
      <c r="W45" s="1"/>
      <c r="X45" s="1">
        <f t="shared" si="22"/>
        <v>-849.78</v>
      </c>
      <c r="Y45" s="1"/>
      <c r="Z45" s="5">
        <f t="shared" si="23"/>
        <v>-0.72289095131557679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6">
        <v>154.97999999999999</v>
      </c>
      <c r="E46" s="2"/>
      <c r="F46" s="7">
        <f t="shared" si="16"/>
        <v>0</v>
      </c>
      <c r="G46" s="2"/>
      <c r="H46" s="6">
        <v>141.88</v>
      </c>
      <c r="I46" s="2"/>
      <c r="J46" s="7">
        <f t="shared" si="17"/>
        <v>0</v>
      </c>
      <c r="K46" s="2"/>
      <c r="L46" s="6">
        <f t="shared" si="18"/>
        <v>13.099999999999994</v>
      </c>
      <c r="M46" s="2"/>
      <c r="N46" s="7">
        <f t="shared" si="19"/>
        <v>9.2331547786862103E-2</v>
      </c>
      <c r="O46" s="11"/>
      <c r="P46" s="6">
        <v>325.75</v>
      </c>
      <c r="Q46" s="2"/>
      <c r="R46" s="7">
        <f t="shared" si="20"/>
        <v>0</v>
      </c>
      <c r="S46" s="2"/>
      <c r="T46" s="6">
        <v>1175.53</v>
      </c>
      <c r="U46" s="2"/>
      <c r="V46" s="7">
        <f t="shared" si="21"/>
        <v>0</v>
      </c>
      <c r="W46" s="2"/>
      <c r="X46" s="6">
        <f t="shared" si="22"/>
        <v>-849.78</v>
      </c>
      <c r="Y46" s="2"/>
      <c r="Z46" s="7">
        <f t="shared" si="23"/>
        <v>-0.72289095131557679</v>
      </c>
    </row>
    <row r="47" spans="1:26" s="59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1">
        <f>+D16-D18+D48</f>
        <v>-15835.96</v>
      </c>
      <c r="E50" s="14"/>
      <c r="F50" s="22">
        <f>IF(D$12=0,0,D50/D$12)</f>
        <v>0</v>
      </c>
      <c r="G50" s="14"/>
      <c r="H50" s="21">
        <f>+H16-H18+H48</f>
        <v>-13789.74</v>
      </c>
      <c r="I50" s="14"/>
      <c r="J50" s="22">
        <f>IF(H$12=0,0,H50/H$12)</f>
        <v>0</v>
      </c>
      <c r="K50" s="16"/>
      <c r="L50" s="21">
        <f>+D50-H50</f>
        <v>-2046.2199999999993</v>
      </c>
      <c r="M50" s="16"/>
      <c r="N50" s="22">
        <f>IF(H50=0,0,L50/H50)</f>
        <v>0.14838713420267527</v>
      </c>
      <c r="O50" s="29"/>
      <c r="P50" s="21">
        <f>+P16-P18+P48</f>
        <v>-108367.76</v>
      </c>
      <c r="Q50" s="14"/>
      <c r="R50" s="22">
        <f>IF(P$12=0,0,P50/P$12)</f>
        <v>0</v>
      </c>
      <c r="S50" s="14"/>
      <c r="T50" s="21">
        <f>+T16-T18+T48</f>
        <v>-99565.12999999999</v>
      </c>
      <c r="U50" s="14"/>
      <c r="V50" s="22">
        <f>IF(T$12=0,0,T50/T$12)</f>
        <v>0</v>
      </c>
      <c r="W50" s="16"/>
      <c r="X50" s="21">
        <f>+P50-T50</f>
        <v>-8802.6300000000047</v>
      </c>
      <c r="Y50" s="16"/>
      <c r="Z50" s="22">
        <f>IF(T50=0,0,X50/T50)</f>
        <v>8.8410771923865372E-2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4">
        <f>+D50-D52</f>
        <v>-15835.96</v>
      </c>
      <c r="E54" s="14"/>
      <c r="F54" s="31">
        <f>IF(D$12=0,0,D54/D$12)</f>
        <v>0</v>
      </c>
      <c r="G54" s="14"/>
      <c r="H54" s="34">
        <f>+H50-H52</f>
        <v>-13789.74</v>
      </c>
      <c r="I54" s="14"/>
      <c r="J54" s="31">
        <f>IF(H$12=0,0,H54/H$12)</f>
        <v>0</v>
      </c>
      <c r="K54" s="16"/>
      <c r="L54" s="34">
        <f>D54-H54</f>
        <v>-2046.2199999999993</v>
      </c>
      <c r="M54" s="16"/>
      <c r="N54" s="31">
        <f>IF(H54=0,0,L54/H54)</f>
        <v>0.14838713420267527</v>
      </c>
      <c r="O54" s="29"/>
      <c r="P54" s="34">
        <f>+P50-P52</f>
        <v>-108367.76</v>
      </c>
      <c r="Q54" s="14"/>
      <c r="R54" s="31">
        <f>IF(P$12=0,0,P54/P$12)</f>
        <v>0</v>
      </c>
      <c r="S54" s="14"/>
      <c r="T54" s="34">
        <f>+T50-T52</f>
        <v>-99565.12999999999</v>
      </c>
      <c r="U54" s="14"/>
      <c r="V54" s="31">
        <f>IF(T$12=0,0,T54/T$12)</f>
        <v>0</v>
      </c>
      <c r="W54" s="16"/>
      <c r="X54" s="34">
        <f>P54-T54</f>
        <v>-8802.6300000000047</v>
      </c>
      <c r="Y54" s="16"/>
      <c r="Z54" s="31">
        <f>IF(T54=0,0,X54/T54)</f>
        <v>8.8410771923865372E-2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0">
        <f>SUM(D54:D56)</f>
        <v>-15835.96</v>
      </c>
      <c r="E57" s="14"/>
      <c r="F57" s="33">
        <f>IF(D$12=0,0,D57/D$12)</f>
        <v>0</v>
      </c>
      <c r="G57" s="14"/>
      <c r="H57" s="30">
        <f>SUM(H54:H56)</f>
        <v>-13789.74</v>
      </c>
      <c r="I57" s="14"/>
      <c r="J57" s="33">
        <f>IF(H$12=0,0,H57/H$12)</f>
        <v>0</v>
      </c>
      <c r="K57" s="16"/>
      <c r="L57" s="30">
        <f>+D57-H57</f>
        <v>-2046.2199999999993</v>
      </c>
      <c r="M57" s="16"/>
      <c r="N57" s="33">
        <f>IF(H57=0,0,L57/H57)</f>
        <v>0.14838713420267527</v>
      </c>
      <c r="O57" s="29"/>
      <c r="P57" s="30">
        <f>SUM(P54:P56)</f>
        <v>-108367.76</v>
      </c>
      <c r="Q57" s="14"/>
      <c r="R57" s="33">
        <f>IF(P$12=0,0,P57/P$12)</f>
        <v>0</v>
      </c>
      <c r="S57" s="14"/>
      <c r="T57" s="30">
        <f>SUM(T54:T56)</f>
        <v>-99565.12999999999</v>
      </c>
      <c r="U57" s="14"/>
      <c r="V57" s="33">
        <f>IF(T$12=0,0,T57/T$12)</f>
        <v>0</v>
      </c>
      <c r="W57" s="16"/>
      <c r="X57" s="30">
        <f>+P57-T57</f>
        <v>-8802.6300000000047</v>
      </c>
      <c r="Y57" s="16"/>
      <c r="Z57" s="33">
        <f>IF(T57=0,0,X57/T57)</f>
        <v>8.8410771923865372E-2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61">
        <v>43879.554338344904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5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8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","433", " - ", "Hillside Dining Hall")</f>
        <v>Department 433 - Hillside Dining Hall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274002.90999999997</v>
      </c>
      <c r="E12" s="4"/>
      <c r="F12" s="12"/>
      <c r="G12" s="4"/>
      <c r="H12" s="4">
        <f>SUM(OSRRefH13x_0)</f>
        <v>256259.37</v>
      </c>
      <c r="I12" s="4"/>
      <c r="J12" s="12"/>
      <c r="K12" s="4"/>
      <c r="L12" s="4">
        <f t="shared" ref="L12:L16" si="0">+D12-H12</f>
        <v>17743.539999999979</v>
      </c>
      <c r="M12" s="4"/>
      <c r="N12" s="12">
        <f t="shared" ref="N12:N16" si="1">IF(H12=0,0,L12/H12)</f>
        <v>6.92405510869709E-2</v>
      </c>
      <c r="O12" s="10"/>
      <c r="P12" s="4">
        <f>SUM(OSRRefP13x_0)</f>
        <v>2763584.5900000003</v>
      </c>
      <c r="Q12" s="4"/>
      <c r="R12" s="12"/>
      <c r="S12" s="4"/>
      <c r="T12" s="4">
        <f>SUM(OSRRefT13x_0)</f>
        <v>2647758.31</v>
      </c>
      <c r="U12" s="4"/>
      <c r="V12" s="12"/>
      <c r="W12" s="4"/>
      <c r="X12" s="4">
        <f t="shared" ref="X12:X16" si="2">+P12-T12</f>
        <v>115826.28000000026</v>
      </c>
      <c r="Y12" s="4"/>
      <c r="Z12" s="12">
        <f t="shared" ref="Z12:Z16" si="3">IF(T12=0,0,X12/T12)</f>
        <v>4.3745035021720037E-2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--343.12</f>
        <v>343.12</v>
      </c>
      <c r="E13" s="2"/>
      <c r="F13" s="19"/>
      <c r="G13" s="2"/>
      <c r="H13" s="2">
        <f>--204.88</f>
        <v>204.88</v>
      </c>
      <c r="I13" s="2"/>
      <c r="J13" s="19"/>
      <c r="K13" s="2"/>
      <c r="L13" s="2">
        <f t="shared" si="0"/>
        <v>138.24</v>
      </c>
      <c r="M13" s="2"/>
      <c r="N13" s="19">
        <f t="shared" si="1"/>
        <v>0.67473643108160886</v>
      </c>
      <c r="O13" s="11"/>
      <c r="P13" s="2">
        <f>--18319</f>
        <v>18319</v>
      </c>
      <c r="Q13" s="2"/>
      <c r="R13" s="19"/>
      <c r="S13" s="2"/>
      <c r="T13" s="2">
        <f>--7572.18</f>
        <v>7572.18</v>
      </c>
      <c r="U13" s="2"/>
      <c r="V13" s="19"/>
      <c r="W13" s="2"/>
      <c r="X13" s="2">
        <f t="shared" si="2"/>
        <v>10746.82</v>
      </c>
      <c r="Y13" s="2"/>
      <c r="Z13" s="19">
        <f t="shared" si="3"/>
        <v>1.4192504668404606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--231487.09</f>
        <v>231487.09</v>
      </c>
      <c r="E14" s="2"/>
      <c r="F14" s="19"/>
      <c r="G14" s="2"/>
      <c r="H14" s="2">
        <f>--211968.53</f>
        <v>211968.53</v>
      </c>
      <c r="I14" s="2"/>
      <c r="J14" s="19"/>
      <c r="K14" s="2"/>
      <c r="L14" s="2">
        <f t="shared" si="0"/>
        <v>19518.559999999998</v>
      </c>
      <c r="M14" s="2"/>
      <c r="N14" s="19">
        <f t="shared" si="1"/>
        <v>9.2082348261791486E-2</v>
      </c>
      <c r="O14" s="11"/>
      <c r="P14" s="2">
        <f>--2524963.91</f>
        <v>2524963.91</v>
      </c>
      <c r="Q14" s="2"/>
      <c r="R14" s="19"/>
      <c r="S14" s="2"/>
      <c r="T14" s="2">
        <f>--2453869.04</f>
        <v>2453869.04</v>
      </c>
      <c r="U14" s="2"/>
      <c r="V14" s="19"/>
      <c r="W14" s="2"/>
      <c r="X14" s="2">
        <f t="shared" si="2"/>
        <v>71094.870000000112</v>
      </c>
      <c r="Y14" s="2"/>
      <c r="Z14" s="19">
        <f t="shared" si="3"/>
        <v>2.8972560817671064E-2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--42172.7</f>
        <v>42172.7</v>
      </c>
      <c r="E15" s="2"/>
      <c r="F15" s="19"/>
      <c r="G15" s="2"/>
      <c r="H15" s="2">
        <f>--44085.96</f>
        <v>44085.96</v>
      </c>
      <c r="I15" s="2"/>
      <c r="J15" s="19"/>
      <c r="K15" s="2"/>
      <c r="L15" s="2">
        <f t="shared" si="0"/>
        <v>-1913.260000000002</v>
      </c>
      <c r="M15" s="2"/>
      <c r="N15" s="19">
        <f t="shared" si="1"/>
        <v>-4.3398397131422385E-2</v>
      </c>
      <c r="O15" s="11"/>
      <c r="P15" s="2">
        <f>--220301.68</f>
        <v>220301.68</v>
      </c>
      <c r="Q15" s="2"/>
      <c r="R15" s="19"/>
      <c r="S15" s="2"/>
      <c r="T15" s="2">
        <f>--185262.19</f>
        <v>185262.19</v>
      </c>
      <c r="U15" s="2"/>
      <c r="V15" s="19"/>
      <c r="W15" s="2"/>
      <c r="X15" s="2">
        <f t="shared" si="2"/>
        <v>35039.489999999991</v>
      </c>
      <c r="Y15" s="2"/>
      <c r="Z15" s="19">
        <f t="shared" si="3"/>
        <v>0.18913459891627099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60346.78</v>
      </c>
      <c r="E18" s="4"/>
      <c r="F18" s="12">
        <f t="shared" ref="F18:F20" si="4">IF(D$12=0,0,D18/D$12)</f>
        <v>0.22024138356778766</v>
      </c>
      <c r="G18" s="4"/>
      <c r="H18" s="4">
        <f>SUM(OSRRefH16x_0)</f>
        <v>56298.94</v>
      </c>
      <c r="I18" s="4"/>
      <c r="J18" s="12">
        <f t="shared" ref="J18:J20" si="5">IF(H$12=0,0,H18/H$12)</f>
        <v>0.21969514714720481</v>
      </c>
      <c r="K18" s="4"/>
      <c r="L18" s="4">
        <f t="shared" ref="L18:L20" si="6">+D18-H18</f>
        <v>4047.8399999999965</v>
      </c>
      <c r="M18" s="4"/>
      <c r="N18" s="12">
        <f t="shared" ref="N18:N20" si="7">IF(H18=0,0,L18/H18)</f>
        <v>7.1899044635653817E-2</v>
      </c>
      <c r="O18" s="10"/>
      <c r="P18" s="4">
        <f>SUM(OSRRefP16x_0)</f>
        <v>654363.69999999995</v>
      </c>
      <c r="Q18" s="4"/>
      <c r="R18" s="12">
        <f t="shared" ref="R18:R20" si="8">IF(P$12=0,0,P18/P$12)</f>
        <v>0.23678077463878169</v>
      </c>
      <c r="S18" s="4"/>
      <c r="T18" s="4">
        <f>SUM(OSRRefT16x_0)</f>
        <v>631090.09</v>
      </c>
      <c r="U18" s="4"/>
      <c r="V18" s="12">
        <f t="shared" ref="V18:V20" si="9">IF(T$12=0,0,T18/T$12)</f>
        <v>0.23834882799404752</v>
      </c>
      <c r="W18" s="4"/>
      <c r="X18" s="4">
        <f t="shared" ref="X18:X20" si="10">+P18-T18</f>
        <v>23273.609999999986</v>
      </c>
      <c r="Y18" s="4"/>
      <c r="Z18" s="12">
        <f t="shared" ref="Z18:Z20" si="11">IF(T18=0,0,X18/T18)</f>
        <v>3.6878427293954158E-2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86468.78</v>
      </c>
      <c r="E19" s="2"/>
      <c r="F19" s="19">
        <f t="shared" si="4"/>
        <v>0.31557613749430619</v>
      </c>
      <c r="G19" s="2"/>
      <c r="H19" s="2">
        <v>75489.94</v>
      </c>
      <c r="I19" s="2"/>
      <c r="J19" s="19">
        <f t="shared" si="5"/>
        <v>0.29458411608519919</v>
      </c>
      <c r="K19" s="2"/>
      <c r="L19" s="2">
        <f t="shared" si="6"/>
        <v>10978.839999999997</v>
      </c>
      <c r="M19" s="2"/>
      <c r="N19" s="19">
        <f t="shared" si="7"/>
        <v>0.14543447775955307</v>
      </c>
      <c r="O19" s="11"/>
      <c r="P19" s="2">
        <v>678378.7</v>
      </c>
      <c r="Q19" s="2"/>
      <c r="R19" s="19">
        <f t="shared" si="8"/>
        <v>0.24547057559037838</v>
      </c>
      <c r="S19" s="2"/>
      <c r="T19" s="2">
        <v>642699.34</v>
      </c>
      <c r="U19" s="2"/>
      <c r="V19" s="19">
        <f t="shared" si="9"/>
        <v>0.24273338603930203</v>
      </c>
      <c r="W19" s="2"/>
      <c r="X19" s="2">
        <f t="shared" si="10"/>
        <v>35679.359999999986</v>
      </c>
      <c r="Y19" s="2"/>
      <c r="Z19" s="19">
        <f t="shared" si="11"/>
        <v>5.5514853959551268E-2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-26122</v>
      </c>
      <c r="E20" s="2"/>
      <c r="F20" s="19">
        <f t="shared" si="4"/>
        <v>-9.5334753926518523E-2</v>
      </c>
      <c r="G20" s="2"/>
      <c r="H20" s="2">
        <v>-19191</v>
      </c>
      <c r="I20" s="2"/>
      <c r="J20" s="19">
        <f t="shared" si="5"/>
        <v>-7.4888968937994349E-2</v>
      </c>
      <c r="K20" s="2"/>
      <c r="L20" s="2">
        <f t="shared" si="6"/>
        <v>-6931</v>
      </c>
      <c r="M20" s="2"/>
      <c r="N20" s="19">
        <f t="shared" si="7"/>
        <v>0.3611588765567193</v>
      </c>
      <c r="O20" s="11"/>
      <c r="P20" s="2">
        <v>-24015</v>
      </c>
      <c r="Q20" s="2"/>
      <c r="R20" s="19">
        <f t="shared" si="8"/>
        <v>-8.6898009515967069E-3</v>
      </c>
      <c r="S20" s="2"/>
      <c r="T20" s="2">
        <v>-11609.25</v>
      </c>
      <c r="U20" s="2"/>
      <c r="V20" s="19">
        <f t="shared" si="9"/>
        <v>-4.3845580452545156E-3</v>
      </c>
      <c r="W20" s="2"/>
      <c r="X20" s="2">
        <f t="shared" si="10"/>
        <v>-12405.75</v>
      </c>
      <c r="Y20" s="2"/>
      <c r="Z20" s="19">
        <f t="shared" si="11"/>
        <v>1.0686090832741133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1">
        <f>D12-D18</f>
        <v>213656.12999999998</v>
      </c>
      <c r="E22" s="14"/>
      <c r="F22" s="22">
        <f>IF(D$12=0,0,D22/D$12)</f>
        <v>0.77975861643221234</v>
      </c>
      <c r="G22" s="14"/>
      <c r="H22" s="21">
        <f>H12-H18</f>
        <v>199960.43</v>
      </c>
      <c r="I22" s="14"/>
      <c r="J22" s="22">
        <f>IF(H$12=0,0,H22/H$12)</f>
        <v>0.78030485285279516</v>
      </c>
      <c r="K22" s="16"/>
      <c r="L22" s="21">
        <f>+D22-H22</f>
        <v>13695.699999999983</v>
      </c>
      <c r="M22" s="16"/>
      <c r="N22" s="22">
        <f>IF(H22=0,0,L22/H22)</f>
        <v>6.8492051152320405E-2</v>
      </c>
      <c r="O22" s="29"/>
      <c r="P22" s="21">
        <f>P12-P18</f>
        <v>2109220.8900000006</v>
      </c>
      <c r="Q22" s="14"/>
      <c r="R22" s="22">
        <f>IF(P$12=0,0,P22/P$12)</f>
        <v>0.76321922536121845</v>
      </c>
      <c r="S22" s="14"/>
      <c r="T22" s="21">
        <f>T12-T18</f>
        <v>2016668.2200000002</v>
      </c>
      <c r="U22" s="14"/>
      <c r="V22" s="22">
        <f>IF(T$12=0,0,T22/T$12)</f>
        <v>0.76165117200595256</v>
      </c>
      <c r="W22" s="16"/>
      <c r="X22" s="21">
        <f>+P22-T22</f>
        <v>92552.670000000391</v>
      </c>
      <c r="Y22" s="16"/>
      <c r="Z22" s="22">
        <f>IF(T22=0,0,X22/T22)</f>
        <v>4.5893850600769809E-2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0">
        <f>SUM(OSRRefD22x_0)</f>
        <v>139341.06999999998</v>
      </c>
      <c r="E24" s="20"/>
      <c r="F24" s="32">
        <f t="shared" ref="F24:F34" si="12">IF(D$12=0,0,D24/D$12)</f>
        <v>0.50853865019170774</v>
      </c>
      <c r="G24" s="20"/>
      <c r="H24" s="20">
        <f>SUM(OSRRefH22x_0)</f>
        <v>124655.12000000002</v>
      </c>
      <c r="I24" s="20"/>
      <c r="J24" s="32">
        <f t="shared" ref="J24:J34" si="13">IF(H$12=0,0,H24/H$12)</f>
        <v>0.48644121773966753</v>
      </c>
      <c r="K24" s="4"/>
      <c r="L24" s="20">
        <f t="shared" ref="L24:L34" si="14">+D24-H24</f>
        <v>14685.949999999953</v>
      </c>
      <c r="M24" s="4"/>
      <c r="N24" s="32">
        <f t="shared" ref="N24:N34" si="15">IF(H24=0,0,L24/H24)</f>
        <v>0.11781264981334061</v>
      </c>
      <c r="O24" s="10"/>
      <c r="P24" s="20">
        <f>SUM(OSRRefP22x_0)</f>
        <v>1157186.0500000005</v>
      </c>
      <c r="Q24" s="20"/>
      <c r="R24" s="32">
        <f t="shared" ref="R24:R34" si="16">IF(P$12=0,0,P24/P$12)</f>
        <v>0.41872648088546494</v>
      </c>
      <c r="S24" s="20"/>
      <c r="T24" s="20">
        <f>SUM(OSRRefT22x_0)</f>
        <v>1060746.79</v>
      </c>
      <c r="U24" s="20"/>
      <c r="V24" s="32">
        <f t="shared" ref="V24:V34" si="17">IF(T$12=0,0,T24/T$12)</f>
        <v>0.40062070091284124</v>
      </c>
      <c r="W24" s="4"/>
      <c r="X24" s="20">
        <f t="shared" ref="X24:X34" si="18">+P24-T24</f>
        <v>96439.260000000475</v>
      </c>
      <c r="Y24" s="4"/>
      <c r="Z24" s="32">
        <f t="shared" ref="Z24:Z34" si="19">IF(T24=0,0,X24/T24)</f>
        <v>9.0916381655984521E-2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26396.65</v>
      </c>
      <c r="E25" s="1"/>
      <c r="F25" s="5">
        <f t="shared" si="12"/>
        <v>9.6337115543772889E-2</v>
      </c>
      <c r="G25" s="1"/>
      <c r="H25" s="1">
        <f>SUM(OSRRefH22_0x_0)</f>
        <v>28235.370000000003</v>
      </c>
      <c r="I25" s="1"/>
      <c r="J25" s="5">
        <f t="shared" si="13"/>
        <v>0.11018278082865811</v>
      </c>
      <c r="K25" s="1"/>
      <c r="L25" s="1">
        <f t="shared" si="14"/>
        <v>-1838.7200000000012</v>
      </c>
      <c r="M25" s="1"/>
      <c r="N25" s="5">
        <f t="shared" si="15"/>
        <v>-6.5121158320220376E-2</v>
      </c>
      <c r="O25" s="13"/>
      <c r="P25" s="1">
        <f>SUM(OSRRefP22_0x_0)</f>
        <v>195232.90000000002</v>
      </c>
      <c r="Q25" s="1"/>
      <c r="R25" s="5">
        <f t="shared" si="16"/>
        <v>7.0644807004080157E-2</v>
      </c>
      <c r="S25" s="1"/>
      <c r="T25" s="1">
        <f>SUM(OSRRefT22_0x_0)</f>
        <v>199429.42</v>
      </c>
      <c r="U25" s="1"/>
      <c r="V25" s="5">
        <f t="shared" si="17"/>
        <v>7.5320099741278887E-2</v>
      </c>
      <c r="W25" s="1"/>
      <c r="X25" s="1">
        <f t="shared" si="18"/>
        <v>-4196.5199999999895</v>
      </c>
      <c r="Y25" s="1"/>
      <c r="Z25" s="5">
        <f t="shared" si="19"/>
        <v>-2.1042632526334325E-2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2801.07</v>
      </c>
      <c r="E26" s="2"/>
      <c r="F26" s="7">
        <f t="shared" si="12"/>
        <v>1.0222774641335015E-2</v>
      </c>
      <c r="G26" s="2"/>
      <c r="H26" s="6">
        <v>2746.4</v>
      </c>
      <c r="I26" s="2"/>
      <c r="J26" s="7">
        <f t="shared" si="13"/>
        <v>1.0717266650581403E-2</v>
      </c>
      <c r="K26" s="2"/>
      <c r="L26" s="6">
        <f t="shared" si="14"/>
        <v>54.670000000000073</v>
      </c>
      <c r="M26" s="2"/>
      <c r="N26" s="7">
        <f t="shared" si="15"/>
        <v>1.9906058840664168E-2</v>
      </c>
      <c r="O26" s="11"/>
      <c r="P26" s="6">
        <v>30514.57</v>
      </c>
      <c r="Q26" s="2"/>
      <c r="R26" s="7">
        <f t="shared" si="16"/>
        <v>1.1041663103209009E-2</v>
      </c>
      <c r="S26" s="2"/>
      <c r="T26" s="6">
        <v>26418.969999999998</v>
      </c>
      <c r="U26" s="2"/>
      <c r="V26" s="7">
        <f t="shared" si="17"/>
        <v>9.9778631230129141E-3</v>
      </c>
      <c r="W26" s="2"/>
      <c r="X26" s="6">
        <f t="shared" si="18"/>
        <v>4095.6000000000022</v>
      </c>
      <c r="Y26" s="2"/>
      <c r="Z26" s="7">
        <f t="shared" si="19"/>
        <v>0.15502496880082769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1951.17</v>
      </c>
      <c r="E27" s="2"/>
      <c r="F27" s="7">
        <f t="shared" si="12"/>
        <v>7.120982766204929E-3</v>
      </c>
      <c r="G27" s="2"/>
      <c r="H27" s="6">
        <v>1566.86</v>
      </c>
      <c r="I27" s="2"/>
      <c r="J27" s="7">
        <f t="shared" si="13"/>
        <v>6.1143520332544322E-3</v>
      </c>
      <c r="K27" s="2"/>
      <c r="L27" s="6">
        <f t="shared" si="14"/>
        <v>384.31000000000017</v>
      </c>
      <c r="M27" s="2"/>
      <c r="N27" s="7">
        <f t="shared" si="15"/>
        <v>0.24527398746537674</v>
      </c>
      <c r="O27" s="11"/>
      <c r="P27" s="6">
        <v>18006.43</v>
      </c>
      <c r="Q27" s="2"/>
      <c r="R27" s="7">
        <f t="shared" si="16"/>
        <v>6.5156066020761816E-3</v>
      </c>
      <c r="S27" s="2"/>
      <c r="T27" s="6">
        <v>18400.030000000002</v>
      </c>
      <c r="U27" s="2"/>
      <c r="V27" s="7">
        <f t="shared" si="17"/>
        <v>6.949286092505929E-3</v>
      </c>
      <c r="W27" s="2"/>
      <c r="X27" s="6">
        <f t="shared" si="18"/>
        <v>-393.60000000000218</v>
      </c>
      <c r="Y27" s="2"/>
      <c r="Z27" s="7">
        <f t="shared" si="19"/>
        <v>-2.1391269470756414E-2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13844.04</v>
      </c>
      <c r="E28" s="2"/>
      <c r="F28" s="7">
        <f t="shared" si="12"/>
        <v>5.0525156831363584E-2</v>
      </c>
      <c r="G28" s="2"/>
      <c r="H28" s="6">
        <v>14616.94</v>
      </c>
      <c r="I28" s="2"/>
      <c r="J28" s="7">
        <f t="shared" si="13"/>
        <v>5.7039631370357308E-2</v>
      </c>
      <c r="K28" s="2"/>
      <c r="L28" s="6">
        <f t="shared" si="14"/>
        <v>-772.89999999999964</v>
      </c>
      <c r="M28" s="2"/>
      <c r="N28" s="7">
        <f t="shared" si="15"/>
        <v>-5.2877004352484144E-2</v>
      </c>
      <c r="O28" s="11"/>
      <c r="P28" s="6">
        <v>90160.21</v>
      </c>
      <c r="Q28" s="2"/>
      <c r="R28" s="7">
        <f t="shared" si="16"/>
        <v>3.2624371378478415E-2</v>
      </c>
      <c r="S28" s="2"/>
      <c r="T28" s="6">
        <v>99301.25</v>
      </c>
      <c r="U28" s="2"/>
      <c r="V28" s="7">
        <f t="shared" si="17"/>
        <v>3.7503895134597842E-2</v>
      </c>
      <c r="W28" s="2"/>
      <c r="X28" s="6">
        <f t="shared" si="18"/>
        <v>-9141.0399999999936</v>
      </c>
      <c r="Y28" s="2"/>
      <c r="Z28" s="7">
        <f t="shared" si="19"/>
        <v>-9.2053624702609416E-2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130.76</v>
      </c>
      <c r="E29" s="2"/>
      <c r="F29" s="7">
        <f t="shared" si="12"/>
        <v>4.7722120907402042E-4</v>
      </c>
      <c r="G29" s="2"/>
      <c r="H29" s="6">
        <v>116.4</v>
      </c>
      <c r="I29" s="2"/>
      <c r="J29" s="7">
        <f t="shared" si="13"/>
        <v>4.5422729323029245E-4</v>
      </c>
      <c r="K29" s="2"/>
      <c r="L29" s="6">
        <f t="shared" si="14"/>
        <v>14.359999999999985</v>
      </c>
      <c r="M29" s="2"/>
      <c r="N29" s="7">
        <f t="shared" si="15"/>
        <v>0.12336769759450159</v>
      </c>
      <c r="O29" s="11"/>
      <c r="P29" s="6">
        <v>1517.84</v>
      </c>
      <c r="Q29" s="2"/>
      <c r="R29" s="7">
        <f t="shared" si="16"/>
        <v>5.4922871023824888E-4</v>
      </c>
      <c r="S29" s="2"/>
      <c r="T29" s="6">
        <v>1366.79</v>
      </c>
      <c r="U29" s="2"/>
      <c r="V29" s="7">
        <f t="shared" si="17"/>
        <v>5.1620648109683388E-4</v>
      </c>
      <c r="W29" s="2"/>
      <c r="X29" s="6">
        <f t="shared" si="18"/>
        <v>151.04999999999995</v>
      </c>
      <c r="Y29" s="2"/>
      <c r="Z29" s="7">
        <f t="shared" si="19"/>
        <v>0.1105144169916373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1830.31</v>
      </c>
      <c r="E30" s="2"/>
      <c r="F30" s="7">
        <f t="shared" si="12"/>
        <v>6.6798925602651448E-3</v>
      </c>
      <c r="G30" s="2"/>
      <c r="H30" s="6">
        <v>1659.7</v>
      </c>
      <c r="I30" s="2"/>
      <c r="J30" s="7">
        <f t="shared" si="13"/>
        <v>6.476641224865261E-3</v>
      </c>
      <c r="K30" s="2"/>
      <c r="L30" s="6">
        <f t="shared" si="14"/>
        <v>170.6099999999999</v>
      </c>
      <c r="M30" s="2"/>
      <c r="N30" s="7">
        <f t="shared" si="15"/>
        <v>0.10279568596734344</v>
      </c>
      <c r="O30" s="11"/>
      <c r="P30" s="6">
        <v>9547.65</v>
      </c>
      <c r="Q30" s="2"/>
      <c r="R30" s="7">
        <f t="shared" si="16"/>
        <v>3.4548064982516053E-3</v>
      </c>
      <c r="S30" s="2"/>
      <c r="T30" s="6">
        <v>9343.33</v>
      </c>
      <c r="U30" s="2"/>
      <c r="V30" s="7">
        <f t="shared" si="17"/>
        <v>3.5287699654127417E-3</v>
      </c>
      <c r="W30" s="2"/>
      <c r="X30" s="6">
        <f t="shared" si="18"/>
        <v>204.31999999999971</v>
      </c>
      <c r="Y30" s="2"/>
      <c r="Z30" s="7">
        <f t="shared" si="19"/>
        <v>2.1868006374600887E-2</v>
      </c>
    </row>
    <row r="31" spans="1:26" s="24" customFormat="1" hidden="1" outlineLevel="2" x14ac:dyDescent="0.25">
      <c r="A31" s="25"/>
      <c r="B31" s="11" t="str">
        <f>CONCATENATE("          ", "6117", " - ", "RETIREMENT STAFF HOURLY")</f>
        <v xml:space="preserve">          6117 - RETIREMENT STAFF HOURLY</v>
      </c>
      <c r="C31" s="11"/>
      <c r="D31" s="6">
        <v>576.33000000000004</v>
      </c>
      <c r="E31" s="2"/>
      <c r="F31" s="7">
        <f t="shared" si="12"/>
        <v>2.103371821854009E-3</v>
      </c>
      <c r="G31" s="2"/>
      <c r="H31" s="6">
        <v>297.24</v>
      </c>
      <c r="I31" s="2"/>
      <c r="J31" s="7">
        <f t="shared" si="13"/>
        <v>1.1599185621973551E-3</v>
      </c>
      <c r="K31" s="2"/>
      <c r="L31" s="6">
        <f t="shared" si="14"/>
        <v>279.09000000000003</v>
      </c>
      <c r="M31" s="2"/>
      <c r="N31" s="7">
        <f t="shared" si="15"/>
        <v>0.93893823173193391</v>
      </c>
      <c r="O31" s="11"/>
      <c r="P31" s="6">
        <v>3511.5</v>
      </c>
      <c r="Q31" s="2"/>
      <c r="R31" s="7">
        <f t="shared" si="16"/>
        <v>1.2706323565076761E-3</v>
      </c>
      <c r="S31" s="2"/>
      <c r="T31" s="6">
        <v>2578.42</v>
      </c>
      <c r="U31" s="2"/>
      <c r="V31" s="7">
        <f t="shared" si="17"/>
        <v>9.7381244740574527E-4</v>
      </c>
      <c r="W31" s="2"/>
      <c r="X31" s="6">
        <f t="shared" si="18"/>
        <v>933.07999999999993</v>
      </c>
      <c r="Y31" s="2"/>
      <c r="Z31" s="7">
        <f t="shared" si="19"/>
        <v>0.3618805314882757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2186.3000000000002</v>
      </c>
      <c r="E32" s="2"/>
      <c r="F32" s="7">
        <f t="shared" si="12"/>
        <v>7.9791123386244341E-3</v>
      </c>
      <c r="G32" s="2"/>
      <c r="H32" s="6">
        <v>2881.86</v>
      </c>
      <c r="I32" s="2"/>
      <c r="J32" s="7">
        <f t="shared" si="13"/>
        <v>1.1245871711929988E-2</v>
      </c>
      <c r="K32" s="2"/>
      <c r="L32" s="6">
        <f t="shared" si="14"/>
        <v>-695.56</v>
      </c>
      <c r="M32" s="2"/>
      <c r="N32" s="7">
        <f t="shared" si="15"/>
        <v>-0.24135801183957581</v>
      </c>
      <c r="O32" s="11"/>
      <c r="P32" s="6">
        <v>18002.670000000002</v>
      </c>
      <c r="Q32" s="2"/>
      <c r="R32" s="7">
        <f t="shared" si="16"/>
        <v>6.5142460502719763E-3</v>
      </c>
      <c r="S32" s="2"/>
      <c r="T32" s="6">
        <v>18781.68</v>
      </c>
      <c r="U32" s="2"/>
      <c r="V32" s="7">
        <f t="shared" si="17"/>
        <v>7.0934268921244549E-3</v>
      </c>
      <c r="W32" s="2"/>
      <c r="X32" s="6">
        <f t="shared" si="18"/>
        <v>-779.0099999999984</v>
      </c>
      <c r="Y32" s="2"/>
      <c r="Z32" s="7">
        <f t="shared" si="19"/>
        <v>-4.1477120257612653E-2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1528.04</v>
      </c>
      <c r="E33" s="2"/>
      <c r="F33" s="7">
        <f t="shared" si="12"/>
        <v>5.5767290938625435E-3</v>
      </c>
      <c r="G33" s="2"/>
      <c r="H33" s="6">
        <v>3091.51</v>
      </c>
      <c r="I33" s="2"/>
      <c r="J33" s="7">
        <f t="shared" si="13"/>
        <v>1.2063988138267881E-2</v>
      </c>
      <c r="K33" s="2"/>
      <c r="L33" s="6">
        <f t="shared" si="14"/>
        <v>-1563.4700000000003</v>
      </c>
      <c r="M33" s="2"/>
      <c r="N33" s="7">
        <f t="shared" si="15"/>
        <v>-0.50573020950926895</v>
      </c>
      <c r="O33" s="11"/>
      <c r="P33" s="6">
        <v>16125.92</v>
      </c>
      <c r="Q33" s="2"/>
      <c r="R33" s="7">
        <f t="shared" si="16"/>
        <v>5.8351461570423646E-3</v>
      </c>
      <c r="S33" s="2"/>
      <c r="T33" s="6">
        <v>16288.969999999998</v>
      </c>
      <c r="U33" s="2"/>
      <c r="V33" s="7">
        <f t="shared" si="17"/>
        <v>6.1519852240592143E-3</v>
      </c>
      <c r="W33" s="2"/>
      <c r="X33" s="6">
        <f t="shared" si="18"/>
        <v>-163.04999999999745</v>
      </c>
      <c r="Y33" s="2"/>
      <c r="Z33" s="7">
        <f t="shared" si="19"/>
        <v>-1.0009841015116209E-2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1548.63</v>
      </c>
      <c r="E34" s="2"/>
      <c r="F34" s="7">
        <f t="shared" si="12"/>
        <v>5.6518742811892042E-3</v>
      </c>
      <c r="G34" s="2"/>
      <c r="H34" s="6">
        <v>1258.46</v>
      </c>
      <c r="I34" s="2"/>
      <c r="J34" s="7">
        <f t="shared" si="13"/>
        <v>4.910883843974174E-3</v>
      </c>
      <c r="K34" s="2"/>
      <c r="L34" s="6">
        <f t="shared" si="14"/>
        <v>290.17000000000007</v>
      </c>
      <c r="M34" s="2"/>
      <c r="N34" s="7">
        <f t="shared" si="15"/>
        <v>0.23057546525118006</v>
      </c>
      <c r="O34" s="11"/>
      <c r="P34" s="6">
        <v>7846.11</v>
      </c>
      <c r="Q34" s="2"/>
      <c r="R34" s="7">
        <f t="shared" si="16"/>
        <v>2.839106148004682E-3</v>
      </c>
      <c r="S34" s="2"/>
      <c r="T34" s="6">
        <v>6949.98</v>
      </c>
      <c r="U34" s="2"/>
      <c r="V34" s="7">
        <f t="shared" si="17"/>
        <v>2.6248543810632021E-3</v>
      </c>
      <c r="W34" s="2"/>
      <c r="X34" s="6">
        <f t="shared" si="18"/>
        <v>896.13000000000011</v>
      </c>
      <c r="Y34" s="2"/>
      <c r="Z34" s="7">
        <f t="shared" si="19"/>
        <v>0.12893993939550907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71024.359999999986</v>
      </c>
      <c r="E35" s="1"/>
      <c r="F35" s="5">
        <f t="shared" ref="F35:F41" si="20">IF(D$12=0,0,D35/D$12)</f>
        <v>0.25921023977446078</v>
      </c>
      <c r="G35" s="1"/>
      <c r="H35" s="1">
        <f>SUM(OSRRefH22_1x_0)</f>
        <v>60184.36</v>
      </c>
      <c r="I35" s="1"/>
      <c r="J35" s="5">
        <f t="shared" ref="J35:J41" si="21">IF(H$12=0,0,H35/H$12)</f>
        <v>0.23485720736767596</v>
      </c>
      <c r="K35" s="1"/>
      <c r="L35" s="1">
        <f t="shared" ref="L35:L41" si="22">+D35-H35</f>
        <v>10839.999999999985</v>
      </c>
      <c r="M35" s="1"/>
      <c r="N35" s="5">
        <f t="shared" ref="N35:N41" si="23">IF(H35=0,0,L35/H35)</f>
        <v>0.1801132387218205</v>
      </c>
      <c r="O35" s="13"/>
      <c r="P35" s="1">
        <f>SUM(OSRRefP22_1x_0)</f>
        <v>585375.27</v>
      </c>
      <c r="Q35" s="1"/>
      <c r="R35" s="5">
        <f t="shared" ref="R35:R41" si="24">IF(P$12=0,0,P35/P$12)</f>
        <v>0.21181738822765689</v>
      </c>
      <c r="S35" s="1"/>
      <c r="T35" s="1">
        <f>SUM(OSRRefT22_1x_0)</f>
        <v>496423.08999999997</v>
      </c>
      <c r="U35" s="1"/>
      <c r="V35" s="5">
        <f t="shared" ref="V35:V41" si="25">IF(T$12=0,0,T35/T$12)</f>
        <v>0.18748806797248802</v>
      </c>
      <c r="W35" s="1"/>
      <c r="X35" s="1">
        <f t="shared" ref="X35:X41" si="26">+P35-T35</f>
        <v>88952.180000000051</v>
      </c>
      <c r="Y35" s="1"/>
      <c r="Z35" s="5">
        <f t="shared" ref="Z35:Z41" si="27">IF(T35=0,0,X35/T35)</f>
        <v>0.17918622600733591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>
        <v>15794.86</v>
      </c>
      <c r="E36" s="2"/>
      <c r="F36" s="7">
        <f t="shared" si="20"/>
        <v>5.7644862238871851E-2</v>
      </c>
      <c r="G36" s="2"/>
      <c r="H36" s="6">
        <v>14083.07</v>
      </c>
      <c r="I36" s="2"/>
      <c r="J36" s="7">
        <f t="shared" si="21"/>
        <v>5.4956312426741705E-2</v>
      </c>
      <c r="K36" s="2"/>
      <c r="L36" s="6">
        <f t="shared" si="22"/>
        <v>1711.7900000000009</v>
      </c>
      <c r="M36" s="2"/>
      <c r="N36" s="7">
        <f t="shared" si="23"/>
        <v>0.12154949169463766</v>
      </c>
      <c r="O36" s="11"/>
      <c r="P36" s="6">
        <v>103796.76000000001</v>
      </c>
      <c r="Q36" s="2"/>
      <c r="R36" s="7">
        <f t="shared" si="24"/>
        <v>3.7558741778915473E-2</v>
      </c>
      <c r="S36" s="2"/>
      <c r="T36" s="6">
        <v>99458.94</v>
      </c>
      <c r="U36" s="2"/>
      <c r="V36" s="7">
        <f t="shared" si="25"/>
        <v>3.7563451174665557E-2</v>
      </c>
      <c r="W36" s="2"/>
      <c r="X36" s="6">
        <f t="shared" si="26"/>
        <v>4337.820000000007</v>
      </c>
      <c r="Y36" s="2"/>
      <c r="Z36" s="7">
        <f t="shared" si="27"/>
        <v>4.3614178876227788E-2</v>
      </c>
    </row>
    <row r="37" spans="1:26" s="24" customFormat="1" hidden="1" outlineLevel="2" x14ac:dyDescent="0.25">
      <c r="A37" s="25"/>
      <c r="B37" s="11" t="str">
        <f>CONCATENATE("          ", "6004", " - ", "STAFF HOURLY")</f>
        <v xml:space="preserve">          6004 - STAFF HOURLY</v>
      </c>
      <c r="C37" s="11"/>
      <c r="D37" s="6">
        <v>15075.409999999998</v>
      </c>
      <c r="E37" s="2"/>
      <c r="F37" s="7">
        <f t="shared" si="20"/>
        <v>5.5019160197970159E-2</v>
      </c>
      <c r="G37" s="2"/>
      <c r="H37" s="6">
        <v>13681.46</v>
      </c>
      <c r="I37" s="2"/>
      <c r="J37" s="7">
        <f t="shared" si="21"/>
        <v>5.3389111196207185E-2</v>
      </c>
      <c r="K37" s="2"/>
      <c r="L37" s="6">
        <f t="shared" si="22"/>
        <v>1393.9499999999989</v>
      </c>
      <c r="M37" s="2"/>
      <c r="N37" s="7">
        <f t="shared" si="23"/>
        <v>0.10188605602033694</v>
      </c>
      <c r="O37" s="11"/>
      <c r="P37" s="6">
        <v>126253.81999999999</v>
      </c>
      <c r="Q37" s="2"/>
      <c r="R37" s="7">
        <f t="shared" si="24"/>
        <v>4.5684803880021628E-2</v>
      </c>
      <c r="S37" s="2"/>
      <c r="T37" s="6">
        <v>133695.76999999999</v>
      </c>
      <c r="U37" s="2"/>
      <c r="V37" s="7">
        <f t="shared" si="25"/>
        <v>5.0493947840730219E-2</v>
      </c>
      <c r="W37" s="2"/>
      <c r="X37" s="6">
        <f t="shared" si="26"/>
        <v>-7441.9499999999971</v>
      </c>
      <c r="Y37" s="2"/>
      <c r="Z37" s="7">
        <f t="shared" si="27"/>
        <v>-5.566331679753217E-2</v>
      </c>
    </row>
    <row r="38" spans="1:26" s="24" customFormat="1" hidden="1" outlineLevel="2" x14ac:dyDescent="0.25">
      <c r="A38" s="25"/>
      <c r="B38" s="11" t="str">
        <f>CONCATENATE("          ", "6005", " - ", "TEMPORARY WAGES-HOURLY")</f>
        <v xml:space="preserve">          6005 - TEMPORARY WAGES-HOURLY</v>
      </c>
      <c r="C38" s="11"/>
      <c r="D38" s="6">
        <v>4393.49</v>
      </c>
      <c r="E38" s="2"/>
      <c r="F38" s="7">
        <f t="shared" si="20"/>
        <v>1.6034464743458383E-2</v>
      </c>
      <c r="G38" s="2"/>
      <c r="H38" s="6">
        <v>2839.76</v>
      </c>
      <c r="I38" s="2"/>
      <c r="J38" s="7">
        <f t="shared" si="21"/>
        <v>1.1081585036285698E-2</v>
      </c>
      <c r="K38" s="2"/>
      <c r="L38" s="6">
        <f t="shared" si="22"/>
        <v>1553.7299999999996</v>
      </c>
      <c r="M38" s="2"/>
      <c r="N38" s="7">
        <f t="shared" si="23"/>
        <v>0.54713426486745342</v>
      </c>
      <c r="O38" s="11"/>
      <c r="P38" s="6">
        <v>93351.83</v>
      </c>
      <c r="Q38" s="2"/>
      <c r="R38" s="7">
        <f t="shared" si="24"/>
        <v>3.3779255513941044E-2</v>
      </c>
      <c r="S38" s="2"/>
      <c r="T38" s="6">
        <v>52290.15</v>
      </c>
      <c r="U38" s="2"/>
      <c r="V38" s="7">
        <f t="shared" si="25"/>
        <v>1.9748838027440655E-2</v>
      </c>
      <c r="W38" s="2"/>
      <c r="X38" s="6">
        <f t="shared" si="26"/>
        <v>41061.68</v>
      </c>
      <c r="Y38" s="2"/>
      <c r="Z38" s="7">
        <f t="shared" si="27"/>
        <v>0.78526605871277855</v>
      </c>
    </row>
    <row r="39" spans="1:26" s="24" customFormat="1" hidden="1" outlineLevel="2" x14ac:dyDescent="0.25">
      <c r="A39" s="25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10133.07</v>
      </c>
      <c r="Q39" s="2"/>
      <c r="R39" s="7">
        <f t="shared" si="24"/>
        <v>3.666640071979848E-3</v>
      </c>
      <c r="S39" s="2"/>
      <c r="T39" s="6"/>
      <c r="U39" s="2"/>
      <c r="V39" s="7">
        <f t="shared" si="25"/>
        <v>0</v>
      </c>
      <c r="W39" s="2"/>
      <c r="X39" s="6">
        <f t="shared" si="26"/>
        <v>10133.07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"6007", " - ", "STUDENT HOURLY")</f>
        <v xml:space="preserve">          6007 - STUDENT HOURLY</v>
      </c>
      <c r="C40" s="11"/>
      <c r="D40" s="6">
        <v>35045.599999999999</v>
      </c>
      <c r="E40" s="2"/>
      <c r="F40" s="7">
        <f t="shared" si="20"/>
        <v>0.12790229125668776</v>
      </c>
      <c r="G40" s="2"/>
      <c r="H40" s="6">
        <v>28830.070000000003</v>
      </c>
      <c r="I40" s="2"/>
      <c r="J40" s="7">
        <f t="shared" si="21"/>
        <v>0.11250347645824621</v>
      </c>
      <c r="K40" s="2"/>
      <c r="L40" s="6">
        <f t="shared" si="22"/>
        <v>6215.5299999999952</v>
      </c>
      <c r="M40" s="2"/>
      <c r="N40" s="7">
        <f t="shared" si="23"/>
        <v>0.21559191496933564</v>
      </c>
      <c r="O40" s="11"/>
      <c r="P40" s="6">
        <v>232985.29</v>
      </c>
      <c r="Q40" s="2"/>
      <c r="R40" s="7">
        <f t="shared" si="24"/>
        <v>8.4305467197586303E-2</v>
      </c>
      <c r="S40" s="2"/>
      <c r="T40" s="6">
        <v>189259.48</v>
      </c>
      <c r="U40" s="2"/>
      <c r="V40" s="7">
        <f t="shared" si="25"/>
        <v>7.147913738395556E-2</v>
      </c>
      <c r="W40" s="2"/>
      <c r="X40" s="6">
        <f t="shared" si="26"/>
        <v>43725.81</v>
      </c>
      <c r="Y40" s="2"/>
      <c r="Z40" s="7">
        <f t="shared" si="27"/>
        <v>0.23103630000462855</v>
      </c>
    </row>
    <row r="41" spans="1:26" s="24" customFormat="1" hidden="1" outlineLevel="2" x14ac:dyDescent="0.25">
      <c r="A41" s="25"/>
      <c r="B41" s="11" t="str">
        <f>CONCATENATE("          ", "6008", " - ", "STUDENT HOURLY-FICA EXEMPT")</f>
        <v xml:space="preserve">          6008 - STUDENT HOURLY-FICA EXEMPT</v>
      </c>
      <c r="C41" s="11"/>
      <c r="D41" s="6">
        <v>715</v>
      </c>
      <c r="E41" s="2"/>
      <c r="F41" s="7">
        <f t="shared" si="20"/>
        <v>2.609461337472657E-3</v>
      </c>
      <c r="G41" s="2"/>
      <c r="H41" s="6">
        <v>750</v>
      </c>
      <c r="I41" s="2"/>
      <c r="J41" s="7">
        <f t="shared" si="21"/>
        <v>2.9267222501951832E-3</v>
      </c>
      <c r="K41" s="2"/>
      <c r="L41" s="6">
        <f t="shared" si="22"/>
        <v>-35</v>
      </c>
      <c r="M41" s="2"/>
      <c r="N41" s="7">
        <f t="shared" si="23"/>
        <v>-4.6666666666666669E-2</v>
      </c>
      <c r="O41" s="11"/>
      <c r="P41" s="6">
        <v>18854.5</v>
      </c>
      <c r="Q41" s="2"/>
      <c r="R41" s="7">
        <f t="shared" si="24"/>
        <v>6.8224797852125809E-3</v>
      </c>
      <c r="S41" s="2"/>
      <c r="T41" s="6">
        <v>21718.75</v>
      </c>
      <c r="U41" s="2"/>
      <c r="V41" s="7">
        <f t="shared" si="25"/>
        <v>8.2026935456960184E-3</v>
      </c>
      <c r="W41" s="2"/>
      <c r="X41" s="6">
        <f t="shared" si="26"/>
        <v>-2864.25</v>
      </c>
      <c r="Y41" s="2"/>
      <c r="Z41" s="7">
        <f t="shared" si="27"/>
        <v>-0.13187913669064749</v>
      </c>
    </row>
    <row r="42" spans="1:26" s="26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89.5</v>
      </c>
      <c r="E42" s="1"/>
      <c r="F42" s="5">
        <f t="shared" ref="F42:F61" si="28">IF(D$12=0,0,D42/D$12)</f>
        <v>3.2663886671860533E-4</v>
      </c>
      <c r="G42" s="1"/>
      <c r="H42" s="1">
        <f>SUM(OSRRefH22_2x_0)</f>
        <v>86.83</v>
      </c>
      <c r="I42" s="1"/>
      <c r="J42" s="5">
        <f t="shared" ref="J42:J61" si="29">IF(H$12=0,0,H42/H$12)</f>
        <v>3.3883639064593034E-4</v>
      </c>
      <c r="K42" s="1"/>
      <c r="L42" s="1">
        <f t="shared" ref="L42:L61" si="30">+D42-H42</f>
        <v>2.6700000000000017</v>
      </c>
      <c r="M42" s="1"/>
      <c r="N42" s="5">
        <f t="shared" ref="N42:N61" si="31">IF(H42=0,0,L42/H42)</f>
        <v>3.074974087297019E-2</v>
      </c>
      <c r="O42" s="13"/>
      <c r="P42" s="1">
        <f>SUM(OSRRefP22_2x_0)</f>
        <v>2772.68</v>
      </c>
      <c r="Q42" s="1"/>
      <c r="R42" s="5">
        <f t="shared" ref="R42:R61" si="32">IF(P$12=0,0,P42/P$12)</f>
        <v>1.0032911639589073E-3</v>
      </c>
      <c r="S42" s="1"/>
      <c r="T42" s="1">
        <f>SUM(OSRRefT22_2x_0)</f>
        <v>4652.1899999999996</v>
      </c>
      <c r="U42" s="1"/>
      <c r="V42" s="5">
        <f t="shared" ref="V42:V61" si="33">IF(T$12=0,0,T42/T$12)</f>
        <v>1.757029704119784E-3</v>
      </c>
      <c r="W42" s="1"/>
      <c r="X42" s="1">
        <f t="shared" ref="X42:X61" si="34">+P42-T42</f>
        <v>-1879.5099999999998</v>
      </c>
      <c r="Y42" s="1"/>
      <c r="Z42" s="5">
        <f t="shared" ref="Z42:Z61" si="35">IF(T42=0,0,X42/T42)</f>
        <v>-0.40400542540180001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6">
        <v>89.5</v>
      </c>
      <c r="E43" s="2"/>
      <c r="F43" s="7">
        <f t="shared" si="28"/>
        <v>3.2663886671860533E-4</v>
      </c>
      <c r="G43" s="2"/>
      <c r="H43" s="6">
        <v>86.83</v>
      </c>
      <c r="I43" s="2"/>
      <c r="J43" s="7">
        <f t="shared" si="29"/>
        <v>3.3883639064593034E-4</v>
      </c>
      <c r="K43" s="2"/>
      <c r="L43" s="6">
        <f t="shared" si="30"/>
        <v>2.6700000000000017</v>
      </c>
      <c r="M43" s="2"/>
      <c r="N43" s="7">
        <f t="shared" si="31"/>
        <v>3.074974087297019E-2</v>
      </c>
      <c r="O43" s="11"/>
      <c r="P43" s="6">
        <v>2772.68</v>
      </c>
      <c r="Q43" s="2"/>
      <c r="R43" s="7">
        <f t="shared" si="32"/>
        <v>1.0032911639589073E-3</v>
      </c>
      <c r="S43" s="2"/>
      <c r="T43" s="6">
        <v>4652.1899999999996</v>
      </c>
      <c r="U43" s="2"/>
      <c r="V43" s="7">
        <f t="shared" si="33"/>
        <v>1.757029704119784E-3</v>
      </c>
      <c r="W43" s="2"/>
      <c r="X43" s="6">
        <f t="shared" si="34"/>
        <v>-1879.5099999999998</v>
      </c>
      <c r="Y43" s="2"/>
      <c r="Z43" s="7">
        <f t="shared" si="35"/>
        <v>-0.40400542540180001</v>
      </c>
    </row>
    <row r="44" spans="1:26" s="26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-0.1</v>
      </c>
      <c r="E44" s="1"/>
      <c r="F44" s="5">
        <f t="shared" si="28"/>
        <v>-3.6495962761855346E-7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-0.1</v>
      </c>
      <c r="M44" s="1"/>
      <c r="N44" s="5">
        <f t="shared" si="31"/>
        <v>0</v>
      </c>
      <c r="O44" s="13"/>
      <c r="P44" s="1">
        <f>SUM(OSRRefP22_3x_0)</f>
        <v>0.95</v>
      </c>
      <c r="Q44" s="1"/>
      <c r="R44" s="5">
        <f t="shared" si="32"/>
        <v>3.4375643989243688E-7</v>
      </c>
      <c r="S44" s="1"/>
      <c r="T44" s="1">
        <f>SUM(OSRRefT22_3x_0)</f>
        <v>16.510000000000002</v>
      </c>
      <c r="U44" s="1"/>
      <c r="V44" s="5">
        <f t="shared" si="33"/>
        <v>6.2354633871397428E-6</v>
      </c>
      <c r="W44" s="1"/>
      <c r="X44" s="1">
        <f t="shared" si="34"/>
        <v>-15.560000000000002</v>
      </c>
      <c r="Y44" s="1"/>
      <c r="Z44" s="5">
        <f t="shared" si="35"/>
        <v>-0.94245911568746221</v>
      </c>
    </row>
    <row r="45" spans="1:26" s="24" customFormat="1" hidden="1" outlineLevel="2" x14ac:dyDescent="0.25">
      <c r="A45" s="25"/>
      <c r="B45" s="11" t="str">
        <f>CONCATENATE("          ", "6272", " - ", "CASH (OVER/SHORT)")</f>
        <v xml:space="preserve">          6272 - CASH (OVER/SHORT)</v>
      </c>
      <c r="C45" s="11"/>
      <c r="D45" s="6">
        <v>-0.1</v>
      </c>
      <c r="E45" s="2"/>
      <c r="F45" s="7">
        <f t="shared" si="28"/>
        <v>-3.6495962761855346E-7</v>
      </c>
      <c r="G45" s="2"/>
      <c r="H45" s="6"/>
      <c r="I45" s="2"/>
      <c r="J45" s="7">
        <f t="shared" si="29"/>
        <v>0</v>
      </c>
      <c r="K45" s="2"/>
      <c r="L45" s="6">
        <f t="shared" si="30"/>
        <v>-0.1</v>
      </c>
      <c r="M45" s="2"/>
      <c r="N45" s="7">
        <f t="shared" si="31"/>
        <v>0</v>
      </c>
      <c r="O45" s="11"/>
      <c r="P45" s="6">
        <v>0.95</v>
      </c>
      <c r="Q45" s="2"/>
      <c r="R45" s="7">
        <f t="shared" si="32"/>
        <v>3.4375643989243688E-7</v>
      </c>
      <c r="S45" s="2"/>
      <c r="T45" s="6">
        <v>16.510000000000002</v>
      </c>
      <c r="U45" s="2"/>
      <c r="V45" s="7">
        <f t="shared" si="33"/>
        <v>6.2354633871397428E-6</v>
      </c>
      <c r="W45" s="2"/>
      <c r="X45" s="6">
        <f t="shared" si="34"/>
        <v>-15.560000000000002</v>
      </c>
      <c r="Y45" s="2"/>
      <c r="Z45" s="7">
        <f t="shared" si="35"/>
        <v>-0.94245911568746221</v>
      </c>
    </row>
    <row r="46" spans="1:26" s="26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74.16</v>
      </c>
      <c r="E46" s="1"/>
      <c r="F46" s="5">
        <f t="shared" si="28"/>
        <v>2.7065405984191924E-4</v>
      </c>
      <c r="G46" s="1"/>
      <c r="H46" s="1">
        <f>SUM(OSRRefH22_4x_0)</f>
        <v>85.44</v>
      </c>
      <c r="I46" s="1"/>
      <c r="J46" s="5">
        <f t="shared" si="29"/>
        <v>3.3341219874223523E-4</v>
      </c>
      <c r="K46" s="1"/>
      <c r="L46" s="1">
        <f t="shared" si="30"/>
        <v>-11.280000000000001</v>
      </c>
      <c r="M46" s="1"/>
      <c r="N46" s="5">
        <f t="shared" si="31"/>
        <v>-0.13202247191011238</v>
      </c>
      <c r="O46" s="13"/>
      <c r="P46" s="1">
        <f>SUM(OSRRefP22_4x_0)</f>
        <v>1603.16</v>
      </c>
      <c r="Q46" s="1"/>
      <c r="R46" s="5">
        <f t="shared" si="32"/>
        <v>5.8010165702943072E-4</v>
      </c>
      <c r="S46" s="1"/>
      <c r="T46" s="1">
        <f>SUM(OSRRefT22_4x_0)</f>
        <v>1345.05</v>
      </c>
      <c r="U46" s="1"/>
      <c r="V46" s="5">
        <f t="shared" si="33"/>
        <v>5.079957618941436E-4</v>
      </c>
      <c r="W46" s="1"/>
      <c r="X46" s="1">
        <f t="shared" si="34"/>
        <v>258.11000000000013</v>
      </c>
      <c r="Y46" s="1"/>
      <c r="Z46" s="5">
        <f t="shared" si="35"/>
        <v>0.19189621203672735</v>
      </c>
    </row>
    <row r="47" spans="1:26" s="24" customFormat="1" hidden="1" outlineLevel="2" x14ac:dyDescent="0.25">
      <c r="A47" s="25"/>
      <c r="B47" s="11" t="str">
        <f>CONCATENATE("          ", "6381", " - ", "BANK/CREDIT CARD FEES")</f>
        <v xml:space="preserve">          6381 - BANK/CREDIT CARD FEES</v>
      </c>
      <c r="C47" s="11"/>
      <c r="D47" s="6">
        <v>74.16</v>
      </c>
      <c r="E47" s="2"/>
      <c r="F47" s="7">
        <f t="shared" si="28"/>
        <v>2.7065405984191924E-4</v>
      </c>
      <c r="G47" s="2"/>
      <c r="H47" s="6">
        <v>85.44</v>
      </c>
      <c r="I47" s="2"/>
      <c r="J47" s="7">
        <f t="shared" si="29"/>
        <v>3.3341219874223523E-4</v>
      </c>
      <c r="K47" s="2"/>
      <c r="L47" s="6">
        <f t="shared" si="30"/>
        <v>-11.280000000000001</v>
      </c>
      <c r="M47" s="2"/>
      <c r="N47" s="7">
        <f t="shared" si="31"/>
        <v>-0.13202247191011238</v>
      </c>
      <c r="O47" s="11"/>
      <c r="P47" s="6">
        <v>1603.16</v>
      </c>
      <c r="Q47" s="2"/>
      <c r="R47" s="7">
        <f t="shared" si="32"/>
        <v>5.8010165702943072E-4</v>
      </c>
      <c r="S47" s="2"/>
      <c r="T47" s="6">
        <v>1345.05</v>
      </c>
      <c r="U47" s="2"/>
      <c r="V47" s="7">
        <f t="shared" si="33"/>
        <v>5.079957618941436E-4</v>
      </c>
      <c r="W47" s="2"/>
      <c r="X47" s="6">
        <f t="shared" si="34"/>
        <v>258.11000000000013</v>
      </c>
      <c r="Y47" s="2"/>
      <c r="Z47" s="7">
        <f t="shared" si="35"/>
        <v>0.19189621203672735</v>
      </c>
    </row>
    <row r="48" spans="1:26" s="26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5622.6</v>
      </c>
      <c r="E48" s="1"/>
      <c r="F48" s="5">
        <f t="shared" si="28"/>
        <v>2.0520220022480787E-2</v>
      </c>
      <c r="G48" s="1"/>
      <c r="H48" s="1">
        <f>SUM(OSRRefH22_5x_0)</f>
        <v>4619.8999999999996</v>
      </c>
      <c r="I48" s="1"/>
      <c r="J48" s="5">
        <f t="shared" si="29"/>
        <v>1.8028218831568969E-2</v>
      </c>
      <c r="K48" s="1"/>
      <c r="L48" s="1">
        <f t="shared" si="30"/>
        <v>1002.7000000000007</v>
      </c>
      <c r="M48" s="1"/>
      <c r="N48" s="5">
        <f t="shared" si="31"/>
        <v>0.21703932985562477</v>
      </c>
      <c r="O48" s="13"/>
      <c r="P48" s="1">
        <f>SUM(OSRRefP22_5x_0)</f>
        <v>51870.28</v>
      </c>
      <c r="Q48" s="1"/>
      <c r="R48" s="5">
        <f t="shared" si="32"/>
        <v>1.8769202935814602E-2</v>
      </c>
      <c r="S48" s="1"/>
      <c r="T48" s="1">
        <f>SUM(OSRRefT22_5x_0)</f>
        <v>46829.96</v>
      </c>
      <c r="U48" s="1"/>
      <c r="V48" s="5">
        <f t="shared" si="33"/>
        <v>1.7686644518547463E-2</v>
      </c>
      <c r="W48" s="1"/>
      <c r="X48" s="1">
        <f t="shared" si="34"/>
        <v>5040.32</v>
      </c>
      <c r="Y48" s="1"/>
      <c r="Z48" s="5">
        <f t="shared" si="35"/>
        <v>0.1076302435449443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6">
        <v>5622.6</v>
      </c>
      <c r="E49" s="2"/>
      <c r="F49" s="7">
        <f t="shared" si="28"/>
        <v>2.0520220022480787E-2</v>
      </c>
      <c r="G49" s="2"/>
      <c r="H49" s="6">
        <v>4619.8999999999996</v>
      </c>
      <c r="I49" s="2"/>
      <c r="J49" s="7">
        <f t="shared" si="29"/>
        <v>1.8028218831568969E-2</v>
      </c>
      <c r="K49" s="2"/>
      <c r="L49" s="6">
        <f t="shared" si="30"/>
        <v>1002.7000000000007</v>
      </c>
      <c r="M49" s="2"/>
      <c r="N49" s="7">
        <f t="shared" si="31"/>
        <v>0.21703932985562477</v>
      </c>
      <c r="O49" s="11"/>
      <c r="P49" s="6">
        <v>51870.28</v>
      </c>
      <c r="Q49" s="2"/>
      <c r="R49" s="7">
        <f t="shared" si="32"/>
        <v>1.8769202935814602E-2</v>
      </c>
      <c r="S49" s="2"/>
      <c r="T49" s="6">
        <v>46829.96</v>
      </c>
      <c r="U49" s="2"/>
      <c r="V49" s="7">
        <f t="shared" si="33"/>
        <v>1.7686644518547463E-2</v>
      </c>
      <c r="W49" s="2"/>
      <c r="X49" s="6">
        <f t="shared" si="34"/>
        <v>5040.32</v>
      </c>
      <c r="Y49" s="2"/>
      <c r="Z49" s="7">
        <f t="shared" si="35"/>
        <v>0.1076302435449443</v>
      </c>
    </row>
    <row r="50" spans="1:26" s="26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85.92</v>
      </c>
      <c r="E50" s="1"/>
      <c r="F50" s="5">
        <f t="shared" si="28"/>
        <v>3.1357331204986109E-4</v>
      </c>
      <c r="G50" s="1"/>
      <c r="H50" s="1">
        <f>SUM(OSRRefH22_6x_0)</f>
        <v>35.090000000000003</v>
      </c>
      <c r="I50" s="1"/>
      <c r="J50" s="5">
        <f t="shared" si="29"/>
        <v>1.3693157834579865E-4</v>
      </c>
      <c r="K50" s="1"/>
      <c r="L50" s="1">
        <f t="shared" si="30"/>
        <v>50.83</v>
      </c>
      <c r="M50" s="1"/>
      <c r="N50" s="5">
        <f t="shared" si="31"/>
        <v>1.4485608435451693</v>
      </c>
      <c r="O50" s="13"/>
      <c r="P50" s="1">
        <f>SUM(OSRRefP22_6x_0)</f>
        <v>172.29</v>
      </c>
      <c r="Q50" s="1"/>
      <c r="R50" s="5">
        <f t="shared" si="32"/>
        <v>6.2342944241124154E-5</v>
      </c>
      <c r="S50" s="1"/>
      <c r="T50" s="1">
        <f>SUM(OSRRefT22_6x_0)</f>
        <v>196.39</v>
      </c>
      <c r="U50" s="1"/>
      <c r="V50" s="5">
        <f t="shared" si="33"/>
        <v>7.4172177746842751E-5</v>
      </c>
      <c r="W50" s="1"/>
      <c r="X50" s="1">
        <f t="shared" si="34"/>
        <v>-24.099999999999994</v>
      </c>
      <c r="Y50" s="1"/>
      <c r="Z50" s="5">
        <f t="shared" si="35"/>
        <v>-0.12271500585569528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>
        <v>85.92</v>
      </c>
      <c r="E51" s="2"/>
      <c r="F51" s="7">
        <f t="shared" si="28"/>
        <v>3.1357331204986109E-4</v>
      </c>
      <c r="G51" s="2"/>
      <c r="H51" s="6">
        <v>35.090000000000003</v>
      </c>
      <c r="I51" s="2"/>
      <c r="J51" s="7">
        <f t="shared" si="29"/>
        <v>1.3693157834579865E-4</v>
      </c>
      <c r="K51" s="2"/>
      <c r="L51" s="6">
        <f t="shared" si="30"/>
        <v>50.83</v>
      </c>
      <c r="M51" s="2"/>
      <c r="N51" s="7">
        <f t="shared" si="31"/>
        <v>1.4485608435451693</v>
      </c>
      <c r="O51" s="11"/>
      <c r="P51" s="6">
        <v>172.29</v>
      </c>
      <c r="Q51" s="2"/>
      <c r="R51" s="7">
        <f t="shared" si="32"/>
        <v>6.2342944241124154E-5</v>
      </c>
      <c r="S51" s="2"/>
      <c r="T51" s="6">
        <v>196.39</v>
      </c>
      <c r="U51" s="2"/>
      <c r="V51" s="7">
        <f t="shared" si="33"/>
        <v>7.4172177746842751E-5</v>
      </c>
      <c r="W51" s="2"/>
      <c r="X51" s="6">
        <f t="shared" si="34"/>
        <v>-24.099999999999994</v>
      </c>
      <c r="Y51" s="2"/>
      <c r="Z51" s="7">
        <f t="shared" si="35"/>
        <v>-0.12271500585569528</v>
      </c>
    </row>
    <row r="52" spans="1:26" s="26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589.26</v>
      </c>
      <c r="E52" s="1"/>
      <c r="F52" s="5">
        <f t="shared" si="28"/>
        <v>2.150561101705088E-3</v>
      </c>
      <c r="G52" s="1"/>
      <c r="H52" s="1">
        <f>SUM(OSRRefH22_7x_0)</f>
        <v>717</v>
      </c>
      <c r="I52" s="1"/>
      <c r="J52" s="5">
        <f t="shared" si="29"/>
        <v>2.7979464711865949E-3</v>
      </c>
      <c r="K52" s="1"/>
      <c r="L52" s="1">
        <f t="shared" si="30"/>
        <v>-127.74000000000001</v>
      </c>
      <c r="M52" s="1"/>
      <c r="N52" s="5">
        <f t="shared" si="31"/>
        <v>-0.17815899581589958</v>
      </c>
      <c r="O52" s="13"/>
      <c r="P52" s="1">
        <f>SUM(OSRRefP22_7x_0)</f>
        <v>1869.32</v>
      </c>
      <c r="Q52" s="1"/>
      <c r="R52" s="5">
        <f t="shared" si="32"/>
        <v>6.7641135602076856E-4</v>
      </c>
      <c r="S52" s="1"/>
      <c r="T52" s="1">
        <f>SUM(OSRRefT22_7x_0)</f>
        <v>1949.36</v>
      </c>
      <c r="U52" s="1"/>
      <c r="V52" s="5">
        <f t="shared" si="33"/>
        <v>7.362303396944111E-4</v>
      </c>
      <c r="W52" s="1"/>
      <c r="X52" s="1">
        <f t="shared" si="34"/>
        <v>-80.039999999999964</v>
      </c>
      <c r="Y52" s="1"/>
      <c r="Z52" s="5">
        <f t="shared" si="35"/>
        <v>-4.105962982722533E-2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589.26</v>
      </c>
      <c r="E53" s="2"/>
      <c r="F53" s="7">
        <f t="shared" si="28"/>
        <v>2.150561101705088E-3</v>
      </c>
      <c r="G53" s="2"/>
      <c r="H53" s="6">
        <v>717</v>
      </c>
      <c r="I53" s="2"/>
      <c r="J53" s="7">
        <f t="shared" si="29"/>
        <v>2.7979464711865949E-3</v>
      </c>
      <c r="K53" s="2"/>
      <c r="L53" s="6">
        <f t="shared" si="30"/>
        <v>-127.74000000000001</v>
      </c>
      <c r="M53" s="2"/>
      <c r="N53" s="7">
        <f t="shared" si="31"/>
        <v>-0.17815899581589958</v>
      </c>
      <c r="O53" s="11"/>
      <c r="P53" s="6">
        <v>1869.32</v>
      </c>
      <c r="Q53" s="2"/>
      <c r="R53" s="7">
        <f t="shared" si="32"/>
        <v>6.7641135602076856E-4</v>
      </c>
      <c r="S53" s="2"/>
      <c r="T53" s="6">
        <v>1949.36</v>
      </c>
      <c r="U53" s="2"/>
      <c r="V53" s="7">
        <f t="shared" si="33"/>
        <v>7.362303396944111E-4</v>
      </c>
      <c r="W53" s="2"/>
      <c r="X53" s="6">
        <f t="shared" si="34"/>
        <v>-80.039999999999964</v>
      </c>
      <c r="Y53" s="2"/>
      <c r="Z53" s="7">
        <f t="shared" si="35"/>
        <v>-4.105962982722533E-2</v>
      </c>
    </row>
    <row r="54" spans="1:26" s="26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540.25</v>
      </c>
      <c r="E54" s="1"/>
      <c r="F54" s="5">
        <f t="shared" si="28"/>
        <v>1.9716943882092347E-3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540.25</v>
      </c>
      <c r="M54" s="1"/>
      <c r="N54" s="5">
        <f t="shared" si="31"/>
        <v>0</v>
      </c>
      <c r="O54" s="13"/>
      <c r="P54" s="1">
        <f>SUM(OSRRefP22_8x_0)</f>
        <v>2391.19</v>
      </c>
      <c r="Q54" s="1"/>
      <c r="R54" s="5">
        <f t="shared" si="32"/>
        <v>8.6524943316462766E-4</v>
      </c>
      <c r="S54" s="1"/>
      <c r="T54" s="1">
        <f>SUM(OSRRefT22_8x_0)</f>
        <v>1936.05</v>
      </c>
      <c r="U54" s="1"/>
      <c r="V54" s="5">
        <f t="shared" si="33"/>
        <v>7.312034458311264E-4</v>
      </c>
      <c r="W54" s="1"/>
      <c r="X54" s="1">
        <f t="shared" si="34"/>
        <v>455.1400000000001</v>
      </c>
      <c r="Y54" s="1"/>
      <c r="Z54" s="5">
        <f t="shared" si="35"/>
        <v>0.23508690374732064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>
        <v>540.25</v>
      </c>
      <c r="E55" s="2"/>
      <c r="F55" s="7">
        <f t="shared" si="28"/>
        <v>1.9716943882092347E-3</v>
      </c>
      <c r="G55" s="2"/>
      <c r="H55" s="6"/>
      <c r="I55" s="2"/>
      <c r="J55" s="7">
        <f t="shared" si="29"/>
        <v>0</v>
      </c>
      <c r="K55" s="2"/>
      <c r="L55" s="6">
        <f t="shared" si="30"/>
        <v>540.25</v>
      </c>
      <c r="M55" s="2"/>
      <c r="N55" s="7">
        <f t="shared" si="31"/>
        <v>0</v>
      </c>
      <c r="O55" s="11"/>
      <c r="P55" s="6">
        <v>2391.19</v>
      </c>
      <c r="Q55" s="2"/>
      <c r="R55" s="7">
        <f t="shared" si="32"/>
        <v>8.6524943316462766E-4</v>
      </c>
      <c r="S55" s="2"/>
      <c r="T55" s="6">
        <v>1936.05</v>
      </c>
      <c r="U55" s="2"/>
      <c r="V55" s="7">
        <f t="shared" si="33"/>
        <v>7.312034458311264E-4</v>
      </c>
      <c r="W55" s="2"/>
      <c r="X55" s="6">
        <f t="shared" si="34"/>
        <v>455.1400000000001</v>
      </c>
      <c r="Y55" s="2"/>
      <c r="Z55" s="7">
        <f t="shared" si="35"/>
        <v>0.23508690374732064</v>
      </c>
    </row>
    <row r="56" spans="1:26" s="26" customFormat="1" outlineLevel="1" collapsed="1" x14ac:dyDescent="0.25">
      <c r="A56" s="27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22068.31</v>
      </c>
      <c r="E56" s="1"/>
      <c r="F56" s="5">
        <f t="shared" si="28"/>
        <v>8.0540421997707987E-2</v>
      </c>
      <c r="G56" s="1"/>
      <c r="H56" s="1">
        <f>SUM(OSRRefH22_9x_0)</f>
        <v>21244.83</v>
      </c>
      <c r="I56" s="1"/>
      <c r="J56" s="5">
        <f t="shared" si="29"/>
        <v>8.2903622216818851E-2</v>
      </c>
      <c r="K56" s="1"/>
      <c r="L56" s="1">
        <f t="shared" si="30"/>
        <v>823.47999999999956</v>
      </c>
      <c r="M56" s="1"/>
      <c r="N56" s="5">
        <f t="shared" si="31"/>
        <v>3.87614304280147E-2</v>
      </c>
      <c r="O56" s="13"/>
      <c r="P56" s="1">
        <f>SUM(OSRRefP22_9x_0)</f>
        <v>213574.03</v>
      </c>
      <c r="Q56" s="1"/>
      <c r="R56" s="5">
        <f t="shared" si="32"/>
        <v>7.72815244276637E-2</v>
      </c>
      <c r="S56" s="1"/>
      <c r="T56" s="1">
        <f>SUM(OSRRefT22_9x_0)</f>
        <v>203175.09999999998</v>
      </c>
      <c r="U56" s="1"/>
      <c r="V56" s="5">
        <f t="shared" si="33"/>
        <v>7.6734760583189315E-2</v>
      </c>
      <c r="W56" s="1"/>
      <c r="X56" s="1">
        <f t="shared" si="34"/>
        <v>10398.930000000022</v>
      </c>
      <c r="Y56" s="1"/>
      <c r="Z56" s="5">
        <f t="shared" si="35"/>
        <v>5.1182108437500574E-2</v>
      </c>
    </row>
    <row r="57" spans="1:26" s="24" customFormat="1" hidden="1" outlineLevel="2" x14ac:dyDescent="0.25">
      <c r="A57" s="25"/>
      <c r="B57" s="11" t="str">
        <f>CONCATENATE("          ", "6387", " - ", "COMMISSION DUE HOUSING")</f>
        <v xml:space="preserve">          6387 - COMMISSION DUE HOUSING</v>
      </c>
      <c r="C57" s="11"/>
      <c r="D57" s="6">
        <v>22068.31</v>
      </c>
      <c r="E57" s="2"/>
      <c r="F57" s="7">
        <f t="shared" si="28"/>
        <v>8.0540421997707987E-2</v>
      </c>
      <c r="G57" s="2"/>
      <c r="H57" s="6">
        <v>21244.83</v>
      </c>
      <c r="I57" s="2"/>
      <c r="J57" s="7">
        <f t="shared" si="29"/>
        <v>8.2903622216818851E-2</v>
      </c>
      <c r="K57" s="2"/>
      <c r="L57" s="6">
        <f t="shared" si="30"/>
        <v>823.47999999999956</v>
      </c>
      <c r="M57" s="2"/>
      <c r="N57" s="7">
        <f t="shared" si="31"/>
        <v>3.87614304280147E-2</v>
      </c>
      <c r="O57" s="11"/>
      <c r="P57" s="6">
        <v>213574.03</v>
      </c>
      <c r="Q57" s="2"/>
      <c r="R57" s="7">
        <f t="shared" si="32"/>
        <v>7.72815244276637E-2</v>
      </c>
      <c r="S57" s="2"/>
      <c r="T57" s="6">
        <v>203175.09999999998</v>
      </c>
      <c r="U57" s="2"/>
      <c r="V57" s="7">
        <f t="shared" si="33"/>
        <v>7.6734760583189315E-2</v>
      </c>
      <c r="W57" s="2"/>
      <c r="X57" s="6">
        <f t="shared" si="34"/>
        <v>10398.930000000022</v>
      </c>
      <c r="Y57" s="2"/>
      <c r="Z57" s="7">
        <f t="shared" si="35"/>
        <v>5.1182108437500574E-2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SUM(OSRRefP22_10x_0)</f>
        <v>8530.3700000000008</v>
      </c>
      <c r="Q58" s="1"/>
      <c r="R58" s="5">
        <f t="shared" si="32"/>
        <v>3.0867048654371022E-3</v>
      </c>
      <c r="S58" s="1"/>
      <c r="T58" s="1">
        <f>SUM(OSRRefT22_10x_0)</f>
        <v>9174.9700000000012</v>
      </c>
      <c r="U58" s="1"/>
      <c r="V58" s="5">
        <f t="shared" si="33"/>
        <v>3.4651841013389174E-3</v>
      </c>
      <c r="W58" s="1"/>
      <c r="X58" s="1">
        <f t="shared" si="34"/>
        <v>-644.60000000000036</v>
      </c>
      <c r="Y58" s="1"/>
      <c r="Z58" s="5">
        <f t="shared" si="35"/>
        <v>-7.0256360511260552E-2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8238.75</v>
      </c>
      <c r="Q59" s="2"/>
      <c r="R59" s="7">
        <f t="shared" si="32"/>
        <v>2.9811824938566467E-3</v>
      </c>
      <c r="S59" s="2"/>
      <c r="T59" s="6">
        <v>8950.42</v>
      </c>
      <c r="U59" s="2"/>
      <c r="V59" s="7">
        <f t="shared" si="33"/>
        <v>3.3803765117821497E-3</v>
      </c>
      <c r="W59" s="2"/>
      <c r="X59" s="6">
        <f t="shared" si="34"/>
        <v>-711.67000000000007</v>
      </c>
      <c r="Y59" s="2"/>
      <c r="Z59" s="7">
        <f t="shared" si="35"/>
        <v>-7.9512469805886207E-2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139.84</v>
      </c>
      <c r="Q60" s="2"/>
      <c r="R60" s="7">
        <f t="shared" si="32"/>
        <v>5.0600947952166711E-5</v>
      </c>
      <c r="S60" s="2"/>
      <c r="T60" s="6">
        <v>134.94</v>
      </c>
      <c r="U60" s="2"/>
      <c r="V60" s="7">
        <f t="shared" si="33"/>
        <v>5.0963866109063402E-5</v>
      </c>
      <c r="W60" s="2"/>
      <c r="X60" s="6">
        <f t="shared" si="34"/>
        <v>4.9000000000000057</v>
      </c>
      <c r="Y60" s="2"/>
      <c r="Z60" s="7">
        <f t="shared" si="35"/>
        <v>3.6312435156365834E-2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151.78</v>
      </c>
      <c r="Q61" s="2"/>
      <c r="R61" s="7">
        <f t="shared" si="32"/>
        <v>5.49214236282885E-5</v>
      </c>
      <c r="S61" s="2"/>
      <c r="T61" s="6">
        <v>89.61</v>
      </c>
      <c r="U61" s="2"/>
      <c r="V61" s="7">
        <f t="shared" si="33"/>
        <v>3.3843723447703952E-5</v>
      </c>
      <c r="W61" s="2"/>
      <c r="X61" s="6">
        <f t="shared" si="34"/>
        <v>62.17</v>
      </c>
      <c r="Y61" s="2"/>
      <c r="Z61" s="7">
        <f t="shared" si="35"/>
        <v>0.69378417587322849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5745.24</v>
      </c>
      <c r="E62" s="1"/>
      <c r="F62" s="5">
        <f t="shared" ref="F62:F65" si="36">IF(D$12=0,0,D62/D$12)</f>
        <v>2.0967806509792179E-2</v>
      </c>
      <c r="G62" s="1"/>
      <c r="H62" s="1">
        <f>SUM(OSRRefH22_11x_0)</f>
        <v>5203.9400000000005</v>
      </c>
      <c r="I62" s="1"/>
      <c r="J62" s="5">
        <f t="shared" ref="J62:J65" si="37">IF(H$12=0,0,H62/H$12)</f>
        <v>2.0307315982240965E-2</v>
      </c>
      <c r="K62" s="1"/>
      <c r="L62" s="1">
        <f t="shared" ref="L62:L65" si="38">+D62-H62</f>
        <v>541.29999999999927</v>
      </c>
      <c r="M62" s="1"/>
      <c r="N62" s="5">
        <f t="shared" ref="N62:N65" si="39">IF(H62=0,0,L62/H62)</f>
        <v>0.10401734070723322</v>
      </c>
      <c r="O62" s="13"/>
      <c r="P62" s="1">
        <f>SUM(OSRRefP22_11x_0)</f>
        <v>43853.45</v>
      </c>
      <c r="Q62" s="1"/>
      <c r="R62" s="5">
        <f t="shared" ref="R62:R65" si="40">IF(P$12=0,0,P62/P$12)</f>
        <v>1.5868321946316828E-2</v>
      </c>
      <c r="S62" s="1"/>
      <c r="T62" s="1">
        <f>SUM(OSRRefT22_11x_0)</f>
        <v>40447.08</v>
      </c>
      <c r="U62" s="1"/>
      <c r="V62" s="5">
        <f t="shared" ref="V62:V65" si="41">IF(T$12=0,0,T62/T$12)</f>
        <v>1.5275971317789953E-2</v>
      </c>
      <c r="W62" s="1"/>
      <c r="X62" s="1">
        <f t="shared" ref="X62:X65" si="42">+P62-T62</f>
        <v>3406.3699999999953</v>
      </c>
      <c r="Y62" s="1"/>
      <c r="Z62" s="5">
        <f t="shared" ref="Z62:Z65" si="43">IF(T62=0,0,X62/T62)</f>
        <v>8.4217946017363807E-2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36"/>
        <v>0</v>
      </c>
      <c r="G63" s="2"/>
      <c r="H63" s="6">
        <v>417.32</v>
      </c>
      <c r="I63" s="2"/>
      <c r="J63" s="7">
        <f t="shared" si="37"/>
        <v>1.6285063059352717E-3</v>
      </c>
      <c r="K63" s="2"/>
      <c r="L63" s="6">
        <f t="shared" si="38"/>
        <v>-417.32</v>
      </c>
      <c r="M63" s="2"/>
      <c r="N63" s="7">
        <f t="shared" si="39"/>
        <v>-1</v>
      </c>
      <c r="O63" s="11"/>
      <c r="P63" s="6">
        <v>3041.24</v>
      </c>
      <c r="Q63" s="2"/>
      <c r="R63" s="7">
        <f t="shared" si="40"/>
        <v>1.1004693002720787E-3</v>
      </c>
      <c r="S63" s="2"/>
      <c r="T63" s="6">
        <v>2503.92</v>
      </c>
      <c r="U63" s="2"/>
      <c r="V63" s="7">
        <f t="shared" si="41"/>
        <v>9.4567543817849445E-4</v>
      </c>
      <c r="W63" s="2"/>
      <c r="X63" s="6">
        <f t="shared" si="42"/>
        <v>537.31999999999971</v>
      </c>
      <c r="Y63" s="2"/>
      <c r="Z63" s="7">
        <f t="shared" si="43"/>
        <v>0.21459152049586236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6">
        <v>4157.05</v>
      </c>
      <c r="E64" s="2"/>
      <c r="F64" s="7">
        <f t="shared" si="36"/>
        <v>1.5171554199917076E-2</v>
      </c>
      <c r="G64" s="2"/>
      <c r="H64" s="6">
        <v>3882.07</v>
      </c>
      <c r="I64" s="2"/>
      <c r="J64" s="7">
        <f t="shared" si="37"/>
        <v>1.5148987527753619E-2</v>
      </c>
      <c r="K64" s="2"/>
      <c r="L64" s="6">
        <f t="shared" si="38"/>
        <v>274.98</v>
      </c>
      <c r="M64" s="2"/>
      <c r="N64" s="7">
        <f t="shared" si="39"/>
        <v>7.0833344066438778E-2</v>
      </c>
      <c r="O64" s="11"/>
      <c r="P64" s="6">
        <v>28706.43</v>
      </c>
      <c r="Q64" s="2"/>
      <c r="R64" s="7">
        <f t="shared" si="40"/>
        <v>1.0387389661917313E-2</v>
      </c>
      <c r="S64" s="2"/>
      <c r="T64" s="6">
        <v>27251.73</v>
      </c>
      <c r="U64" s="2"/>
      <c r="V64" s="7">
        <f t="shared" si="41"/>
        <v>1.0292378234477149E-2</v>
      </c>
      <c r="W64" s="2"/>
      <c r="X64" s="6">
        <f t="shared" si="42"/>
        <v>1454.7000000000007</v>
      </c>
      <c r="Y64" s="2"/>
      <c r="Z64" s="7">
        <f t="shared" si="43"/>
        <v>5.3380097336939734E-2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1588.19</v>
      </c>
      <c r="E65" s="2"/>
      <c r="F65" s="7">
        <f t="shared" si="36"/>
        <v>5.7962523098751039E-3</v>
      </c>
      <c r="G65" s="2"/>
      <c r="H65" s="6">
        <v>904.55</v>
      </c>
      <c r="I65" s="2"/>
      <c r="J65" s="7">
        <f t="shared" si="37"/>
        <v>3.5298221485520706E-3</v>
      </c>
      <c r="K65" s="2"/>
      <c r="L65" s="6">
        <f t="shared" si="38"/>
        <v>683.6400000000001</v>
      </c>
      <c r="M65" s="2"/>
      <c r="N65" s="7">
        <f t="shared" si="39"/>
        <v>0.75577911668785602</v>
      </c>
      <c r="O65" s="11"/>
      <c r="P65" s="6">
        <v>12105.78</v>
      </c>
      <c r="Q65" s="2"/>
      <c r="R65" s="7">
        <f t="shared" si="40"/>
        <v>4.3804629841274366E-3</v>
      </c>
      <c r="S65" s="2"/>
      <c r="T65" s="6">
        <v>10691.43</v>
      </c>
      <c r="U65" s="2"/>
      <c r="V65" s="7">
        <f t="shared" si="41"/>
        <v>4.0379176451343099E-3</v>
      </c>
      <c r="W65" s="2"/>
      <c r="X65" s="6">
        <f t="shared" si="42"/>
        <v>1414.3500000000004</v>
      </c>
      <c r="Y65" s="2"/>
      <c r="Z65" s="7">
        <f t="shared" si="43"/>
        <v>0.13228819718222917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6911.77</v>
      </c>
      <c r="E66" s="1"/>
      <c r="F66" s="5">
        <f t="shared" ref="F66:F73" si="44">IF(D$12=0,0,D66/D$12)</f>
        <v>2.5225170053850891E-2</v>
      </c>
      <c r="G66" s="1"/>
      <c r="H66" s="1">
        <f>SUM(OSRRefH22_12x_0)</f>
        <v>4254.21</v>
      </c>
      <c r="I66" s="1"/>
      <c r="J66" s="5">
        <f t="shared" ref="J66:J73" si="45">IF(H$12=0,0,H66/H$12)</f>
        <v>1.6601188085337133E-2</v>
      </c>
      <c r="K66" s="1"/>
      <c r="L66" s="1">
        <f t="shared" ref="L66:L73" si="46">+D66-H66</f>
        <v>2657.5600000000004</v>
      </c>
      <c r="M66" s="1"/>
      <c r="N66" s="5">
        <f t="shared" ref="N66:N73" si="47">IF(H66=0,0,L66/H66)</f>
        <v>0.62468942529870419</v>
      </c>
      <c r="O66" s="13"/>
      <c r="P66" s="1">
        <f>SUM(OSRRefP22_12x_0)</f>
        <v>46576.53</v>
      </c>
      <c r="Q66" s="1"/>
      <c r="R66" s="5">
        <f t="shared" ref="R66:R73" si="48">IF(P$12=0,0,P66/P$12)</f>
        <v>1.685366540562451E-2</v>
      </c>
      <c r="S66" s="1"/>
      <c r="T66" s="1">
        <f>SUM(OSRRefT22_12x_0)</f>
        <v>52216.280000000006</v>
      </c>
      <c r="U66" s="1"/>
      <c r="V66" s="5">
        <f t="shared" ref="V66:V73" si="49">IF(T$12=0,0,T66/T$12)</f>
        <v>1.9720938955338413E-2</v>
      </c>
      <c r="W66" s="1"/>
      <c r="X66" s="1">
        <f t="shared" ref="X66:X73" si="50">+P66-T66</f>
        <v>-5639.7500000000073</v>
      </c>
      <c r="Y66" s="1"/>
      <c r="Z66" s="5">
        <f t="shared" ref="Z66:Z73" si="51">IF(T66=0,0,X66/T66)</f>
        <v>-0.10800750264093893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>
        <v>2044.11</v>
      </c>
      <c r="E67" s="2"/>
      <c r="F67" s="7">
        <f t="shared" si="44"/>
        <v>7.4601762441136119E-3</v>
      </c>
      <c r="G67" s="2"/>
      <c r="H67" s="6">
        <v>2544.9</v>
      </c>
      <c r="I67" s="2"/>
      <c r="J67" s="7">
        <f t="shared" si="45"/>
        <v>9.9309539393622956E-3</v>
      </c>
      <c r="K67" s="2"/>
      <c r="L67" s="6">
        <f t="shared" si="46"/>
        <v>-500.79000000000019</v>
      </c>
      <c r="M67" s="2"/>
      <c r="N67" s="7">
        <f t="shared" si="47"/>
        <v>-0.1967817988919015</v>
      </c>
      <c r="O67" s="11"/>
      <c r="P67" s="6">
        <v>20333.580000000002</v>
      </c>
      <c r="Q67" s="2"/>
      <c r="R67" s="7">
        <f t="shared" si="48"/>
        <v>7.357683232703219E-3</v>
      </c>
      <c r="S67" s="2"/>
      <c r="T67" s="6">
        <v>25252.95</v>
      </c>
      <c r="U67" s="2"/>
      <c r="V67" s="7">
        <f t="shared" si="49"/>
        <v>9.5374830491987018E-3</v>
      </c>
      <c r="W67" s="2"/>
      <c r="X67" s="6">
        <f t="shared" si="50"/>
        <v>-4919.369999999999</v>
      </c>
      <c r="Y67" s="2"/>
      <c r="Z67" s="7">
        <f t="shared" si="51"/>
        <v>-0.19480377540049773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6">
        <v>1630.06</v>
      </c>
      <c r="E68" s="2"/>
      <c r="F68" s="7">
        <f t="shared" si="44"/>
        <v>5.9490609059589918E-3</v>
      </c>
      <c r="G68" s="2"/>
      <c r="H68" s="6">
        <v>156.96</v>
      </c>
      <c r="I68" s="2"/>
      <c r="J68" s="7">
        <f t="shared" si="45"/>
        <v>6.1250443252084796E-4</v>
      </c>
      <c r="K68" s="2"/>
      <c r="L68" s="6">
        <f t="shared" si="46"/>
        <v>1473.1</v>
      </c>
      <c r="M68" s="2"/>
      <c r="N68" s="7">
        <f t="shared" si="47"/>
        <v>9.3851936799184497</v>
      </c>
      <c r="O68" s="11"/>
      <c r="P68" s="6">
        <v>4825.76</v>
      </c>
      <c r="Q68" s="2"/>
      <c r="R68" s="7">
        <f t="shared" si="48"/>
        <v>1.7461958709213963E-3</v>
      </c>
      <c r="S68" s="2"/>
      <c r="T68" s="6">
        <v>4656.54</v>
      </c>
      <c r="U68" s="2"/>
      <c r="V68" s="7">
        <f t="shared" si="49"/>
        <v>1.7586726033162747E-3</v>
      </c>
      <c r="W68" s="2"/>
      <c r="X68" s="6">
        <f t="shared" si="50"/>
        <v>169.22000000000025</v>
      </c>
      <c r="Y68" s="2"/>
      <c r="Z68" s="7">
        <f t="shared" si="51"/>
        <v>3.634028699420605E-2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346.61</v>
      </c>
      <c r="E69" s="2"/>
      <c r="F69" s="7">
        <f t="shared" si="44"/>
        <v>1.2649865652886682E-3</v>
      </c>
      <c r="G69" s="2"/>
      <c r="H69" s="6">
        <v>421.89</v>
      </c>
      <c r="I69" s="2"/>
      <c r="J69" s="7">
        <f t="shared" si="45"/>
        <v>1.6463398001797943E-3</v>
      </c>
      <c r="K69" s="2"/>
      <c r="L69" s="6">
        <f t="shared" si="46"/>
        <v>-75.279999999999973</v>
      </c>
      <c r="M69" s="2"/>
      <c r="N69" s="7">
        <f t="shared" si="47"/>
        <v>-0.17843513712105044</v>
      </c>
      <c r="O69" s="11"/>
      <c r="P69" s="6">
        <v>1761.86</v>
      </c>
      <c r="Q69" s="2"/>
      <c r="R69" s="7">
        <f t="shared" si="48"/>
        <v>6.375270749356725E-4</v>
      </c>
      <c r="S69" s="2"/>
      <c r="T69" s="6">
        <v>2586.7199999999998</v>
      </c>
      <c r="U69" s="2"/>
      <c r="V69" s="7">
        <f t="shared" si="49"/>
        <v>9.7694717460824424E-4</v>
      </c>
      <c r="W69" s="2"/>
      <c r="X69" s="6">
        <f t="shared" si="50"/>
        <v>-824.8599999999999</v>
      </c>
      <c r="Y69" s="2"/>
      <c r="Z69" s="7">
        <f t="shared" si="51"/>
        <v>-0.31888260035875549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6">
        <v>2161.3200000000002</v>
      </c>
      <c r="E70" s="2"/>
      <c r="F70" s="7">
        <f t="shared" si="44"/>
        <v>7.8879454236453189E-3</v>
      </c>
      <c r="G70" s="2"/>
      <c r="H70" s="6">
        <v>1130.46</v>
      </c>
      <c r="I70" s="2"/>
      <c r="J70" s="7">
        <f t="shared" si="45"/>
        <v>4.4113899132741958E-3</v>
      </c>
      <c r="K70" s="2"/>
      <c r="L70" s="6">
        <f t="shared" si="46"/>
        <v>1030.8600000000001</v>
      </c>
      <c r="M70" s="2"/>
      <c r="N70" s="7">
        <f t="shared" si="47"/>
        <v>0.9118942731277534</v>
      </c>
      <c r="O70" s="11"/>
      <c r="P70" s="6">
        <v>17179.740000000002</v>
      </c>
      <c r="Q70" s="2"/>
      <c r="R70" s="7">
        <f t="shared" si="48"/>
        <v>6.2164697480817837E-3</v>
      </c>
      <c r="S70" s="2"/>
      <c r="T70" s="6">
        <v>14879.56</v>
      </c>
      <c r="U70" s="2"/>
      <c r="V70" s="7">
        <f t="shared" si="49"/>
        <v>5.6196821076165363E-3</v>
      </c>
      <c r="W70" s="2"/>
      <c r="X70" s="6">
        <f t="shared" si="50"/>
        <v>2300.1800000000021</v>
      </c>
      <c r="Y70" s="2"/>
      <c r="Z70" s="7">
        <f t="shared" si="51"/>
        <v>0.15458656035527946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1.5957535788691017E-4</v>
      </c>
      <c r="S71" s="2"/>
      <c r="T71" s="6">
        <v>1522.08</v>
      </c>
      <c r="U71" s="2"/>
      <c r="V71" s="7">
        <f t="shared" si="49"/>
        <v>5.7485609402166318E-4</v>
      </c>
      <c r="W71" s="2"/>
      <c r="X71" s="6">
        <f t="shared" si="50"/>
        <v>-1081.08</v>
      </c>
      <c r="Y71" s="2"/>
      <c r="Z71" s="7">
        <f t="shared" si="51"/>
        <v>-0.71026490066225167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82.5</v>
      </c>
      <c r="Q72" s="2"/>
      <c r="R72" s="7">
        <f t="shared" si="48"/>
        <v>2.9852532938027417E-5</v>
      </c>
      <c r="S72" s="2"/>
      <c r="T72" s="6"/>
      <c r="U72" s="2"/>
      <c r="V72" s="7">
        <f t="shared" si="49"/>
        <v>0</v>
      </c>
      <c r="W72" s="2"/>
      <c r="X72" s="6">
        <f t="shared" si="50"/>
        <v>82.5</v>
      </c>
      <c r="Y72" s="2"/>
      <c r="Z72" s="7">
        <f t="shared" si="51"/>
        <v>0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6">
        <v>729.67</v>
      </c>
      <c r="E73" s="2"/>
      <c r="F73" s="7">
        <f t="shared" si="44"/>
        <v>2.6630009148442988E-3</v>
      </c>
      <c r="G73" s="2"/>
      <c r="H73" s="6"/>
      <c r="I73" s="2"/>
      <c r="J73" s="7">
        <f t="shared" si="45"/>
        <v>0</v>
      </c>
      <c r="K73" s="2"/>
      <c r="L73" s="6">
        <f t="shared" si="46"/>
        <v>729.67</v>
      </c>
      <c r="M73" s="2"/>
      <c r="N73" s="7">
        <f t="shared" si="47"/>
        <v>0</v>
      </c>
      <c r="O73" s="11"/>
      <c r="P73" s="6">
        <v>1952.09</v>
      </c>
      <c r="Q73" s="2"/>
      <c r="R73" s="7">
        <f t="shared" si="48"/>
        <v>7.0636158815750227E-4</v>
      </c>
      <c r="S73" s="2"/>
      <c r="T73" s="6">
        <v>3318.43</v>
      </c>
      <c r="U73" s="2"/>
      <c r="V73" s="7">
        <f t="shared" si="49"/>
        <v>1.2532979265769918E-3</v>
      </c>
      <c r="W73" s="2"/>
      <c r="X73" s="6">
        <f t="shared" si="50"/>
        <v>-1366.34</v>
      </c>
      <c r="Y73" s="2"/>
      <c r="Z73" s="7">
        <f t="shared" si="51"/>
        <v>-0.41174290251715417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193.15</v>
      </c>
      <c r="E74" s="1"/>
      <c r="F74" s="5">
        <f t="shared" ref="F74:F80" si="52">IF(D$12=0,0,D74/D$12)</f>
        <v>7.0491952074523592E-4</v>
      </c>
      <c r="G74" s="1"/>
      <c r="H74" s="1">
        <f>SUM(OSRRefH22_13x_0)</f>
        <v>-11.85</v>
      </c>
      <c r="I74" s="1"/>
      <c r="J74" s="5">
        <f t="shared" ref="J74:J80" si="53">IF(H$12=0,0,H74/H$12)</f>
        <v>-4.6242211553083891E-5</v>
      </c>
      <c r="K74" s="1"/>
      <c r="L74" s="1">
        <f t="shared" ref="L74:L80" si="54">+D74-H74</f>
        <v>205</v>
      </c>
      <c r="M74" s="1"/>
      <c r="N74" s="5">
        <f t="shared" ref="N74:N80" si="55">IF(H74=0,0,L74/H74)</f>
        <v>-17.299578059071731</v>
      </c>
      <c r="O74" s="13"/>
      <c r="P74" s="1">
        <f>SUM(OSRRefP22_13x_0)</f>
        <v>1316.4</v>
      </c>
      <c r="Q74" s="1"/>
      <c r="R74" s="5">
        <f t="shared" ref="R74:R80" si="56">IF(P$12=0,0,P74/P$12)</f>
        <v>4.7633787102568839E-4</v>
      </c>
      <c r="S74" s="1"/>
      <c r="T74" s="1">
        <f>SUM(OSRRefT22_13x_0)</f>
        <v>1067.5999999999999</v>
      </c>
      <c r="U74" s="1"/>
      <c r="V74" s="5">
        <f t="shared" ref="V74:V80" si="57">IF(T$12=0,0,T74/T$12)</f>
        <v>4.0320900739614708E-4</v>
      </c>
      <c r="W74" s="1"/>
      <c r="X74" s="1">
        <f t="shared" ref="X74:X80" si="58">+P74-T74</f>
        <v>248.80000000000018</v>
      </c>
      <c r="Y74" s="1"/>
      <c r="Z74" s="5">
        <f t="shared" ref="Z74:Z80" si="59">IF(T74=0,0,X74/T74)</f>
        <v>0.23304608467590876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193.15</v>
      </c>
      <c r="E75" s="2"/>
      <c r="F75" s="7">
        <f t="shared" si="52"/>
        <v>7.0491952074523592E-4</v>
      </c>
      <c r="G75" s="2"/>
      <c r="H75" s="6">
        <v>-11.85</v>
      </c>
      <c r="I75" s="2"/>
      <c r="J75" s="7">
        <f t="shared" si="53"/>
        <v>-4.6242211553083891E-5</v>
      </c>
      <c r="K75" s="2"/>
      <c r="L75" s="6">
        <f t="shared" si="54"/>
        <v>205</v>
      </c>
      <c r="M75" s="2"/>
      <c r="N75" s="7">
        <f t="shared" si="55"/>
        <v>-17.299578059071731</v>
      </c>
      <c r="O75" s="11"/>
      <c r="P75" s="6">
        <v>1316.4</v>
      </c>
      <c r="Q75" s="2"/>
      <c r="R75" s="7">
        <f t="shared" si="56"/>
        <v>4.7633787102568839E-4</v>
      </c>
      <c r="S75" s="2"/>
      <c r="T75" s="6">
        <v>1067.5999999999999</v>
      </c>
      <c r="U75" s="2"/>
      <c r="V75" s="7">
        <f t="shared" si="57"/>
        <v>4.0320900739614708E-4</v>
      </c>
      <c r="W75" s="2"/>
      <c r="X75" s="6">
        <f t="shared" si="58"/>
        <v>248.80000000000018</v>
      </c>
      <c r="Y75" s="2"/>
      <c r="Z75" s="7">
        <f t="shared" si="59"/>
        <v>0.23304608467590876</v>
      </c>
    </row>
    <row r="76" spans="1:26" s="26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2"/>
        <v>0</v>
      </c>
      <c r="G76" s="1"/>
      <c r="H76" s="1">
        <f>SUM(OSRRefH22_14x_0)</f>
        <v>0</v>
      </c>
      <c r="I76" s="1"/>
      <c r="J76" s="5">
        <f t="shared" si="53"/>
        <v>0</v>
      </c>
      <c r="K76" s="1"/>
      <c r="L76" s="1">
        <f t="shared" si="54"/>
        <v>0</v>
      </c>
      <c r="M76" s="1"/>
      <c r="N76" s="5">
        <f t="shared" si="55"/>
        <v>0</v>
      </c>
      <c r="O76" s="13"/>
      <c r="P76" s="1">
        <f>SUM(OSRRefP22_14x_0)</f>
        <v>617.37</v>
      </c>
      <c r="Q76" s="1"/>
      <c r="R76" s="5">
        <f t="shared" si="56"/>
        <v>2.2339464557515133E-4</v>
      </c>
      <c r="S76" s="1"/>
      <c r="T76" s="1">
        <f>SUM(OSRRefT22_14x_0)</f>
        <v>1537.24</v>
      </c>
      <c r="U76" s="1"/>
      <c r="V76" s="5">
        <f t="shared" si="57"/>
        <v>5.8058169214092654E-4</v>
      </c>
      <c r="W76" s="1"/>
      <c r="X76" s="1">
        <f t="shared" si="58"/>
        <v>-919.87</v>
      </c>
      <c r="Y76" s="1"/>
      <c r="Z76" s="5">
        <f t="shared" si="59"/>
        <v>-0.5983906221539903</v>
      </c>
    </row>
    <row r="77" spans="1:26" s="24" customFormat="1" hidden="1" outlineLevel="2" x14ac:dyDescent="0.25">
      <c r="A77" s="25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617.37</v>
      </c>
      <c r="Q77" s="2"/>
      <c r="R77" s="7">
        <f t="shared" si="56"/>
        <v>2.2339464557515133E-4</v>
      </c>
      <c r="S77" s="2"/>
      <c r="T77" s="6">
        <v>1537.24</v>
      </c>
      <c r="U77" s="2"/>
      <c r="V77" s="7">
        <f t="shared" si="57"/>
        <v>5.8058169214092654E-4</v>
      </c>
      <c r="W77" s="2"/>
      <c r="X77" s="6">
        <f t="shared" si="58"/>
        <v>-919.87</v>
      </c>
      <c r="Y77" s="2"/>
      <c r="Z77" s="7">
        <f t="shared" si="59"/>
        <v>-0.5983906221539903</v>
      </c>
    </row>
    <row r="78" spans="1:26" s="26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0</v>
      </c>
      <c r="I78" s="1"/>
      <c r="J78" s="5">
        <f t="shared" si="53"/>
        <v>0</v>
      </c>
      <c r="K78" s="1"/>
      <c r="L78" s="1">
        <f t="shared" si="54"/>
        <v>0</v>
      </c>
      <c r="M78" s="1"/>
      <c r="N78" s="5">
        <f t="shared" si="55"/>
        <v>0</v>
      </c>
      <c r="O78" s="13"/>
      <c r="P78" s="1">
        <f>SUM(OSRRefP22_15x_0)</f>
        <v>1429.86</v>
      </c>
      <c r="Q78" s="1"/>
      <c r="R78" s="5">
        <f t="shared" si="56"/>
        <v>5.1739324541536826E-4</v>
      </c>
      <c r="S78" s="1"/>
      <c r="T78" s="1">
        <f>SUM(OSRRefT22_15x_0)</f>
        <v>350.5</v>
      </c>
      <c r="U78" s="1"/>
      <c r="V78" s="5">
        <f t="shared" si="57"/>
        <v>1.3237613065975043E-4</v>
      </c>
      <c r="W78" s="1"/>
      <c r="X78" s="1">
        <f t="shared" si="58"/>
        <v>1079.3599999999999</v>
      </c>
      <c r="Y78" s="1"/>
      <c r="Z78" s="5">
        <f t="shared" si="59"/>
        <v>3.0794864479315263</v>
      </c>
    </row>
    <row r="79" spans="1:26" s="24" customFormat="1" hidden="1" outlineLevel="2" x14ac:dyDescent="0.25">
      <c r="A79" s="25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1429.86</v>
      </c>
      <c r="Q79" s="2"/>
      <c r="R79" s="7">
        <f t="shared" si="56"/>
        <v>5.1739324541536826E-4</v>
      </c>
      <c r="S79" s="2"/>
      <c r="T79" s="6"/>
      <c r="U79" s="2"/>
      <c r="V79" s="7">
        <f t="shared" si="57"/>
        <v>0</v>
      </c>
      <c r="W79" s="2"/>
      <c r="X79" s="6">
        <f t="shared" si="58"/>
        <v>1429.86</v>
      </c>
      <c r="Y79" s="2"/>
      <c r="Z79" s="7">
        <f t="shared" si="59"/>
        <v>0</v>
      </c>
    </row>
    <row r="80" spans="1:26" s="24" customFormat="1" hidden="1" outlineLevel="2" x14ac:dyDescent="0.25">
      <c r="A80" s="25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/>
      <c r="Q80" s="2"/>
      <c r="R80" s="7">
        <f t="shared" si="56"/>
        <v>0</v>
      </c>
      <c r="S80" s="2"/>
      <c r="T80" s="6">
        <v>350.5</v>
      </c>
      <c r="U80" s="2"/>
      <c r="V80" s="7">
        <f t="shared" si="57"/>
        <v>1.3237613065975043E-4</v>
      </c>
      <c r="W80" s="2"/>
      <c r="X80" s="6">
        <f t="shared" si="58"/>
        <v>-350.5</v>
      </c>
      <c r="Y80" s="2"/>
      <c r="Z80" s="7">
        <f t="shared" si="59"/>
        <v>-1</v>
      </c>
    </row>
    <row r="81" spans="1:26" s="59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1">
        <f>+D22-D24+D82</f>
        <v>74315.06</v>
      </c>
      <c r="E84" s="14"/>
      <c r="F84" s="22">
        <f>IF(D$12=0,0,D84/D$12)</f>
        <v>0.27121996624050454</v>
      </c>
      <c r="G84" s="14"/>
      <c r="H84" s="21">
        <f>+H22-H24+H82</f>
        <v>75305.309999999969</v>
      </c>
      <c r="I84" s="14"/>
      <c r="J84" s="22">
        <f>IF(H$12=0,0,H84/H$12)</f>
        <v>0.29386363511312763</v>
      </c>
      <c r="K84" s="16"/>
      <c r="L84" s="21">
        <f>+D84-H84</f>
        <v>-990.2499999999709</v>
      </c>
      <c r="M84" s="16"/>
      <c r="N84" s="22">
        <f>IF(H84=0,0,L84/H84)</f>
        <v>-1.3149803114813169E-2</v>
      </c>
      <c r="O84" s="29"/>
      <c r="P84" s="21">
        <f>+P22-P24+P82</f>
        <v>952034.84000000008</v>
      </c>
      <c r="Q84" s="14"/>
      <c r="R84" s="22">
        <f>IF(P$12=0,0,P84/P$12)</f>
        <v>0.34449274447575351</v>
      </c>
      <c r="S84" s="14"/>
      <c r="T84" s="21">
        <f>+T22-T24+T82</f>
        <v>955921.43000000017</v>
      </c>
      <c r="U84" s="14"/>
      <c r="V84" s="22">
        <f>IF(T$12=0,0,T84/T$12)</f>
        <v>0.36103047109311126</v>
      </c>
      <c r="W84" s="16"/>
      <c r="X84" s="21">
        <f>+P84-T84</f>
        <v>-3886.5900000000838</v>
      </c>
      <c r="Y84" s="16"/>
      <c r="Z84" s="22">
        <f>IF(T84=0,0,X84/T84)</f>
        <v>-4.0658048643182768E-3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19308.740000000002</v>
      </c>
      <c r="E86" s="4"/>
      <c r="F86" s="12">
        <f>IF(D$12=0,0,D86/D$12)</f>
        <v>7.0469105601834683E-2</v>
      </c>
      <c r="G86" s="4"/>
      <c r="H86" s="4">
        <v>11331.75</v>
      </c>
      <c r="I86" s="4"/>
      <c r="J86" s="12">
        <f>IF(H$12=0,0,H86/H$12)</f>
        <v>4.4219846478199022E-2</v>
      </c>
      <c r="K86" s="4"/>
      <c r="L86" s="4">
        <f>+D86-H86</f>
        <v>7976.9900000000016</v>
      </c>
      <c r="M86" s="4"/>
      <c r="N86" s="12">
        <f>IF(H86=0,0,L86/H86)</f>
        <v>0.70395040483596982</v>
      </c>
      <c r="O86" s="10"/>
      <c r="P86" s="4">
        <v>288202.73000000004</v>
      </c>
      <c r="Q86" s="4"/>
      <c r="R86" s="12">
        <f>IF(P$12=0,0,P86/P$12)</f>
        <v>0.10428583624429603</v>
      </c>
      <c r="S86" s="4"/>
      <c r="T86" s="4">
        <v>269410.69</v>
      </c>
      <c r="U86" s="4"/>
      <c r="V86" s="12">
        <f>IF(T$12=0,0,T86/T$12)</f>
        <v>0.10175048416711419</v>
      </c>
      <c r="W86" s="4"/>
      <c r="X86" s="4">
        <f>+P86-T86</f>
        <v>18792.040000000037</v>
      </c>
      <c r="Y86" s="4"/>
      <c r="Z86" s="12">
        <f>IF(T86=0,0,X86/T86)</f>
        <v>6.9752391785196183E-2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4">
        <f>+D84-D86</f>
        <v>55006.319999999992</v>
      </c>
      <c r="E88" s="14"/>
      <c r="F88" s="31">
        <f>IF(D$12=0,0,D88/D$12)</f>
        <v>0.20075086063866984</v>
      </c>
      <c r="G88" s="14"/>
      <c r="H88" s="34">
        <f>+H84-H86</f>
        <v>63973.559999999969</v>
      </c>
      <c r="I88" s="14"/>
      <c r="J88" s="31">
        <f>IF(H$12=0,0,H88/H$12)</f>
        <v>0.24964378863492862</v>
      </c>
      <c r="K88" s="16"/>
      <c r="L88" s="34">
        <f>D88-H88</f>
        <v>-8967.2399999999761</v>
      </c>
      <c r="M88" s="16"/>
      <c r="N88" s="31">
        <f>IF(H88=0,0,L88/H88)</f>
        <v>-0.14017103315807314</v>
      </c>
      <c r="O88" s="29"/>
      <c r="P88" s="34">
        <f>+P84-P86</f>
        <v>663832.1100000001</v>
      </c>
      <c r="Q88" s="14"/>
      <c r="R88" s="31">
        <f>IF(P$12=0,0,P88/P$12)</f>
        <v>0.24020690823145746</v>
      </c>
      <c r="S88" s="14"/>
      <c r="T88" s="34">
        <f>+T84-T86</f>
        <v>686510.74000000022</v>
      </c>
      <c r="U88" s="14"/>
      <c r="V88" s="31">
        <f>IF(T$12=0,0,T88/T$12)</f>
        <v>0.25927998692599713</v>
      </c>
      <c r="W88" s="16"/>
      <c r="X88" s="34">
        <f>P88-T88</f>
        <v>-22678.630000000121</v>
      </c>
      <c r="Y88" s="16"/>
      <c r="Z88" s="31">
        <f>IF(T88=0,0,X88/T88)</f>
        <v>-3.3034632495334469E-2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0">
        <f>SUM(D88:D90)</f>
        <v>55006.319999999992</v>
      </c>
      <c r="E91" s="14"/>
      <c r="F91" s="33">
        <f>IF(D$12=0,0,D91/D$12)</f>
        <v>0.20075086063866984</v>
      </c>
      <c r="G91" s="14"/>
      <c r="H91" s="30">
        <f>SUM(H88:H90)</f>
        <v>63973.559999999969</v>
      </c>
      <c r="I91" s="14"/>
      <c r="J91" s="33">
        <f>IF(H$12=0,0,H91/H$12)</f>
        <v>0.24964378863492862</v>
      </c>
      <c r="K91" s="16"/>
      <c r="L91" s="30">
        <f>+D91-H91</f>
        <v>-8967.2399999999761</v>
      </c>
      <c r="M91" s="16"/>
      <c r="N91" s="33">
        <f>IF(H91=0,0,L91/H91)</f>
        <v>-0.14017103315807314</v>
      </c>
      <c r="O91" s="29"/>
      <c r="P91" s="30">
        <f>SUM(P88:P90)</f>
        <v>663832.1100000001</v>
      </c>
      <c r="Q91" s="14"/>
      <c r="R91" s="33">
        <f>IF(P$12=0,0,P91/P$12)</f>
        <v>0.24020690823145746</v>
      </c>
      <c r="S91" s="14"/>
      <c r="T91" s="30">
        <f>SUM(T88:T90)</f>
        <v>686510.74000000022</v>
      </c>
      <c r="U91" s="14"/>
      <c r="V91" s="33">
        <f>IF(T$12=0,0,T91/T$12)</f>
        <v>0.25927998692599713</v>
      </c>
      <c r="W91" s="16"/>
      <c r="X91" s="30">
        <f>+P91-T91</f>
        <v>-22678.630000000121</v>
      </c>
      <c r="Y91" s="16"/>
      <c r="Z91" s="33">
        <f>IF(T91=0,0,X91/T91)</f>
        <v>-3.3034632495334469E-2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1">
        <v>43879.554352777777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 t="s">
        <v>313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8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","435", " - ", "Ground Floor Coffee House")</f>
        <v>Department 435 - Ground Floor Coffee House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605.88</v>
      </c>
      <c r="I12" s="4"/>
      <c r="J12" s="12"/>
      <c r="K12" s="4"/>
      <c r="L12" s="4">
        <f t="shared" ref="L12:L15" si="0">+D12-H12</f>
        <v>-605.88</v>
      </c>
      <c r="M12" s="4"/>
      <c r="N12" s="12">
        <f t="shared" ref="N12:N15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5904</v>
      </c>
      <c r="U12" s="4"/>
      <c r="V12" s="12"/>
      <c r="W12" s="4"/>
      <c r="X12" s="4">
        <f t="shared" ref="X12:X15" si="2">+P12-T12</f>
        <v>-724.97999999999956</v>
      </c>
      <c r="Y12" s="4"/>
      <c r="Z12" s="12">
        <f t="shared" ref="Z12:Z15" si="3">IF(T12=0,0,X12/T12)</f>
        <v>-0.1227947154471544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--86.24</f>
        <v>86.24</v>
      </c>
      <c r="I13" s="2"/>
      <c r="J13" s="19"/>
      <c r="K13" s="2"/>
      <c r="L13" s="2">
        <f t="shared" si="0"/>
        <v>-86.24</v>
      </c>
      <c r="M13" s="2"/>
      <c r="N13" s="19">
        <f t="shared" si="1"/>
        <v>-1</v>
      </c>
      <c r="O13" s="11"/>
      <c r="P13" s="2">
        <f>--973.49</f>
        <v>973.49</v>
      </c>
      <c r="Q13" s="2"/>
      <c r="R13" s="19"/>
      <c r="S13" s="2"/>
      <c r="T13" s="2">
        <f>--830.03</f>
        <v>830.03</v>
      </c>
      <c r="U13" s="2"/>
      <c r="V13" s="19"/>
      <c r="W13" s="2"/>
      <c r="X13" s="2">
        <f t="shared" si="2"/>
        <v>143.46000000000004</v>
      </c>
      <c r="Y13" s="2"/>
      <c r="Z13" s="19">
        <f t="shared" si="3"/>
        <v>0.17283712636892648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--519.64</f>
        <v>519.64</v>
      </c>
      <c r="I15" s="2"/>
      <c r="J15" s="19"/>
      <c r="K15" s="2"/>
      <c r="L15" s="2">
        <f t="shared" si="0"/>
        <v>-519.64</v>
      </c>
      <c r="M15" s="2"/>
      <c r="N15" s="19">
        <f t="shared" si="1"/>
        <v>-1</v>
      </c>
      <c r="O15" s="11"/>
      <c r="P15" s="2">
        <f>--3733.9</f>
        <v>3733.9</v>
      </c>
      <c r="Q15" s="2"/>
      <c r="R15" s="19"/>
      <c r="S15" s="2"/>
      <c r="T15" s="2">
        <f>--4821.22</f>
        <v>4821.22</v>
      </c>
      <c r="U15" s="2"/>
      <c r="V15" s="19"/>
      <c r="W15" s="2"/>
      <c r="X15" s="2">
        <f t="shared" si="2"/>
        <v>-1087.3200000000002</v>
      </c>
      <c r="Y15" s="2"/>
      <c r="Z15" s="19">
        <f t="shared" si="3"/>
        <v>-0.22552797839550986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263.3</v>
      </c>
      <c r="I17" s="4"/>
      <c r="J17" s="12">
        <f t="shared" ref="J17:J19" si="6">IF(H$12=0,0,H17/H$12)</f>
        <v>0.43457450320195423</v>
      </c>
      <c r="K17" s="4"/>
      <c r="L17" s="4">
        <f t="shared" ref="L17:L19" si="7">+D17-H17</f>
        <v>-263.3</v>
      </c>
      <c r="M17" s="4"/>
      <c r="N17" s="12">
        <f t="shared" ref="N17:N19" si="8">IF(H17=0,0,L17/H17)</f>
        <v>-1</v>
      </c>
      <c r="O17" s="10"/>
      <c r="P17" s="4">
        <f>SUM(OSRRefP16x_0)</f>
        <v>1954.47</v>
      </c>
      <c r="Q17" s="4"/>
      <c r="R17" s="12">
        <f t="shared" ref="R17:R19" si="9">IF(P$12=0,0,P17/P$12)</f>
        <v>0.37738220744465167</v>
      </c>
      <c r="S17" s="4"/>
      <c r="T17" s="4">
        <f>SUM(OSRRefT16x_0)</f>
        <v>3146.2599999999998</v>
      </c>
      <c r="U17" s="4"/>
      <c r="V17" s="12">
        <f t="shared" ref="V17:V19" si="10">IF(T$12=0,0,T17/T$12)</f>
        <v>0.53290311653116529</v>
      </c>
      <c r="W17" s="4"/>
      <c r="X17" s="4">
        <f t="shared" ref="X17:X19" si="11">+P17-T17</f>
        <v>-1191.7899999999997</v>
      </c>
      <c r="Y17" s="4"/>
      <c r="Z17" s="12">
        <f t="shared" ref="Z17:Z19" si="12">IF(T17=0,0,X17/T17)</f>
        <v>-0.37879577657281976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738.21</v>
      </c>
      <c r="I18" s="2"/>
      <c r="J18" s="19">
        <f t="shared" si="6"/>
        <v>1.2184095860566448</v>
      </c>
      <c r="K18" s="2"/>
      <c r="L18" s="2">
        <f t="shared" si="7"/>
        <v>-738.21</v>
      </c>
      <c r="M18" s="2"/>
      <c r="N18" s="19">
        <f t="shared" si="8"/>
        <v>-1</v>
      </c>
      <c r="O18" s="11"/>
      <c r="P18" s="2">
        <v>3948.48</v>
      </c>
      <c r="Q18" s="2"/>
      <c r="R18" s="19">
        <f t="shared" si="9"/>
        <v>0.762399063915567</v>
      </c>
      <c r="S18" s="2"/>
      <c r="T18" s="2">
        <v>2876.58</v>
      </c>
      <c r="U18" s="2"/>
      <c r="V18" s="19">
        <f t="shared" si="10"/>
        <v>0.48722560975609752</v>
      </c>
      <c r="W18" s="2"/>
      <c r="X18" s="2">
        <f t="shared" si="11"/>
        <v>1071.9000000000001</v>
      </c>
      <c r="Y18" s="2"/>
      <c r="Z18" s="19">
        <f t="shared" si="12"/>
        <v>0.37262999812277081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-474.91</v>
      </c>
      <c r="I19" s="2"/>
      <c r="J19" s="19">
        <f t="shared" si="6"/>
        <v>-0.78383508285469072</v>
      </c>
      <c r="K19" s="2"/>
      <c r="L19" s="2">
        <f t="shared" si="7"/>
        <v>474.91</v>
      </c>
      <c r="M19" s="2"/>
      <c r="N19" s="19">
        <f t="shared" si="8"/>
        <v>-1</v>
      </c>
      <c r="O19" s="11"/>
      <c r="P19" s="2">
        <v>-1994.01</v>
      </c>
      <c r="Q19" s="2"/>
      <c r="R19" s="19">
        <f t="shared" si="9"/>
        <v>-0.38501685647091533</v>
      </c>
      <c r="S19" s="2"/>
      <c r="T19" s="2">
        <v>269.68</v>
      </c>
      <c r="U19" s="2"/>
      <c r="V19" s="19">
        <f t="shared" si="10"/>
        <v>4.5677506775067753E-2</v>
      </c>
      <c r="W19" s="2"/>
      <c r="X19" s="2">
        <f t="shared" si="11"/>
        <v>-2263.69</v>
      </c>
      <c r="Y19" s="2"/>
      <c r="Z19" s="19">
        <f t="shared" si="12"/>
        <v>-8.3939854642539302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0</v>
      </c>
      <c r="E21" s="14"/>
      <c r="F21" s="22">
        <f>IF(D$12=0,0,D21/D$12)</f>
        <v>0</v>
      </c>
      <c r="G21" s="14"/>
      <c r="H21" s="21">
        <f>H12-H17</f>
        <v>342.58</v>
      </c>
      <c r="I21" s="14"/>
      <c r="J21" s="22">
        <f>IF(H$12=0,0,H21/H$12)</f>
        <v>0.56542549679804577</v>
      </c>
      <c r="K21" s="16"/>
      <c r="L21" s="21">
        <f>+D21-H21</f>
        <v>-342.58</v>
      </c>
      <c r="M21" s="16"/>
      <c r="N21" s="22">
        <f>IF(H21=0,0,L21/H21)</f>
        <v>-1</v>
      </c>
      <c r="O21" s="29"/>
      <c r="P21" s="21">
        <f>P12-P17</f>
        <v>3224.55</v>
      </c>
      <c r="Q21" s="14"/>
      <c r="R21" s="22">
        <f>IF(P$12=0,0,P21/P$12)</f>
        <v>0.62261779255534833</v>
      </c>
      <c r="S21" s="14"/>
      <c r="T21" s="21">
        <f>T12-T17</f>
        <v>2757.7400000000002</v>
      </c>
      <c r="U21" s="14"/>
      <c r="V21" s="22">
        <f>IF(T$12=0,0,T21/T$12)</f>
        <v>0.46709688346883471</v>
      </c>
      <c r="W21" s="16"/>
      <c r="X21" s="21">
        <f>+P21-T21</f>
        <v>466.80999999999995</v>
      </c>
      <c r="Y21" s="16"/>
      <c r="Z21" s="22">
        <f>IF(T21=0,0,X21/T21)</f>
        <v>0.16927266529839649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191.53</v>
      </c>
      <c r="E23" s="20"/>
      <c r="F23" s="32">
        <f t="shared" ref="F23:F27" si="13">IF(D$12=0,0,D23/D$12)</f>
        <v>0</v>
      </c>
      <c r="G23" s="20"/>
      <c r="H23" s="20">
        <f>SUM(OSRRefH22x_0)</f>
        <v>2652.4</v>
      </c>
      <c r="I23" s="20"/>
      <c r="J23" s="32">
        <f t="shared" ref="J23:J27" si="14">IF(H$12=0,0,H23/H$12)</f>
        <v>4.3777645738430051</v>
      </c>
      <c r="K23" s="4"/>
      <c r="L23" s="20">
        <f t="shared" ref="L23:L27" si="15">+D23-H23</f>
        <v>-2460.87</v>
      </c>
      <c r="M23" s="4"/>
      <c r="N23" s="32">
        <f t="shared" ref="N23:N27" si="16">IF(H23=0,0,L23/H23)</f>
        <v>-0.92778992610465982</v>
      </c>
      <c r="O23" s="10"/>
      <c r="P23" s="20">
        <f>SUM(OSRRefP22x_0)</f>
        <v>15587.219999999998</v>
      </c>
      <c r="Q23" s="20"/>
      <c r="R23" s="32">
        <f t="shared" ref="R23:R27" si="17">IF(P$12=0,0,P23/P$12)</f>
        <v>3.0096852300242123</v>
      </c>
      <c r="S23" s="20"/>
      <c r="T23" s="20">
        <f>SUM(OSRRefT22x_0)</f>
        <v>11792.950000000003</v>
      </c>
      <c r="U23" s="20"/>
      <c r="V23" s="32">
        <f t="shared" ref="V23:V27" si="18">IF(T$12=0,0,T23/T$12)</f>
        <v>1.9974508807588081</v>
      </c>
      <c r="W23" s="4"/>
      <c r="X23" s="20">
        <f t="shared" ref="X23:X27" si="19">+P23-T23</f>
        <v>3794.269999999995</v>
      </c>
      <c r="Y23" s="4"/>
      <c r="Z23" s="32">
        <f t="shared" ref="Z23:Z27" si="20">IF(T23=0,0,X23/T23)</f>
        <v>0.3217405314191949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5.5</v>
      </c>
      <c r="E24" s="1"/>
      <c r="F24" s="5">
        <f t="shared" si="13"/>
        <v>0</v>
      </c>
      <c r="G24" s="1"/>
      <c r="H24" s="1">
        <f>SUM(OSRRefH22_0x_0)</f>
        <v>72.66</v>
      </c>
      <c r="I24" s="1"/>
      <c r="J24" s="5">
        <f t="shared" si="14"/>
        <v>0.11992473757179639</v>
      </c>
      <c r="K24" s="1"/>
      <c r="L24" s="1">
        <f t="shared" si="15"/>
        <v>-67.16</v>
      </c>
      <c r="M24" s="1"/>
      <c r="N24" s="5">
        <f t="shared" si="16"/>
        <v>-0.92430498210845036</v>
      </c>
      <c r="O24" s="13"/>
      <c r="P24" s="1">
        <f>SUM(OSRRefP22_0x_0)</f>
        <v>858.58</v>
      </c>
      <c r="Q24" s="1"/>
      <c r="R24" s="5">
        <f t="shared" si="17"/>
        <v>0.16578039860823091</v>
      </c>
      <c r="S24" s="1"/>
      <c r="T24" s="1">
        <f>SUM(OSRRefT22_0x_0)</f>
        <v>684.49</v>
      </c>
      <c r="U24" s="1"/>
      <c r="V24" s="5">
        <f t="shared" si="18"/>
        <v>0.11593665311653116</v>
      </c>
      <c r="W24" s="1"/>
      <c r="X24" s="1">
        <f t="shared" si="19"/>
        <v>174.09000000000003</v>
      </c>
      <c r="Y24" s="1"/>
      <c r="Z24" s="5">
        <f t="shared" si="20"/>
        <v>0.25433534456310541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56.5</v>
      </c>
      <c r="I25" s="2"/>
      <c r="J25" s="7">
        <f t="shared" si="14"/>
        <v>9.3252789331220706E-2</v>
      </c>
      <c r="K25" s="2"/>
      <c r="L25" s="6">
        <f t="shared" si="15"/>
        <v>-56.5</v>
      </c>
      <c r="M25" s="2"/>
      <c r="N25" s="7">
        <f t="shared" si="16"/>
        <v>-1</v>
      </c>
      <c r="O25" s="11"/>
      <c r="P25" s="6">
        <v>602.38</v>
      </c>
      <c r="Q25" s="2"/>
      <c r="R25" s="7">
        <f t="shared" si="17"/>
        <v>0.11631158018312343</v>
      </c>
      <c r="S25" s="2"/>
      <c r="T25" s="6">
        <v>543.59</v>
      </c>
      <c r="U25" s="2"/>
      <c r="V25" s="7">
        <f t="shared" si="18"/>
        <v>9.2071476964769652E-2</v>
      </c>
      <c r="W25" s="2"/>
      <c r="X25" s="6">
        <f t="shared" si="19"/>
        <v>58.789999999999964</v>
      </c>
      <c r="Y25" s="2"/>
      <c r="Z25" s="7">
        <f t="shared" si="20"/>
        <v>0.10815136407954518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4.84</v>
      </c>
      <c r="E26" s="2"/>
      <c r="F26" s="7">
        <f t="shared" si="13"/>
        <v>0</v>
      </c>
      <c r="G26" s="2"/>
      <c r="H26" s="6">
        <v>13.27</v>
      </c>
      <c r="I26" s="2"/>
      <c r="J26" s="7">
        <f t="shared" si="14"/>
        <v>2.1902026803987586E-2</v>
      </c>
      <c r="K26" s="2"/>
      <c r="L26" s="6">
        <f t="shared" si="15"/>
        <v>-8.43</v>
      </c>
      <c r="M26" s="2"/>
      <c r="N26" s="7">
        <f t="shared" si="16"/>
        <v>-0.63526752072343629</v>
      </c>
      <c r="O26" s="11"/>
      <c r="P26" s="6">
        <v>221.3</v>
      </c>
      <c r="Q26" s="2"/>
      <c r="R26" s="7">
        <f t="shared" si="17"/>
        <v>4.2730091793428099E-2</v>
      </c>
      <c r="S26" s="2"/>
      <c r="T26" s="6">
        <v>115.65</v>
      </c>
      <c r="U26" s="2"/>
      <c r="V26" s="7">
        <f t="shared" si="18"/>
        <v>1.9588414634146342E-2</v>
      </c>
      <c r="W26" s="2"/>
      <c r="X26" s="6">
        <f t="shared" si="19"/>
        <v>105.65</v>
      </c>
      <c r="Y26" s="2"/>
      <c r="Z26" s="7">
        <f t="shared" si="20"/>
        <v>0.91353220925205358</v>
      </c>
    </row>
    <row r="27" spans="1:26" s="24" customFormat="1" hidden="1" outlineLevel="2" x14ac:dyDescent="0.25">
      <c r="A27" s="25"/>
      <c r="B27" s="11" t="str">
        <f>CONCATENATE("          ", "6114", " - ", "STATE UNEMPLOYMENT INSURANCE")</f>
        <v xml:space="preserve">          6114 - STATE UNEMPLOYMENT INSURANCE</v>
      </c>
      <c r="C27" s="11"/>
      <c r="D27" s="6">
        <v>0.66</v>
      </c>
      <c r="E27" s="2"/>
      <c r="F27" s="7">
        <f t="shared" si="13"/>
        <v>0</v>
      </c>
      <c r="G27" s="2"/>
      <c r="H27" s="6">
        <v>2.89</v>
      </c>
      <c r="I27" s="2"/>
      <c r="J27" s="7">
        <f t="shared" si="14"/>
        <v>4.7699214365881032E-3</v>
      </c>
      <c r="K27" s="2"/>
      <c r="L27" s="6">
        <f t="shared" si="15"/>
        <v>-2.23</v>
      </c>
      <c r="M27" s="2"/>
      <c r="N27" s="7">
        <f t="shared" si="16"/>
        <v>-0.77162629757785461</v>
      </c>
      <c r="O27" s="11"/>
      <c r="P27" s="6">
        <v>34.9</v>
      </c>
      <c r="Q27" s="2"/>
      <c r="R27" s="7">
        <f t="shared" si="17"/>
        <v>6.7387266316793516E-3</v>
      </c>
      <c r="S27" s="2"/>
      <c r="T27" s="6">
        <v>25.25</v>
      </c>
      <c r="U27" s="2"/>
      <c r="V27" s="7">
        <f t="shared" si="18"/>
        <v>4.276761517615176E-3</v>
      </c>
      <c r="W27" s="2"/>
      <c r="X27" s="6">
        <f t="shared" si="19"/>
        <v>9.6499999999999986</v>
      </c>
      <c r="Y27" s="2"/>
      <c r="Z27" s="7">
        <f t="shared" si="20"/>
        <v>0.38217821782178213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1">IF(D$12=0,0,D28/D$12)</f>
        <v>0</v>
      </c>
      <c r="G28" s="1"/>
      <c r="H28" s="1">
        <f>SUM(OSRRefH22_1x_0)</f>
        <v>786.5</v>
      </c>
      <c r="I28" s="1"/>
      <c r="J28" s="5">
        <f t="shared" ref="J28:J31" si="22">IF(H$12=0,0,H28/H$12)</f>
        <v>1.2981118373275236</v>
      </c>
      <c r="K28" s="1"/>
      <c r="L28" s="1">
        <f t="shared" ref="L28:L31" si="23">+D28-H28</f>
        <v>-786.5</v>
      </c>
      <c r="M28" s="1"/>
      <c r="N28" s="5">
        <f t="shared" ref="N28:N31" si="24">IF(H28=0,0,L28/H28)</f>
        <v>-1</v>
      </c>
      <c r="O28" s="13"/>
      <c r="P28" s="1">
        <f>SUM(OSRRefP22_1x_0)</f>
        <v>10914.98</v>
      </c>
      <c r="Q28" s="1"/>
      <c r="R28" s="5">
        <f t="shared" ref="R28:R31" si="25">IF(P$12=0,0,P28/P$12)</f>
        <v>2.1075377194913321</v>
      </c>
      <c r="S28" s="1"/>
      <c r="T28" s="1">
        <f>SUM(OSRRefT22_1x_0)</f>
        <v>9202.2099999999991</v>
      </c>
      <c r="U28" s="1"/>
      <c r="V28" s="5">
        <f t="shared" ref="V28:V31" si="26">IF(T$12=0,0,T28/T$12)</f>
        <v>1.5586399051490514</v>
      </c>
      <c r="W28" s="1"/>
      <c r="X28" s="1">
        <f t="shared" ref="X28:X31" si="27">+P28-T28</f>
        <v>1712.7700000000004</v>
      </c>
      <c r="Y28" s="1"/>
      <c r="Z28" s="5">
        <f t="shared" ref="Z28:Z31" si="28">IF(T28=0,0,X28/T28)</f>
        <v>0.18612594148579534</v>
      </c>
    </row>
    <row r="29" spans="1:26" s="24" customFormat="1" hidden="1" outlineLevel="2" x14ac:dyDescent="0.25">
      <c r="A29" s="25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1"/>
        <v>0</v>
      </c>
      <c r="G29" s="2"/>
      <c r="H29" s="6">
        <v>738.5</v>
      </c>
      <c r="I29" s="2"/>
      <c r="J29" s="7">
        <f t="shared" si="22"/>
        <v>1.2188882286921503</v>
      </c>
      <c r="K29" s="2"/>
      <c r="L29" s="6">
        <f t="shared" si="23"/>
        <v>-738.5</v>
      </c>
      <c r="M29" s="2"/>
      <c r="N29" s="7">
        <f t="shared" si="24"/>
        <v>-1</v>
      </c>
      <c r="O29" s="11"/>
      <c r="P29" s="6">
        <v>7765.17</v>
      </c>
      <c r="Q29" s="2"/>
      <c r="R29" s="7">
        <f t="shared" si="25"/>
        <v>1.4993512286108182</v>
      </c>
      <c r="S29" s="2"/>
      <c r="T29" s="6">
        <v>7105.46</v>
      </c>
      <c r="U29" s="2"/>
      <c r="V29" s="7">
        <f t="shared" si="26"/>
        <v>1.2034993224932249</v>
      </c>
      <c r="W29" s="2"/>
      <c r="X29" s="6">
        <f t="shared" si="27"/>
        <v>659.71</v>
      </c>
      <c r="Y29" s="2"/>
      <c r="Z29" s="7">
        <f t="shared" si="28"/>
        <v>9.2845501909798941E-2</v>
      </c>
    </row>
    <row r="30" spans="1:26" s="24" customFormat="1" hidden="1" outlineLevel="2" x14ac:dyDescent="0.25">
      <c r="A30" s="25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1"/>
        <v>0</v>
      </c>
      <c r="G30" s="2"/>
      <c r="H30" s="6"/>
      <c r="I30" s="2"/>
      <c r="J30" s="7">
        <f t="shared" si="22"/>
        <v>0</v>
      </c>
      <c r="K30" s="2"/>
      <c r="L30" s="6">
        <f t="shared" si="23"/>
        <v>0</v>
      </c>
      <c r="M30" s="2"/>
      <c r="N30" s="7">
        <f t="shared" si="24"/>
        <v>0</v>
      </c>
      <c r="O30" s="11"/>
      <c r="P30" s="6">
        <v>73.31</v>
      </c>
      <c r="Q30" s="2"/>
      <c r="R30" s="7">
        <f t="shared" si="25"/>
        <v>1.4155187660986054E-2</v>
      </c>
      <c r="S30" s="2"/>
      <c r="T30" s="6"/>
      <c r="U30" s="2"/>
      <c r="V30" s="7">
        <f t="shared" si="26"/>
        <v>0</v>
      </c>
      <c r="W30" s="2"/>
      <c r="X30" s="6">
        <f t="shared" si="27"/>
        <v>73.31</v>
      </c>
      <c r="Y30" s="2"/>
      <c r="Z30" s="7">
        <f t="shared" si="28"/>
        <v>0</v>
      </c>
    </row>
    <row r="31" spans="1:26" s="24" customFormat="1" hidden="1" outlineLevel="2" x14ac:dyDescent="0.25">
      <c r="A31" s="25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1"/>
        <v>0</v>
      </c>
      <c r="G31" s="2"/>
      <c r="H31" s="6">
        <v>48</v>
      </c>
      <c r="I31" s="2"/>
      <c r="J31" s="7">
        <f t="shared" si="22"/>
        <v>7.9223608635373338E-2</v>
      </c>
      <c r="K31" s="2"/>
      <c r="L31" s="6">
        <f t="shared" si="23"/>
        <v>-48</v>
      </c>
      <c r="M31" s="2"/>
      <c r="N31" s="7">
        <f t="shared" si="24"/>
        <v>-1</v>
      </c>
      <c r="O31" s="11"/>
      <c r="P31" s="6">
        <v>3076.5</v>
      </c>
      <c r="Q31" s="2"/>
      <c r="R31" s="7">
        <f t="shared" si="25"/>
        <v>0.59403130321952802</v>
      </c>
      <c r="S31" s="2"/>
      <c r="T31" s="6">
        <v>2096.75</v>
      </c>
      <c r="U31" s="2"/>
      <c r="V31" s="7">
        <f t="shared" si="26"/>
        <v>0.35514058265582654</v>
      </c>
      <c r="W31" s="2"/>
      <c r="X31" s="6">
        <f t="shared" si="27"/>
        <v>979.75</v>
      </c>
      <c r="Y31" s="2"/>
      <c r="Z31" s="7">
        <f t="shared" si="28"/>
        <v>0.46727077620126384</v>
      </c>
    </row>
    <row r="32" spans="1:26" s="26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8" si="29">IF(D$12=0,0,D32/D$12)</f>
        <v>0</v>
      </c>
      <c r="G32" s="1"/>
      <c r="H32" s="1">
        <f>SUM(OSRRefH22_2x_0)</f>
        <v>0</v>
      </c>
      <c r="I32" s="1"/>
      <c r="J32" s="5">
        <f t="shared" ref="J32:J48" si="30">IF(H$12=0,0,H32/H$12)</f>
        <v>0</v>
      </c>
      <c r="K32" s="1"/>
      <c r="L32" s="1">
        <f t="shared" ref="L32:L48" si="31">+D32-H32</f>
        <v>0</v>
      </c>
      <c r="M32" s="1"/>
      <c r="N32" s="5">
        <f t="shared" ref="N32:N48" si="32">IF(H32=0,0,L32/H32)</f>
        <v>0</v>
      </c>
      <c r="O32" s="13"/>
      <c r="P32" s="1">
        <f>SUM(OSRRefP22_2x_0)</f>
        <v>0</v>
      </c>
      <c r="Q32" s="1"/>
      <c r="R32" s="5">
        <f t="shared" ref="R32:R48" si="33">IF(P$12=0,0,P32/P$12)</f>
        <v>0</v>
      </c>
      <c r="S32" s="1"/>
      <c r="T32" s="1">
        <f>SUM(OSRRefT22_2x_0)</f>
        <v>12</v>
      </c>
      <c r="U32" s="1"/>
      <c r="V32" s="5">
        <f t="shared" ref="V32:V48" si="34">IF(T$12=0,0,T32/T$12)</f>
        <v>2.0325203252032522E-3</v>
      </c>
      <c r="W32" s="1"/>
      <c r="X32" s="1">
        <f t="shared" ref="X32:X48" si="35">+P32-T32</f>
        <v>-12</v>
      </c>
      <c r="Y32" s="1"/>
      <c r="Z32" s="5">
        <f t="shared" ref="Z32:Z48" si="36">IF(T32=0,0,X32/T32)</f>
        <v>-1</v>
      </c>
    </row>
    <row r="33" spans="1:26" s="24" customFormat="1" hidden="1" outlineLevel="2" x14ac:dyDescent="0.25">
      <c r="A33" s="25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29"/>
        <v>0</v>
      </c>
      <c r="G33" s="2"/>
      <c r="H33" s="6"/>
      <c r="I33" s="2"/>
      <c r="J33" s="7">
        <f t="shared" si="30"/>
        <v>0</v>
      </c>
      <c r="K33" s="2"/>
      <c r="L33" s="6">
        <f t="shared" si="31"/>
        <v>0</v>
      </c>
      <c r="M33" s="2"/>
      <c r="N33" s="7">
        <f t="shared" si="32"/>
        <v>0</v>
      </c>
      <c r="O33" s="11"/>
      <c r="P33" s="6"/>
      <c r="Q33" s="2"/>
      <c r="R33" s="7">
        <f t="shared" si="33"/>
        <v>0</v>
      </c>
      <c r="S33" s="2"/>
      <c r="T33" s="6">
        <v>12</v>
      </c>
      <c r="U33" s="2"/>
      <c r="V33" s="7">
        <f t="shared" si="34"/>
        <v>2.0325203252032522E-3</v>
      </c>
      <c r="W33" s="2"/>
      <c r="X33" s="6">
        <f t="shared" si="35"/>
        <v>-12</v>
      </c>
      <c r="Y33" s="2"/>
      <c r="Z33" s="7">
        <f t="shared" si="36"/>
        <v>-1</v>
      </c>
    </row>
    <row r="34" spans="1:26" s="26" customFormat="1" outlineLevel="1" collapsed="1" x14ac:dyDescent="0.25">
      <c r="A34" s="27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29"/>
        <v>0</v>
      </c>
      <c r="G34" s="1"/>
      <c r="H34" s="1">
        <f>SUM(OSRRefH22_3x_0)</f>
        <v>0.03</v>
      </c>
      <c r="I34" s="1"/>
      <c r="J34" s="5">
        <f t="shared" si="30"/>
        <v>4.9514755397108337E-5</v>
      </c>
      <c r="K34" s="1"/>
      <c r="L34" s="1">
        <f t="shared" si="31"/>
        <v>-0.03</v>
      </c>
      <c r="M34" s="1"/>
      <c r="N34" s="5">
        <f t="shared" si="32"/>
        <v>-1</v>
      </c>
      <c r="O34" s="13"/>
      <c r="P34" s="1">
        <f>SUM(OSRRefP22_3x_0)</f>
        <v>-1.41</v>
      </c>
      <c r="Q34" s="1"/>
      <c r="R34" s="5">
        <f t="shared" si="33"/>
        <v>-2.7225227938876463E-4</v>
      </c>
      <c r="S34" s="1"/>
      <c r="T34" s="1">
        <f>SUM(OSRRefT22_3x_0)</f>
        <v>-1.73</v>
      </c>
      <c r="U34" s="1"/>
      <c r="V34" s="5">
        <f t="shared" si="34"/>
        <v>-2.9302168021680218E-4</v>
      </c>
      <c r="W34" s="1"/>
      <c r="X34" s="1">
        <f t="shared" si="35"/>
        <v>0.32000000000000006</v>
      </c>
      <c r="Y34" s="1"/>
      <c r="Z34" s="5">
        <f t="shared" si="36"/>
        <v>-0.184971098265896</v>
      </c>
    </row>
    <row r="35" spans="1:26" s="24" customFormat="1" hidden="1" outlineLevel="2" x14ac:dyDescent="0.25">
      <c r="A35" s="25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29"/>
        <v>0</v>
      </c>
      <c r="G35" s="2"/>
      <c r="H35" s="6">
        <v>0.03</v>
      </c>
      <c r="I35" s="2"/>
      <c r="J35" s="7">
        <f t="shared" si="30"/>
        <v>4.9514755397108337E-5</v>
      </c>
      <c r="K35" s="2"/>
      <c r="L35" s="6">
        <f t="shared" si="31"/>
        <v>-0.03</v>
      </c>
      <c r="M35" s="2"/>
      <c r="N35" s="7">
        <f t="shared" si="32"/>
        <v>-1</v>
      </c>
      <c r="O35" s="11"/>
      <c r="P35" s="6">
        <v>-1.41</v>
      </c>
      <c r="Q35" s="2"/>
      <c r="R35" s="7">
        <f t="shared" si="33"/>
        <v>-2.7225227938876463E-4</v>
      </c>
      <c r="S35" s="2"/>
      <c r="T35" s="6">
        <v>-1.73</v>
      </c>
      <c r="U35" s="2"/>
      <c r="V35" s="7">
        <f t="shared" si="34"/>
        <v>-2.9302168021680218E-4</v>
      </c>
      <c r="W35" s="2"/>
      <c r="X35" s="6">
        <f t="shared" si="35"/>
        <v>0.32000000000000006</v>
      </c>
      <c r="Y35" s="2"/>
      <c r="Z35" s="7">
        <f t="shared" si="36"/>
        <v>-0.184971098265896</v>
      </c>
    </row>
    <row r="36" spans="1:26" s="26" customFormat="1" outlineLevel="1" collapsed="1" x14ac:dyDescent="0.25">
      <c r="A36" s="27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29"/>
        <v>0</v>
      </c>
      <c r="G36" s="1"/>
      <c r="H36" s="1">
        <f>SUM(OSRRefH22_4x_0)</f>
        <v>9.31</v>
      </c>
      <c r="I36" s="1"/>
      <c r="J36" s="5">
        <f t="shared" si="30"/>
        <v>1.5366079091569288E-2</v>
      </c>
      <c r="K36" s="1"/>
      <c r="L36" s="1">
        <f t="shared" si="31"/>
        <v>-9.31</v>
      </c>
      <c r="M36" s="1"/>
      <c r="N36" s="5">
        <f t="shared" si="32"/>
        <v>-1</v>
      </c>
      <c r="O36" s="13"/>
      <c r="P36" s="1">
        <f>SUM(OSRRefP22_4x_0)</f>
        <v>125.26</v>
      </c>
      <c r="Q36" s="1"/>
      <c r="R36" s="5">
        <f t="shared" si="33"/>
        <v>2.418604291931678E-2</v>
      </c>
      <c r="S36" s="1"/>
      <c r="T36" s="1">
        <f>SUM(OSRRefT22_4x_0)</f>
        <v>126.15</v>
      </c>
      <c r="U36" s="1"/>
      <c r="V36" s="5">
        <f t="shared" si="34"/>
        <v>2.1366869918699186E-2</v>
      </c>
      <c r="W36" s="1"/>
      <c r="X36" s="1">
        <f t="shared" si="35"/>
        <v>-0.89000000000000057</v>
      </c>
      <c r="Y36" s="1"/>
      <c r="Z36" s="5">
        <f t="shared" si="36"/>
        <v>-7.0550931430836345E-3</v>
      </c>
    </row>
    <row r="37" spans="1:26" s="24" customFormat="1" hidden="1" outlineLevel="2" x14ac:dyDescent="0.25">
      <c r="A37" s="25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9"/>
        <v>0</v>
      </c>
      <c r="G37" s="2"/>
      <c r="H37" s="6">
        <v>9.31</v>
      </c>
      <c r="I37" s="2"/>
      <c r="J37" s="7">
        <f t="shared" si="30"/>
        <v>1.5366079091569288E-2</v>
      </c>
      <c r="K37" s="2"/>
      <c r="L37" s="6">
        <f t="shared" si="31"/>
        <v>-9.31</v>
      </c>
      <c r="M37" s="2"/>
      <c r="N37" s="7">
        <f t="shared" si="32"/>
        <v>-1</v>
      </c>
      <c r="O37" s="11"/>
      <c r="P37" s="6">
        <v>125.26</v>
      </c>
      <c r="Q37" s="2"/>
      <c r="R37" s="7">
        <f t="shared" si="33"/>
        <v>2.418604291931678E-2</v>
      </c>
      <c r="S37" s="2"/>
      <c r="T37" s="6">
        <v>126.15</v>
      </c>
      <c r="U37" s="2"/>
      <c r="V37" s="7">
        <f t="shared" si="34"/>
        <v>2.1366869918699186E-2</v>
      </c>
      <c r="W37" s="2"/>
      <c r="X37" s="6">
        <f t="shared" si="35"/>
        <v>-0.89000000000000057</v>
      </c>
      <c r="Y37" s="2"/>
      <c r="Z37" s="7">
        <f t="shared" si="36"/>
        <v>-7.0550931430836345E-3</v>
      </c>
    </row>
    <row r="38" spans="1:26" s="26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40.799999999999997</v>
      </c>
      <c r="E38" s="1"/>
      <c r="F38" s="5">
        <f t="shared" si="29"/>
        <v>0</v>
      </c>
      <c r="G38" s="1"/>
      <c r="H38" s="1">
        <f>SUM(OSRRefH22_5x_0)</f>
        <v>0</v>
      </c>
      <c r="I38" s="1"/>
      <c r="J38" s="5">
        <f t="shared" si="30"/>
        <v>0</v>
      </c>
      <c r="K38" s="1"/>
      <c r="L38" s="1">
        <f t="shared" si="31"/>
        <v>40.799999999999997</v>
      </c>
      <c r="M38" s="1"/>
      <c r="N38" s="5">
        <f t="shared" si="32"/>
        <v>0</v>
      </c>
      <c r="O38" s="13"/>
      <c r="P38" s="1">
        <f>SUM(OSRRefP22_5x_0)</f>
        <v>40.799999999999997</v>
      </c>
      <c r="Q38" s="1"/>
      <c r="R38" s="5">
        <f t="shared" si="33"/>
        <v>7.877938297206807E-3</v>
      </c>
      <c r="S38" s="1"/>
      <c r="T38" s="1">
        <f>SUM(OSRRefT22_5x_0)</f>
        <v>0</v>
      </c>
      <c r="U38" s="1"/>
      <c r="V38" s="5">
        <f t="shared" si="34"/>
        <v>0</v>
      </c>
      <c r="W38" s="1"/>
      <c r="X38" s="1">
        <f t="shared" si="35"/>
        <v>40.799999999999997</v>
      </c>
      <c r="Y38" s="1"/>
      <c r="Z38" s="5">
        <f t="shared" si="36"/>
        <v>0</v>
      </c>
    </row>
    <row r="39" spans="1:26" s="24" customFormat="1" hidden="1" outlineLevel="2" x14ac:dyDescent="0.25">
      <c r="A39" s="25"/>
      <c r="B39" s="11" t="str">
        <f>CONCATENATE("          ", "6277", " - ", "EMPLOYEE APPRECIATION")</f>
        <v xml:space="preserve">          6277 - EMPLOYEE APPRECIATION</v>
      </c>
      <c r="C39" s="11"/>
      <c r="D39" s="6">
        <v>40.799999999999997</v>
      </c>
      <c r="E39" s="2"/>
      <c r="F39" s="7">
        <f t="shared" si="29"/>
        <v>0</v>
      </c>
      <c r="G39" s="2"/>
      <c r="H39" s="6"/>
      <c r="I39" s="2"/>
      <c r="J39" s="7">
        <f t="shared" si="30"/>
        <v>0</v>
      </c>
      <c r="K39" s="2"/>
      <c r="L39" s="6">
        <f t="shared" si="31"/>
        <v>40.799999999999997</v>
      </c>
      <c r="M39" s="2"/>
      <c r="N39" s="7">
        <f t="shared" si="32"/>
        <v>0</v>
      </c>
      <c r="O39" s="11"/>
      <c r="P39" s="6">
        <v>40.799999999999997</v>
      </c>
      <c r="Q39" s="2"/>
      <c r="R39" s="7">
        <f t="shared" si="33"/>
        <v>7.877938297206807E-3</v>
      </c>
      <c r="S39" s="2"/>
      <c r="T39" s="6"/>
      <c r="U39" s="2"/>
      <c r="V39" s="7">
        <f t="shared" si="34"/>
        <v>0</v>
      </c>
      <c r="W39" s="2"/>
      <c r="X39" s="6">
        <f t="shared" si="35"/>
        <v>40.799999999999997</v>
      </c>
      <c r="Y39" s="2"/>
      <c r="Z39" s="7">
        <f t="shared" si="36"/>
        <v>0</v>
      </c>
    </row>
    <row r="40" spans="1:26" s="26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29"/>
        <v>0</v>
      </c>
      <c r="G40" s="1"/>
      <c r="H40" s="1">
        <f>SUM(OSRRefH22_6x_0)</f>
        <v>15</v>
      </c>
      <c r="I40" s="1"/>
      <c r="J40" s="5">
        <f t="shared" si="30"/>
        <v>2.475737769855417E-2</v>
      </c>
      <c r="K40" s="1"/>
      <c r="L40" s="1">
        <f t="shared" si="31"/>
        <v>-15</v>
      </c>
      <c r="M40" s="1"/>
      <c r="N40" s="5">
        <f t="shared" si="32"/>
        <v>-1</v>
      </c>
      <c r="O40" s="13"/>
      <c r="P40" s="1">
        <f>SUM(OSRRefP22_6x_0)</f>
        <v>1154.05</v>
      </c>
      <c r="Q40" s="1"/>
      <c r="R40" s="5">
        <f t="shared" si="33"/>
        <v>0.22283173264439987</v>
      </c>
      <c r="S40" s="1"/>
      <c r="T40" s="1">
        <f>SUM(OSRRefT22_6x_0)</f>
        <v>1080.45</v>
      </c>
      <c r="U40" s="1"/>
      <c r="V40" s="5">
        <f t="shared" si="34"/>
        <v>0.18300304878048781</v>
      </c>
      <c r="W40" s="1"/>
      <c r="X40" s="1">
        <f t="shared" si="35"/>
        <v>73.599999999999909</v>
      </c>
      <c r="Y40" s="1"/>
      <c r="Z40" s="5">
        <f t="shared" si="36"/>
        <v>6.8119764912767736E-2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29"/>
        <v>0</v>
      </c>
      <c r="G41" s="2"/>
      <c r="H41" s="6">
        <v>15</v>
      </c>
      <c r="I41" s="2"/>
      <c r="J41" s="7">
        <f t="shared" si="30"/>
        <v>2.475737769855417E-2</v>
      </c>
      <c r="K41" s="2"/>
      <c r="L41" s="6">
        <f t="shared" si="31"/>
        <v>-15</v>
      </c>
      <c r="M41" s="2"/>
      <c r="N41" s="7">
        <f t="shared" si="32"/>
        <v>-1</v>
      </c>
      <c r="O41" s="11"/>
      <c r="P41" s="6">
        <v>1154.05</v>
      </c>
      <c r="Q41" s="2"/>
      <c r="R41" s="7">
        <f t="shared" si="33"/>
        <v>0.22283173264439987</v>
      </c>
      <c r="S41" s="2"/>
      <c r="T41" s="6">
        <v>1080.45</v>
      </c>
      <c r="U41" s="2"/>
      <c r="V41" s="7">
        <f t="shared" si="34"/>
        <v>0.18300304878048781</v>
      </c>
      <c r="W41" s="2"/>
      <c r="X41" s="6">
        <f t="shared" si="35"/>
        <v>73.599999999999909</v>
      </c>
      <c r="Y41" s="2"/>
      <c r="Z41" s="7">
        <f t="shared" si="36"/>
        <v>6.8119764912767736E-2</v>
      </c>
    </row>
    <row r="42" spans="1:26" s="26" customFormat="1" outlineLevel="1" collapsed="1" x14ac:dyDescent="0.25">
      <c r="A42" s="27"/>
      <c r="B42" s="13" t="str">
        <f>CONCATENATE("     ","R/H Commissions                                   ")</f>
        <v xml:space="preserve">     R/H Commissions                                   </v>
      </c>
      <c r="C42" s="13"/>
      <c r="D42" s="1">
        <f>SUM(OSRRefD22_7x_0)</f>
        <v>69.73</v>
      </c>
      <c r="E42" s="1"/>
      <c r="F42" s="5">
        <f t="shared" si="29"/>
        <v>0</v>
      </c>
      <c r="G42" s="1"/>
      <c r="H42" s="1">
        <f>SUM(OSRRefH22_7x_0)</f>
        <v>83</v>
      </c>
      <c r="I42" s="1"/>
      <c r="J42" s="5">
        <f t="shared" si="30"/>
        <v>0.13699082326533307</v>
      </c>
      <c r="K42" s="1"/>
      <c r="L42" s="1">
        <f t="shared" si="31"/>
        <v>-13.269999999999996</v>
      </c>
      <c r="M42" s="1"/>
      <c r="N42" s="5">
        <f t="shared" si="32"/>
        <v>-0.15987951807228912</v>
      </c>
      <c r="O42" s="13"/>
      <c r="P42" s="1">
        <f>SUM(OSRRefP22_7x_0)</f>
        <v>414.32</v>
      </c>
      <c r="Q42" s="1"/>
      <c r="R42" s="5">
        <f t="shared" si="33"/>
        <v>7.9999691061243244E-2</v>
      </c>
      <c r="S42" s="1"/>
      <c r="T42" s="1">
        <f>SUM(OSRRefT22_7x_0)</f>
        <v>422.24</v>
      </c>
      <c r="U42" s="1"/>
      <c r="V42" s="5">
        <f t="shared" si="34"/>
        <v>7.1517615176151766E-2</v>
      </c>
      <c r="W42" s="1"/>
      <c r="X42" s="1">
        <f t="shared" si="35"/>
        <v>-7.9200000000000159</v>
      </c>
      <c r="Y42" s="1"/>
      <c r="Z42" s="5">
        <f t="shared" si="36"/>
        <v>-1.8757104964001552E-2</v>
      </c>
    </row>
    <row r="43" spans="1:26" s="24" customFormat="1" hidden="1" outlineLevel="2" x14ac:dyDescent="0.25">
      <c r="A43" s="25"/>
      <c r="B43" s="11" t="str">
        <f>CONCATENATE("          ", "6387", " - ", "COMMISSION DUE HOUSING")</f>
        <v xml:space="preserve">          6387 - COMMISSION DUE HOUSING</v>
      </c>
      <c r="C43" s="11"/>
      <c r="D43" s="6">
        <v>69.73</v>
      </c>
      <c r="E43" s="2"/>
      <c r="F43" s="7">
        <f t="shared" si="29"/>
        <v>0</v>
      </c>
      <c r="G43" s="2"/>
      <c r="H43" s="6">
        <v>83</v>
      </c>
      <c r="I43" s="2"/>
      <c r="J43" s="7">
        <f t="shared" si="30"/>
        <v>0.13699082326533307</v>
      </c>
      <c r="K43" s="2"/>
      <c r="L43" s="6">
        <f t="shared" si="31"/>
        <v>-13.269999999999996</v>
      </c>
      <c r="M43" s="2"/>
      <c r="N43" s="7">
        <f t="shared" si="32"/>
        <v>-0.15987951807228912</v>
      </c>
      <c r="O43" s="11"/>
      <c r="P43" s="6">
        <v>414.32</v>
      </c>
      <c r="Q43" s="2"/>
      <c r="R43" s="7">
        <f t="shared" si="33"/>
        <v>7.9999691061243244E-2</v>
      </c>
      <c r="S43" s="2"/>
      <c r="T43" s="6">
        <v>422.24</v>
      </c>
      <c r="U43" s="2"/>
      <c r="V43" s="7">
        <f t="shared" si="34"/>
        <v>7.1517615176151766E-2</v>
      </c>
      <c r="W43" s="2"/>
      <c r="X43" s="6">
        <f t="shared" si="35"/>
        <v>-7.9200000000000159</v>
      </c>
      <c r="Y43" s="2"/>
      <c r="Z43" s="7">
        <f t="shared" si="36"/>
        <v>-1.8757104964001552E-2</v>
      </c>
    </row>
    <row r="44" spans="1:26" s="26" customFormat="1" outlineLevel="1" collapsed="1" x14ac:dyDescent="0.25">
      <c r="A44" s="27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SUM(OSRRefD22_8x_0)</f>
        <v>0</v>
      </c>
      <c r="E44" s="1"/>
      <c r="F44" s="5">
        <f t="shared" si="29"/>
        <v>0</v>
      </c>
      <c r="G44" s="1"/>
      <c r="H44" s="1">
        <f>SUM(OSRRefH22_8x_0)</f>
        <v>1650.4</v>
      </c>
      <c r="I44" s="1"/>
      <c r="J44" s="5">
        <f t="shared" si="30"/>
        <v>2.7239717435795869</v>
      </c>
      <c r="K44" s="1"/>
      <c r="L44" s="1">
        <f t="shared" si="31"/>
        <v>-1650.4</v>
      </c>
      <c r="M44" s="1"/>
      <c r="N44" s="5">
        <f t="shared" si="32"/>
        <v>-1</v>
      </c>
      <c r="O44" s="13"/>
      <c r="P44" s="1">
        <f>SUM(OSRRefP22_8x_0)</f>
        <v>1592.1399999999999</v>
      </c>
      <c r="Q44" s="1"/>
      <c r="R44" s="5">
        <f t="shared" si="33"/>
        <v>0.30742109511065796</v>
      </c>
      <c r="S44" s="1"/>
      <c r="T44" s="1">
        <f>SUM(OSRRefT22_8x_0)</f>
        <v>-161.35999999999999</v>
      </c>
      <c r="U44" s="1"/>
      <c r="V44" s="5">
        <f t="shared" si="34"/>
        <v>-2.7330623306233062E-2</v>
      </c>
      <c r="W44" s="1"/>
      <c r="X44" s="1">
        <f t="shared" si="35"/>
        <v>1753.4999999999998</v>
      </c>
      <c r="Y44" s="1"/>
      <c r="Z44" s="5">
        <f t="shared" si="36"/>
        <v>-10.867005453644026</v>
      </c>
    </row>
    <row r="45" spans="1:26" s="24" customFormat="1" hidden="1" outlineLevel="2" x14ac:dyDescent="0.25">
      <c r="A45" s="25"/>
      <c r="B45" s="11" t="str">
        <f>CONCATENATE("          ", "6237", " - ", "JANITORIAL SUPPLIES")</f>
        <v xml:space="preserve">          6237 - JANITORIAL SUPPLIES</v>
      </c>
      <c r="C45" s="11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>
        <v>47.13</v>
      </c>
      <c r="Q45" s="2"/>
      <c r="R45" s="7">
        <f t="shared" si="33"/>
        <v>9.1001772536116864E-3</v>
      </c>
      <c r="S45" s="2"/>
      <c r="T45" s="6">
        <v>92.19</v>
      </c>
      <c r="U45" s="2"/>
      <c r="V45" s="7">
        <f t="shared" si="34"/>
        <v>1.5614837398373983E-2</v>
      </c>
      <c r="W45" s="2"/>
      <c r="X45" s="6">
        <f t="shared" si="35"/>
        <v>-45.059999999999995</v>
      </c>
      <c r="Y45" s="2"/>
      <c r="Z45" s="7">
        <f t="shared" si="36"/>
        <v>-0.48877318581191015</v>
      </c>
    </row>
    <row r="46" spans="1:26" s="24" customFormat="1" hidden="1" outlineLevel="2" x14ac:dyDescent="0.25">
      <c r="A46" s="25"/>
      <c r="B46" s="11" t="str">
        <f>CONCATENATE("          ", "6243", " - ", "PAPER SUPPLIES")</f>
        <v xml:space="preserve">          6243 - PAPER SUPPLIES</v>
      </c>
      <c r="C46" s="11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/>
      <c r="Q46" s="2"/>
      <c r="R46" s="7">
        <f t="shared" si="33"/>
        <v>0</v>
      </c>
      <c r="S46" s="2"/>
      <c r="T46" s="6">
        <v>126.09</v>
      </c>
      <c r="U46" s="2"/>
      <c r="V46" s="7">
        <f t="shared" si="34"/>
        <v>2.1356707317073172E-2</v>
      </c>
      <c r="W46" s="2"/>
      <c r="X46" s="6">
        <f t="shared" si="35"/>
        <v>-126.09</v>
      </c>
      <c r="Y46" s="2"/>
      <c r="Z46" s="7">
        <f t="shared" si="36"/>
        <v>-1</v>
      </c>
    </row>
    <row r="47" spans="1:26" s="24" customFormat="1" hidden="1" outlineLevel="2" x14ac:dyDescent="0.25">
      <c r="A47" s="25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9"/>
        <v>0</v>
      </c>
      <c r="G47" s="2"/>
      <c r="H47" s="6">
        <v>1650.4</v>
      </c>
      <c r="I47" s="2"/>
      <c r="J47" s="7">
        <f t="shared" si="30"/>
        <v>2.7239717435795869</v>
      </c>
      <c r="K47" s="2"/>
      <c r="L47" s="6">
        <f t="shared" si="31"/>
        <v>-1650.4</v>
      </c>
      <c r="M47" s="2"/>
      <c r="N47" s="7">
        <f t="shared" si="32"/>
        <v>-1</v>
      </c>
      <c r="O47" s="11"/>
      <c r="P47" s="6">
        <v>431.41</v>
      </c>
      <c r="Q47" s="2"/>
      <c r="R47" s="7">
        <f t="shared" si="33"/>
        <v>8.3299543156813455E-2</v>
      </c>
      <c r="S47" s="2"/>
      <c r="T47" s="6">
        <v>-379.64</v>
      </c>
      <c r="U47" s="2"/>
      <c r="V47" s="7">
        <f t="shared" si="34"/>
        <v>-6.430216802168022E-2</v>
      </c>
      <c r="W47" s="2"/>
      <c r="X47" s="6">
        <f t="shared" si="35"/>
        <v>811.05</v>
      </c>
      <c r="Y47" s="2"/>
      <c r="Z47" s="7">
        <f t="shared" si="36"/>
        <v>-2.1363660309767147</v>
      </c>
    </row>
    <row r="48" spans="1:26" s="24" customFormat="1" hidden="1" outlineLevel="2" x14ac:dyDescent="0.25">
      <c r="A48" s="25"/>
      <c r="B48" s="11" t="str">
        <f>CONCATENATE("          ", "6248", " - ", "UNIFORMS")</f>
        <v xml:space="preserve">          6248 - UNIFORMS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1113.5999999999999</v>
      </c>
      <c r="Q48" s="2"/>
      <c r="R48" s="7">
        <f t="shared" si="33"/>
        <v>0.21502137470023283</v>
      </c>
      <c r="S48" s="2"/>
      <c r="T48" s="6"/>
      <c r="U48" s="2"/>
      <c r="V48" s="7">
        <f t="shared" si="34"/>
        <v>0</v>
      </c>
      <c r="W48" s="2"/>
      <c r="X48" s="6">
        <f t="shared" si="35"/>
        <v>1113.5999999999999</v>
      </c>
      <c r="Y48" s="2"/>
      <c r="Z48" s="7">
        <f t="shared" si="36"/>
        <v>0</v>
      </c>
    </row>
    <row r="49" spans="1:26" s="26" customFormat="1" outlineLevel="1" collapsed="1" x14ac:dyDescent="0.25">
      <c r="A49" s="27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SUM(OSRRefD22_9x_0)</f>
        <v>75.5</v>
      </c>
      <c r="E49" s="1"/>
      <c r="F49" s="5">
        <f t="shared" ref="F49:F50" si="37">IF(D$12=0,0,D49/D$12)</f>
        <v>0</v>
      </c>
      <c r="G49" s="1"/>
      <c r="H49" s="1">
        <f>SUM(OSRRefH22_9x_0)</f>
        <v>35.5</v>
      </c>
      <c r="I49" s="1"/>
      <c r="J49" s="5">
        <f t="shared" ref="J49:J50" si="38">IF(H$12=0,0,H49/H$12)</f>
        <v>5.8592460553244866E-2</v>
      </c>
      <c r="K49" s="1"/>
      <c r="L49" s="1">
        <f t="shared" ref="L49:L50" si="39">+D49-H49</f>
        <v>40</v>
      </c>
      <c r="M49" s="1"/>
      <c r="N49" s="5">
        <f t="shared" ref="N49:N50" si="40">IF(H49=0,0,L49/H49)</f>
        <v>1.1267605633802817</v>
      </c>
      <c r="O49" s="13"/>
      <c r="P49" s="1">
        <f>SUM(OSRRefP22_9x_0)</f>
        <v>488.5</v>
      </c>
      <c r="Q49" s="1"/>
      <c r="R49" s="5">
        <f t="shared" ref="R49:R50" si="41">IF(P$12=0,0,P49/P$12)</f>
        <v>9.4322864171213855E-2</v>
      </c>
      <c r="S49" s="1"/>
      <c r="T49" s="1">
        <f>SUM(OSRRefT22_9x_0)</f>
        <v>428.5</v>
      </c>
      <c r="U49" s="1"/>
      <c r="V49" s="5">
        <f t="shared" ref="V49:V50" si="42">IF(T$12=0,0,T49/T$12)</f>
        <v>7.2577913279132794E-2</v>
      </c>
      <c r="W49" s="1"/>
      <c r="X49" s="1">
        <f t="shared" ref="X49:X50" si="43">+P49-T49</f>
        <v>60</v>
      </c>
      <c r="Y49" s="1"/>
      <c r="Z49" s="5">
        <f t="shared" ref="Z49:Z50" si="44">IF(T49=0,0,X49/T49)</f>
        <v>0.14002333722287047</v>
      </c>
    </row>
    <row r="50" spans="1:26" s="24" customFormat="1" hidden="1" outlineLevel="2" x14ac:dyDescent="0.25">
      <c r="A50" s="25"/>
      <c r="B50" s="11" t="str">
        <f>CONCATENATE("          ", "6309", " - ", "TELEPHONE")</f>
        <v xml:space="preserve">          6309 - TELEPHONE</v>
      </c>
      <c r="C50" s="11"/>
      <c r="D50" s="6">
        <v>75.5</v>
      </c>
      <c r="E50" s="2"/>
      <c r="F50" s="7">
        <f t="shared" si="37"/>
        <v>0</v>
      </c>
      <c r="G50" s="2"/>
      <c r="H50" s="6">
        <v>35.5</v>
      </c>
      <c r="I50" s="2"/>
      <c r="J50" s="7">
        <f t="shared" si="38"/>
        <v>5.8592460553244866E-2</v>
      </c>
      <c r="K50" s="2"/>
      <c r="L50" s="6">
        <f t="shared" si="39"/>
        <v>40</v>
      </c>
      <c r="M50" s="2"/>
      <c r="N50" s="7">
        <f t="shared" si="40"/>
        <v>1.1267605633802817</v>
      </c>
      <c r="O50" s="11"/>
      <c r="P50" s="6">
        <v>488.5</v>
      </c>
      <c r="Q50" s="2"/>
      <c r="R50" s="7">
        <f t="shared" si="41"/>
        <v>9.4322864171213855E-2</v>
      </c>
      <c r="S50" s="2"/>
      <c r="T50" s="6">
        <v>428.5</v>
      </c>
      <c r="U50" s="2"/>
      <c r="V50" s="7">
        <f t="shared" si="42"/>
        <v>7.2577913279132794E-2</v>
      </c>
      <c r="W50" s="2"/>
      <c r="X50" s="6">
        <f t="shared" si="43"/>
        <v>60</v>
      </c>
      <c r="Y50" s="2"/>
      <c r="Z50" s="7">
        <f t="shared" si="44"/>
        <v>0.14002333722287047</v>
      </c>
    </row>
    <row r="51" spans="1:26" s="59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9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3</v>
      </c>
      <c r="C54" s="28"/>
      <c r="D54" s="21">
        <f>+D21-D23+D52</f>
        <v>-191.53</v>
      </c>
      <c r="E54" s="14"/>
      <c r="F54" s="22">
        <f>IF(D$12=0,0,D54/D$12)</f>
        <v>0</v>
      </c>
      <c r="G54" s="14"/>
      <c r="H54" s="21">
        <f>+H21-H23+H52</f>
        <v>-2309.8200000000002</v>
      </c>
      <c r="I54" s="14"/>
      <c r="J54" s="22">
        <f>IF(H$12=0,0,H54/H$12)</f>
        <v>-3.8123390770449599</v>
      </c>
      <c r="K54" s="16"/>
      <c r="L54" s="21">
        <f>+D54-H54</f>
        <v>2118.29</v>
      </c>
      <c r="M54" s="16"/>
      <c r="N54" s="22">
        <f>IF(H54=0,0,L54/H54)</f>
        <v>-0.91708011879713558</v>
      </c>
      <c r="O54" s="29"/>
      <c r="P54" s="21">
        <f>+P21-P23+P52</f>
        <v>-12362.669999999998</v>
      </c>
      <c r="Q54" s="14"/>
      <c r="R54" s="22">
        <f>IF(P$12=0,0,P54/P$12)</f>
        <v>-2.3870674374688643</v>
      </c>
      <c r="S54" s="14"/>
      <c r="T54" s="21">
        <f>+T21-T23+T52</f>
        <v>-9035.2100000000028</v>
      </c>
      <c r="U54" s="14"/>
      <c r="V54" s="22">
        <f>IF(T$12=0,0,T54/T$12)</f>
        <v>-1.5303539972899733</v>
      </c>
      <c r="W54" s="16"/>
      <c r="X54" s="21">
        <f>+P54-T54</f>
        <v>-3327.4599999999955</v>
      </c>
      <c r="Y54" s="16"/>
      <c r="Z54" s="22">
        <f>IF(T54=0,0,X54/T54)</f>
        <v>0.36827699632880634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>
        <v>-19.27</v>
      </c>
      <c r="E56" s="4"/>
      <c r="F56" s="12">
        <f>IF(D$12=0,0,D56/D$12)</f>
        <v>0</v>
      </c>
      <c r="G56" s="4"/>
      <c r="H56" s="4">
        <v>28.98</v>
      </c>
      <c r="I56" s="4"/>
      <c r="J56" s="12">
        <f>IF(H$12=0,0,H56/H$12)</f>
        <v>4.7831253713606657E-2</v>
      </c>
      <c r="K56" s="4"/>
      <c r="L56" s="4">
        <f>+D56-H56</f>
        <v>-48.25</v>
      </c>
      <c r="M56" s="4"/>
      <c r="N56" s="12">
        <f>IF(H56=0,0,L56/H56)</f>
        <v>-1.6649413388543823</v>
      </c>
      <c r="O56" s="10"/>
      <c r="P56" s="4">
        <v>540.1</v>
      </c>
      <c r="Q56" s="4"/>
      <c r="R56" s="12">
        <f>IF(P$12=0,0,P56/P$12)</f>
        <v>0.10428613907650482</v>
      </c>
      <c r="S56" s="4"/>
      <c r="T56" s="4">
        <v>600.73</v>
      </c>
      <c r="U56" s="4"/>
      <c r="V56" s="12">
        <f>IF(T$12=0,0,T56/T$12)</f>
        <v>0.10174966124661247</v>
      </c>
      <c r="W56" s="4"/>
      <c r="X56" s="4">
        <f>+P56-T56</f>
        <v>-60.629999999999995</v>
      </c>
      <c r="Y56" s="4"/>
      <c r="Z56" s="12">
        <f>IF(T56=0,0,X56/T56)</f>
        <v>-0.1009272052336324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8" t="s">
        <v>4</v>
      </c>
      <c r="C58" s="28"/>
      <c r="D58" s="34">
        <f>+D54-D56</f>
        <v>-172.26</v>
      </c>
      <c r="E58" s="14"/>
      <c r="F58" s="31">
        <f>IF(D$12=0,0,D58/D$12)</f>
        <v>0</v>
      </c>
      <c r="G58" s="14"/>
      <c r="H58" s="34">
        <f>+H54-H56</f>
        <v>-2338.8000000000002</v>
      </c>
      <c r="I58" s="14"/>
      <c r="J58" s="31">
        <f>IF(H$12=0,0,H58/H$12)</f>
        <v>-3.8601703307585664</v>
      </c>
      <c r="K58" s="16"/>
      <c r="L58" s="34">
        <f>D58-H58</f>
        <v>2166.54</v>
      </c>
      <c r="M58" s="16"/>
      <c r="N58" s="31">
        <f>IF(H58=0,0,L58/H58)</f>
        <v>-0.92634684453565919</v>
      </c>
      <c r="O58" s="29"/>
      <c r="P58" s="34">
        <f>+P54-P56</f>
        <v>-12902.769999999999</v>
      </c>
      <c r="Q58" s="14"/>
      <c r="R58" s="31">
        <f>IF(P$12=0,0,P58/P$12)</f>
        <v>-2.4913535765453689</v>
      </c>
      <c r="S58" s="14"/>
      <c r="T58" s="34">
        <f>+T54-T56</f>
        <v>-9635.9400000000023</v>
      </c>
      <c r="U58" s="14"/>
      <c r="V58" s="31">
        <f>IF(T$12=0,0,T58/T$12)</f>
        <v>-1.6321036585365858</v>
      </c>
      <c r="W58" s="16"/>
      <c r="X58" s="34">
        <f>P58-T58</f>
        <v>-3266.8299999999963</v>
      </c>
      <c r="Y58" s="16"/>
      <c r="Z58" s="31">
        <f>IF(T58=0,0,X58/T58)</f>
        <v>0.3390255647087877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8" t="s">
        <v>5</v>
      </c>
      <c r="C61" s="28"/>
      <c r="D61" s="30">
        <f>SUM(D58:D60)</f>
        <v>-172.26</v>
      </c>
      <c r="E61" s="14"/>
      <c r="F61" s="33">
        <f>IF(D$12=0,0,D61/D$12)</f>
        <v>0</v>
      </c>
      <c r="G61" s="14"/>
      <c r="H61" s="30">
        <f>SUM(H58:H60)</f>
        <v>-2338.8000000000002</v>
      </c>
      <c r="I61" s="14"/>
      <c r="J61" s="33">
        <f>IF(H$12=0,0,H61/H$12)</f>
        <v>-3.8601703307585664</v>
      </c>
      <c r="K61" s="16"/>
      <c r="L61" s="30">
        <f>+D61-H61</f>
        <v>2166.54</v>
      </c>
      <c r="M61" s="16"/>
      <c r="N61" s="33">
        <f>IF(H61=0,0,L61/H61)</f>
        <v>-0.92634684453565919</v>
      </c>
      <c r="O61" s="29"/>
      <c r="P61" s="30">
        <f>SUM(P58:P60)</f>
        <v>-12902.769999999999</v>
      </c>
      <c r="Q61" s="14"/>
      <c r="R61" s="33">
        <f>IF(P$12=0,0,P61/P$12)</f>
        <v>-2.4913535765453689</v>
      </c>
      <c r="S61" s="14"/>
      <c r="T61" s="30">
        <f>SUM(T58:T60)</f>
        <v>-9635.9400000000023</v>
      </c>
      <c r="U61" s="14"/>
      <c r="V61" s="33">
        <f>IF(T$12=0,0,T61/T$12)</f>
        <v>-1.6321036585365858</v>
      </c>
      <c r="W61" s="16"/>
      <c r="X61" s="30">
        <f>+P61-T61</f>
        <v>-3266.8299999999963</v>
      </c>
      <c r="Y61" s="16"/>
      <c r="Z61" s="33">
        <f>IF(T61=0,0,X61/T61)</f>
        <v>0.3390255647087877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1">
        <v>43879.554371840277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5" t="s">
        <v>313</v>
      </c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58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","444", " - ", "Parkside Dining Hall")</f>
        <v>Department 444 - Parkside Dining Hall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228518.96999999997</v>
      </c>
      <c r="E12" s="4"/>
      <c r="F12" s="12"/>
      <c r="G12" s="4"/>
      <c r="H12" s="4">
        <f>SUM(OSRRefH13x_0)</f>
        <v>210056.17</v>
      </c>
      <c r="I12" s="4"/>
      <c r="J12" s="12"/>
      <c r="K12" s="4"/>
      <c r="L12" s="4">
        <f t="shared" ref="L12:L15" si="0">+D12-H12</f>
        <v>18462.799999999959</v>
      </c>
      <c r="M12" s="4"/>
      <c r="N12" s="12">
        <f t="shared" ref="N12:N15" si="1">IF(H12=0,0,L12/H12)</f>
        <v>8.78945855291942E-2</v>
      </c>
      <c r="O12" s="10"/>
      <c r="P12" s="4">
        <f>SUM(OSRRefP13x_0)</f>
        <v>2523194.5</v>
      </c>
      <c r="Q12" s="4"/>
      <c r="R12" s="12"/>
      <c r="S12" s="4"/>
      <c r="T12" s="4">
        <f>SUM(OSRRefT13x_0)</f>
        <v>2430331.9500000002</v>
      </c>
      <c r="U12" s="4"/>
      <c r="V12" s="12"/>
      <c r="W12" s="4"/>
      <c r="X12" s="4">
        <f t="shared" ref="X12:X15" si="2">+P12-T12</f>
        <v>92862.549999999814</v>
      </c>
      <c r="Y12" s="4"/>
      <c r="Z12" s="12">
        <f t="shared" ref="Z12:Z15" si="3">IF(T12=0,0,X12/T12)</f>
        <v>3.8209821501955649E-2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--43.61</f>
        <v>43.61</v>
      </c>
      <c r="E13" s="2"/>
      <c r="F13" s="19"/>
      <c r="G13" s="2"/>
      <c r="H13" s="2">
        <f>--20.49</f>
        <v>20.49</v>
      </c>
      <c r="I13" s="2"/>
      <c r="J13" s="19"/>
      <c r="K13" s="2"/>
      <c r="L13" s="2">
        <f t="shared" si="0"/>
        <v>23.12</v>
      </c>
      <c r="M13" s="2"/>
      <c r="N13" s="19">
        <f t="shared" si="1"/>
        <v>1.1283552952659834</v>
      </c>
      <c r="O13" s="11"/>
      <c r="P13" s="2">
        <f>--2270.97</f>
        <v>2270.9699999999998</v>
      </c>
      <c r="Q13" s="2"/>
      <c r="R13" s="19"/>
      <c r="S13" s="2"/>
      <c r="T13" s="2">
        <f>--1436.47</f>
        <v>1436.47</v>
      </c>
      <c r="U13" s="2"/>
      <c r="V13" s="19"/>
      <c r="W13" s="2"/>
      <c r="X13" s="2">
        <f t="shared" si="2"/>
        <v>834.49999999999977</v>
      </c>
      <c r="Y13" s="2"/>
      <c r="Z13" s="19">
        <f t="shared" si="3"/>
        <v>0.5809379938321021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--227237.75</f>
        <v>227237.75</v>
      </c>
      <c r="E14" s="2"/>
      <c r="F14" s="19"/>
      <c r="G14" s="2"/>
      <c r="H14" s="2">
        <f>--209197.01</f>
        <v>209197.01</v>
      </c>
      <c r="I14" s="2"/>
      <c r="J14" s="19"/>
      <c r="K14" s="2"/>
      <c r="L14" s="2">
        <f t="shared" si="0"/>
        <v>18040.739999999991</v>
      </c>
      <c r="M14" s="2"/>
      <c r="N14" s="19">
        <f t="shared" si="1"/>
        <v>8.6238039444253956E-2</v>
      </c>
      <c r="O14" s="11"/>
      <c r="P14" s="2">
        <f>--2481822.55</f>
        <v>2481822.5499999998</v>
      </c>
      <c r="Q14" s="2"/>
      <c r="R14" s="19"/>
      <c r="S14" s="2"/>
      <c r="T14" s="2">
        <f>--2382889.39</f>
        <v>2382889.39</v>
      </c>
      <c r="U14" s="2"/>
      <c r="V14" s="19"/>
      <c r="W14" s="2"/>
      <c r="X14" s="2">
        <f t="shared" si="2"/>
        <v>98933.159999999683</v>
      </c>
      <c r="Y14" s="2"/>
      <c r="Z14" s="19">
        <f t="shared" si="3"/>
        <v>4.1518150366181991E-2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--1237.61</f>
        <v>1237.6099999999999</v>
      </c>
      <c r="E15" s="2"/>
      <c r="F15" s="19"/>
      <c r="G15" s="2"/>
      <c r="H15" s="2">
        <f>--838.67</f>
        <v>838.67</v>
      </c>
      <c r="I15" s="2"/>
      <c r="J15" s="19"/>
      <c r="K15" s="2"/>
      <c r="L15" s="2">
        <f t="shared" si="0"/>
        <v>398.93999999999994</v>
      </c>
      <c r="M15" s="2"/>
      <c r="N15" s="19">
        <f t="shared" si="1"/>
        <v>0.47568173417434745</v>
      </c>
      <c r="O15" s="11"/>
      <c r="P15" s="2">
        <f>--39100.98</f>
        <v>39100.980000000003</v>
      </c>
      <c r="Q15" s="2"/>
      <c r="R15" s="19"/>
      <c r="S15" s="2"/>
      <c r="T15" s="2">
        <f>--46006.09</f>
        <v>46006.09</v>
      </c>
      <c r="U15" s="2"/>
      <c r="V15" s="19"/>
      <c r="W15" s="2"/>
      <c r="X15" s="2">
        <f t="shared" si="2"/>
        <v>-6905.1099999999933</v>
      </c>
      <c r="Y15" s="2"/>
      <c r="Z15" s="19">
        <f t="shared" si="3"/>
        <v>-0.15009121618463978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62098.36</v>
      </c>
      <c r="E17" s="4"/>
      <c r="F17" s="12">
        <f t="shared" ref="F17:F19" si="4">IF(D$12=0,0,D17/D$12)</f>
        <v>0.27174269164612463</v>
      </c>
      <c r="G17" s="4"/>
      <c r="H17" s="4">
        <f>SUM(OSRRefH16x_0)</f>
        <v>56867.509999999995</v>
      </c>
      <c r="I17" s="4"/>
      <c r="J17" s="12">
        <f t="shared" ref="J17:J19" si="5">IF(H$12=0,0,H17/H$12)</f>
        <v>0.27072525410703235</v>
      </c>
      <c r="K17" s="4"/>
      <c r="L17" s="4">
        <f t="shared" ref="L17:L19" si="6">+D17-H17</f>
        <v>5230.8500000000058</v>
      </c>
      <c r="M17" s="4"/>
      <c r="N17" s="12">
        <f t="shared" ref="N17:N19" si="7">IF(H17=0,0,L17/H17)</f>
        <v>9.1983102478023146E-2</v>
      </c>
      <c r="O17" s="10"/>
      <c r="P17" s="4">
        <f>SUM(OSRRefP16x_0)</f>
        <v>632448.87</v>
      </c>
      <c r="Q17" s="4"/>
      <c r="R17" s="12">
        <f t="shared" ref="R17:R19" si="8">IF(P$12=0,0,P17/P$12)</f>
        <v>0.25065403004009401</v>
      </c>
      <c r="S17" s="4"/>
      <c r="T17" s="4">
        <f>SUM(OSRRefT16x_0)</f>
        <v>649705.12</v>
      </c>
      <c r="U17" s="4"/>
      <c r="V17" s="12">
        <f t="shared" ref="V17:V19" si="9">IF(T$12=0,0,T17/T$12)</f>
        <v>0.26733184328996701</v>
      </c>
      <c r="W17" s="4"/>
      <c r="X17" s="4">
        <f t="shared" ref="X17:X19" si="10">+P17-T17</f>
        <v>-17256.25</v>
      </c>
      <c r="Y17" s="4"/>
      <c r="Z17" s="12">
        <f t="shared" ref="Z17:Z19" si="11">IF(T17=0,0,X17/T17)</f>
        <v>-2.6560126230804521E-2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78764.36</v>
      </c>
      <c r="E18" s="2"/>
      <c r="F18" s="19">
        <f t="shared" si="4"/>
        <v>0.34467317964893684</v>
      </c>
      <c r="G18" s="2"/>
      <c r="H18" s="2">
        <v>72629.509999999995</v>
      </c>
      <c r="I18" s="2"/>
      <c r="J18" s="19">
        <f t="shared" si="5"/>
        <v>0.34576232633395149</v>
      </c>
      <c r="K18" s="2"/>
      <c r="L18" s="2">
        <f t="shared" si="6"/>
        <v>6134.8500000000058</v>
      </c>
      <c r="M18" s="2"/>
      <c r="N18" s="19">
        <f t="shared" si="7"/>
        <v>8.446773219315408E-2</v>
      </c>
      <c r="O18" s="11"/>
      <c r="P18" s="2">
        <v>642165.12</v>
      </c>
      <c r="Q18" s="2"/>
      <c r="R18" s="19">
        <f t="shared" si="8"/>
        <v>0.25450480333561287</v>
      </c>
      <c r="S18" s="2"/>
      <c r="T18" s="2">
        <v>662323.37</v>
      </c>
      <c r="U18" s="2"/>
      <c r="V18" s="19">
        <f t="shared" si="9"/>
        <v>0.27252382951226062</v>
      </c>
      <c r="W18" s="2"/>
      <c r="X18" s="2">
        <f t="shared" si="10"/>
        <v>-20158.25</v>
      </c>
      <c r="Y18" s="2"/>
      <c r="Z18" s="19">
        <f t="shared" si="11"/>
        <v>-3.0435661661765007E-2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-16666</v>
      </c>
      <c r="E19" s="2"/>
      <c r="F19" s="19">
        <f t="shared" si="4"/>
        <v>-7.293048800281221E-2</v>
      </c>
      <c r="G19" s="2"/>
      <c r="H19" s="2">
        <v>-15762</v>
      </c>
      <c r="I19" s="2"/>
      <c r="J19" s="19">
        <f t="shared" si="5"/>
        <v>-7.5037072226919105E-2</v>
      </c>
      <c r="K19" s="2"/>
      <c r="L19" s="2">
        <f t="shared" si="6"/>
        <v>-904</v>
      </c>
      <c r="M19" s="2"/>
      <c r="N19" s="19">
        <f t="shared" si="7"/>
        <v>5.7353127775662989E-2</v>
      </c>
      <c r="O19" s="11"/>
      <c r="P19" s="2">
        <v>-9716.25</v>
      </c>
      <c r="Q19" s="2"/>
      <c r="R19" s="19">
        <f t="shared" si="8"/>
        <v>-3.8507732955188351E-3</v>
      </c>
      <c r="S19" s="2"/>
      <c r="T19" s="2">
        <v>-12618.25</v>
      </c>
      <c r="U19" s="2"/>
      <c r="V19" s="19">
        <f t="shared" si="9"/>
        <v>-5.1919862222936253E-3</v>
      </c>
      <c r="W19" s="2"/>
      <c r="X19" s="2">
        <f t="shared" si="10"/>
        <v>2902</v>
      </c>
      <c r="Y19" s="2"/>
      <c r="Z19" s="19">
        <f t="shared" si="11"/>
        <v>-0.22998434806728349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166420.60999999999</v>
      </c>
      <c r="E21" s="14"/>
      <c r="F21" s="22">
        <f>IF(D$12=0,0,D21/D$12)</f>
        <v>0.72825730835387537</v>
      </c>
      <c r="G21" s="14"/>
      <c r="H21" s="21">
        <f>H12-H17</f>
        <v>153188.66000000003</v>
      </c>
      <c r="I21" s="14"/>
      <c r="J21" s="22">
        <f>IF(H$12=0,0,H21/H$12)</f>
        <v>0.7292747458929677</v>
      </c>
      <c r="K21" s="16"/>
      <c r="L21" s="21">
        <f>+D21-H21</f>
        <v>13231.949999999953</v>
      </c>
      <c r="M21" s="16"/>
      <c r="N21" s="22">
        <f>IF(H21=0,0,L21/H21)</f>
        <v>8.6376824498627713E-2</v>
      </c>
      <c r="O21" s="29"/>
      <c r="P21" s="21">
        <f>P12-P17</f>
        <v>1890745.63</v>
      </c>
      <c r="Q21" s="14"/>
      <c r="R21" s="22">
        <f>IF(P$12=0,0,P21/P$12)</f>
        <v>0.74934596995990599</v>
      </c>
      <c r="S21" s="14"/>
      <c r="T21" s="21">
        <f>T12-T17</f>
        <v>1780626.83</v>
      </c>
      <c r="U21" s="14"/>
      <c r="V21" s="22">
        <f>IF(T$12=0,0,T21/T$12)</f>
        <v>0.73266815671003294</v>
      </c>
      <c r="W21" s="16"/>
      <c r="X21" s="21">
        <f>+P21-T21</f>
        <v>110118.79999999981</v>
      </c>
      <c r="Y21" s="16"/>
      <c r="Z21" s="22">
        <f>IF(T21=0,0,X21/T21)</f>
        <v>6.1842716365225051E-2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143529.50000000003</v>
      </c>
      <c r="E23" s="20"/>
      <c r="F23" s="32">
        <f t="shared" ref="F23:F33" si="12">IF(D$12=0,0,D23/D$12)</f>
        <v>0.62808571209646202</v>
      </c>
      <c r="G23" s="20"/>
      <c r="H23" s="20">
        <f>SUM(OSRRefH22x_0)</f>
        <v>131766.47</v>
      </c>
      <c r="I23" s="20"/>
      <c r="J23" s="32">
        <f t="shared" ref="J23:J33" si="13">IF(H$12=0,0,H23/H$12)</f>
        <v>0.62729159538612933</v>
      </c>
      <c r="K23" s="4"/>
      <c r="L23" s="20">
        <f t="shared" ref="L23:L33" si="14">+D23-H23</f>
        <v>11763.030000000028</v>
      </c>
      <c r="M23" s="4"/>
      <c r="N23" s="32">
        <f t="shared" ref="N23:N33" si="15">IF(H23=0,0,L23/H23)</f>
        <v>8.9271800329780618E-2</v>
      </c>
      <c r="O23" s="10"/>
      <c r="P23" s="20">
        <f>SUM(OSRRefP22x_0)</f>
        <v>1215830.94</v>
      </c>
      <c r="Q23" s="20"/>
      <c r="R23" s="32">
        <f t="shared" ref="R23:R33" si="16">IF(P$12=0,0,P23/P$12)</f>
        <v>0.48186175897260397</v>
      </c>
      <c r="S23" s="20"/>
      <c r="T23" s="20">
        <f>SUM(OSRRefT22x_0)</f>
        <v>1137918.9100000004</v>
      </c>
      <c r="U23" s="20"/>
      <c r="V23" s="32">
        <f t="shared" ref="V23:V33" si="17">IF(T$12=0,0,T23/T$12)</f>
        <v>0.46821542629186941</v>
      </c>
      <c r="W23" s="4"/>
      <c r="X23" s="20">
        <f t="shared" ref="X23:X33" si="18">+P23-T23</f>
        <v>77912.029999999562</v>
      </c>
      <c r="Y23" s="4"/>
      <c r="Z23" s="32">
        <f t="shared" ref="Z23:Z33" si="19">IF(T23=0,0,X23/T23)</f>
        <v>6.8468877101268616E-2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33815.519999999997</v>
      </c>
      <c r="E24" s="1"/>
      <c r="F24" s="5">
        <f t="shared" si="12"/>
        <v>0.14797686161459594</v>
      </c>
      <c r="G24" s="1"/>
      <c r="H24" s="1">
        <f>SUM(OSRRefH22_0x_0)</f>
        <v>30372.389999999996</v>
      </c>
      <c r="I24" s="1"/>
      <c r="J24" s="5">
        <f t="shared" si="13"/>
        <v>0.14459175371996924</v>
      </c>
      <c r="K24" s="1"/>
      <c r="L24" s="1">
        <f t="shared" si="14"/>
        <v>3443.130000000001</v>
      </c>
      <c r="M24" s="1"/>
      <c r="N24" s="5">
        <f t="shared" si="15"/>
        <v>0.11336381496484148</v>
      </c>
      <c r="O24" s="13"/>
      <c r="P24" s="1">
        <f>SUM(OSRRefP22_0x_0)</f>
        <v>237513.92</v>
      </c>
      <c r="Q24" s="1"/>
      <c r="R24" s="5">
        <f t="shared" si="16"/>
        <v>9.4132228014923144E-2</v>
      </c>
      <c r="S24" s="1"/>
      <c r="T24" s="1">
        <f>SUM(OSRRefT22_0x_0)</f>
        <v>223974.54</v>
      </c>
      <c r="U24" s="1"/>
      <c r="V24" s="5">
        <f t="shared" si="17"/>
        <v>9.2158003354233145E-2</v>
      </c>
      <c r="W24" s="1"/>
      <c r="X24" s="1">
        <f t="shared" si="18"/>
        <v>13539.380000000005</v>
      </c>
      <c r="Y24" s="1"/>
      <c r="Z24" s="5">
        <f t="shared" si="19"/>
        <v>6.0450531564882351E-2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3339.87</v>
      </c>
      <c r="E25" s="2"/>
      <c r="F25" s="7">
        <f t="shared" si="12"/>
        <v>1.4615285549379119E-2</v>
      </c>
      <c r="G25" s="2"/>
      <c r="H25" s="6">
        <v>3489.1</v>
      </c>
      <c r="I25" s="2"/>
      <c r="J25" s="7">
        <f t="shared" si="13"/>
        <v>1.6610319039902517E-2</v>
      </c>
      <c r="K25" s="2"/>
      <c r="L25" s="6">
        <f t="shared" si="14"/>
        <v>-149.23000000000002</v>
      </c>
      <c r="M25" s="2"/>
      <c r="N25" s="7">
        <f t="shared" si="15"/>
        <v>-4.2770341921985616E-2</v>
      </c>
      <c r="O25" s="11"/>
      <c r="P25" s="6">
        <v>33186.15</v>
      </c>
      <c r="Q25" s="2"/>
      <c r="R25" s="7">
        <f t="shared" si="16"/>
        <v>1.3152434344637325E-2</v>
      </c>
      <c r="S25" s="2"/>
      <c r="T25" s="6">
        <v>32561.24</v>
      </c>
      <c r="U25" s="2"/>
      <c r="V25" s="7">
        <f t="shared" si="17"/>
        <v>1.3397857029365886E-2</v>
      </c>
      <c r="W25" s="2"/>
      <c r="X25" s="6">
        <f t="shared" si="18"/>
        <v>624.90999999999985</v>
      </c>
      <c r="Y25" s="2"/>
      <c r="Z25" s="7">
        <f t="shared" si="19"/>
        <v>1.9191836674524676E-2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2402.2199999999998</v>
      </c>
      <c r="E26" s="2"/>
      <c r="F26" s="7">
        <f t="shared" si="12"/>
        <v>1.0512125098410867E-2</v>
      </c>
      <c r="G26" s="2"/>
      <c r="H26" s="6">
        <v>2112.23</v>
      </c>
      <c r="I26" s="2"/>
      <c r="J26" s="7">
        <f t="shared" si="13"/>
        <v>1.0055548475438736E-2</v>
      </c>
      <c r="K26" s="2"/>
      <c r="L26" s="6">
        <f t="shared" si="14"/>
        <v>289.98999999999978</v>
      </c>
      <c r="M26" s="2"/>
      <c r="N26" s="7">
        <f t="shared" si="15"/>
        <v>0.13729092002291407</v>
      </c>
      <c r="O26" s="11"/>
      <c r="P26" s="6">
        <v>19692.240000000002</v>
      </c>
      <c r="Q26" s="2"/>
      <c r="R26" s="7">
        <f t="shared" si="16"/>
        <v>7.8044875256346674E-3</v>
      </c>
      <c r="S26" s="2"/>
      <c r="T26" s="6">
        <v>22099.279999999999</v>
      </c>
      <c r="U26" s="2"/>
      <c r="V26" s="7">
        <f t="shared" si="17"/>
        <v>9.0931117454963288E-3</v>
      </c>
      <c r="W26" s="2"/>
      <c r="X26" s="6">
        <f t="shared" si="18"/>
        <v>-2407.0399999999972</v>
      </c>
      <c r="Y26" s="2"/>
      <c r="Z26" s="7">
        <f t="shared" si="19"/>
        <v>-0.10891938560894279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19108.37</v>
      </c>
      <c r="E27" s="2"/>
      <c r="F27" s="7">
        <f t="shared" si="12"/>
        <v>8.3618309674684782E-2</v>
      </c>
      <c r="G27" s="2"/>
      <c r="H27" s="6">
        <v>16686.48</v>
      </c>
      <c r="I27" s="2"/>
      <c r="J27" s="7">
        <f t="shared" si="13"/>
        <v>7.9438180749463336E-2</v>
      </c>
      <c r="K27" s="2"/>
      <c r="L27" s="6">
        <f t="shared" si="14"/>
        <v>2421.8899999999994</v>
      </c>
      <c r="M27" s="2"/>
      <c r="N27" s="7">
        <f t="shared" si="15"/>
        <v>0.14514085654973363</v>
      </c>
      <c r="O27" s="11"/>
      <c r="P27" s="6">
        <v>122389.01000000001</v>
      </c>
      <c r="Q27" s="2"/>
      <c r="R27" s="7">
        <f t="shared" si="16"/>
        <v>4.8505578939713134E-2</v>
      </c>
      <c r="S27" s="2"/>
      <c r="T27" s="6">
        <v>110976.26</v>
      </c>
      <c r="U27" s="2"/>
      <c r="V27" s="7">
        <f t="shared" si="17"/>
        <v>4.5663005006373714E-2</v>
      </c>
      <c r="W27" s="2"/>
      <c r="X27" s="6">
        <f t="shared" si="18"/>
        <v>11412.750000000015</v>
      </c>
      <c r="Y27" s="2"/>
      <c r="Z27" s="7">
        <f t="shared" si="19"/>
        <v>0.10283956226313641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160.97</v>
      </c>
      <c r="E28" s="2"/>
      <c r="F28" s="7">
        <f t="shared" si="12"/>
        <v>7.0440541544537869E-4</v>
      </c>
      <c r="G28" s="2"/>
      <c r="H28" s="6">
        <v>156.87</v>
      </c>
      <c r="I28" s="2"/>
      <c r="J28" s="7">
        <f t="shared" si="13"/>
        <v>7.4680024871442714E-4</v>
      </c>
      <c r="K28" s="2"/>
      <c r="L28" s="6">
        <f t="shared" si="14"/>
        <v>4.0999999999999943</v>
      </c>
      <c r="M28" s="2"/>
      <c r="N28" s="7">
        <f t="shared" si="15"/>
        <v>2.6136291196532123E-2</v>
      </c>
      <c r="O28" s="11"/>
      <c r="P28" s="6">
        <v>1697.87</v>
      </c>
      <c r="Q28" s="2"/>
      <c r="R28" s="7">
        <f t="shared" si="16"/>
        <v>6.7290492270809872E-4</v>
      </c>
      <c r="S28" s="2"/>
      <c r="T28" s="6">
        <v>1644.11</v>
      </c>
      <c r="U28" s="2"/>
      <c r="V28" s="7">
        <f t="shared" si="17"/>
        <v>6.7649606466310078E-4</v>
      </c>
      <c r="W28" s="2"/>
      <c r="X28" s="6">
        <f t="shared" si="18"/>
        <v>53.759999999999991</v>
      </c>
      <c r="Y28" s="2"/>
      <c r="Z28" s="7">
        <f t="shared" si="19"/>
        <v>3.2698542068353084E-2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1939.96</v>
      </c>
      <c r="E29" s="2"/>
      <c r="F29" s="7">
        <f t="shared" si="12"/>
        <v>8.4892733412897849E-3</v>
      </c>
      <c r="G29" s="2"/>
      <c r="H29" s="6">
        <v>1686.77</v>
      </c>
      <c r="I29" s="2"/>
      <c r="J29" s="7">
        <f t="shared" si="13"/>
        <v>8.0300902372922433E-3</v>
      </c>
      <c r="K29" s="2"/>
      <c r="L29" s="6">
        <f t="shared" si="14"/>
        <v>253.19000000000005</v>
      </c>
      <c r="M29" s="2"/>
      <c r="N29" s="7">
        <f t="shared" si="15"/>
        <v>0.15010345216004556</v>
      </c>
      <c r="O29" s="11"/>
      <c r="P29" s="6">
        <v>9831.7000000000007</v>
      </c>
      <c r="Q29" s="2"/>
      <c r="R29" s="7">
        <f t="shared" si="16"/>
        <v>3.8965287852363345E-3</v>
      </c>
      <c r="S29" s="2"/>
      <c r="T29" s="6">
        <v>9005.5300000000007</v>
      </c>
      <c r="U29" s="2"/>
      <c r="V29" s="7">
        <f t="shared" si="17"/>
        <v>3.705473237925379E-3</v>
      </c>
      <c r="W29" s="2"/>
      <c r="X29" s="6">
        <f t="shared" si="18"/>
        <v>826.17000000000007</v>
      </c>
      <c r="Y29" s="2"/>
      <c r="Z29" s="7">
        <f t="shared" si="19"/>
        <v>9.17402973506279E-2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884.86</v>
      </c>
      <c r="E30" s="2"/>
      <c r="F30" s="7">
        <f t="shared" si="12"/>
        <v>3.8721511828974202E-3</v>
      </c>
      <c r="G30" s="2"/>
      <c r="H30" s="6">
        <v>684.55</v>
      </c>
      <c r="I30" s="2"/>
      <c r="J30" s="7">
        <f t="shared" si="13"/>
        <v>3.258890229218213E-3</v>
      </c>
      <c r="K30" s="2"/>
      <c r="L30" s="6">
        <f t="shared" si="14"/>
        <v>200.31000000000006</v>
      </c>
      <c r="M30" s="2"/>
      <c r="N30" s="7">
        <f t="shared" si="15"/>
        <v>0.29261558688189332</v>
      </c>
      <c r="O30" s="11"/>
      <c r="P30" s="6">
        <v>5510.33</v>
      </c>
      <c r="Q30" s="2"/>
      <c r="R30" s="7">
        <f t="shared" si="16"/>
        <v>2.1838704864012661E-3</v>
      </c>
      <c r="S30" s="2"/>
      <c r="T30" s="6">
        <v>5065.29</v>
      </c>
      <c r="U30" s="2"/>
      <c r="V30" s="7">
        <f t="shared" si="17"/>
        <v>2.0841967699103819E-3</v>
      </c>
      <c r="W30" s="2"/>
      <c r="X30" s="6">
        <f t="shared" si="18"/>
        <v>445.03999999999996</v>
      </c>
      <c r="Y30" s="2"/>
      <c r="Z30" s="7">
        <f t="shared" si="19"/>
        <v>8.7860714786320224E-2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2658.94</v>
      </c>
      <c r="E31" s="2"/>
      <c r="F31" s="7">
        <f t="shared" si="12"/>
        <v>1.163553292752895E-2</v>
      </c>
      <c r="G31" s="2"/>
      <c r="H31" s="6">
        <v>1882.85</v>
      </c>
      <c r="I31" s="2"/>
      <c r="J31" s="7">
        <f t="shared" si="13"/>
        <v>8.9635548434497288E-3</v>
      </c>
      <c r="K31" s="2"/>
      <c r="L31" s="6">
        <f t="shared" si="14"/>
        <v>776.09000000000015</v>
      </c>
      <c r="M31" s="2"/>
      <c r="N31" s="7">
        <f t="shared" si="15"/>
        <v>0.41218896885041306</v>
      </c>
      <c r="O31" s="11"/>
      <c r="P31" s="6">
        <v>20963.129999999997</v>
      </c>
      <c r="Q31" s="2"/>
      <c r="R31" s="7">
        <f t="shared" si="16"/>
        <v>8.3081704561420045E-3</v>
      </c>
      <c r="S31" s="2"/>
      <c r="T31" s="6">
        <v>19056.599999999999</v>
      </c>
      <c r="U31" s="2"/>
      <c r="V31" s="7">
        <f t="shared" si="17"/>
        <v>7.8411510822626509E-3</v>
      </c>
      <c r="W31" s="2"/>
      <c r="X31" s="6">
        <f t="shared" si="18"/>
        <v>1906.5299999999988</v>
      </c>
      <c r="Y31" s="2"/>
      <c r="Z31" s="7">
        <f t="shared" si="19"/>
        <v>0.10004565347438678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1743.76</v>
      </c>
      <c r="E32" s="2"/>
      <c r="F32" s="7">
        <f t="shared" si="12"/>
        <v>7.630701293638774E-3</v>
      </c>
      <c r="G32" s="2"/>
      <c r="H32" s="6">
        <v>2537.9</v>
      </c>
      <c r="I32" s="2"/>
      <c r="J32" s="7">
        <f t="shared" si="13"/>
        <v>1.2082006446180562E-2</v>
      </c>
      <c r="K32" s="2"/>
      <c r="L32" s="6">
        <f t="shared" si="14"/>
        <v>-794.1400000000001</v>
      </c>
      <c r="M32" s="2"/>
      <c r="N32" s="7">
        <f t="shared" si="15"/>
        <v>-0.31291225028566927</v>
      </c>
      <c r="O32" s="11"/>
      <c r="P32" s="6">
        <v>14738.68</v>
      </c>
      <c r="Q32" s="2"/>
      <c r="R32" s="7">
        <f t="shared" si="16"/>
        <v>5.8412777928930964E-3</v>
      </c>
      <c r="S32" s="2"/>
      <c r="T32" s="6">
        <v>14588.04</v>
      </c>
      <c r="U32" s="2"/>
      <c r="V32" s="7">
        <f t="shared" si="17"/>
        <v>6.0024886723807416E-3</v>
      </c>
      <c r="W32" s="2"/>
      <c r="X32" s="6">
        <f t="shared" si="18"/>
        <v>150.63999999999942</v>
      </c>
      <c r="Y32" s="2"/>
      <c r="Z32" s="7">
        <f t="shared" si="19"/>
        <v>1.0326267270997298E-2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1576.57</v>
      </c>
      <c r="E33" s="2"/>
      <c r="F33" s="7">
        <f t="shared" si="12"/>
        <v>6.8990771313208708E-3</v>
      </c>
      <c r="G33" s="2"/>
      <c r="H33" s="6">
        <v>1135.6400000000001</v>
      </c>
      <c r="I33" s="2"/>
      <c r="J33" s="7">
        <f t="shared" si="13"/>
        <v>5.4063634503095058E-3</v>
      </c>
      <c r="K33" s="2"/>
      <c r="L33" s="6">
        <f t="shared" si="14"/>
        <v>440.92999999999984</v>
      </c>
      <c r="M33" s="2"/>
      <c r="N33" s="7">
        <f t="shared" si="15"/>
        <v>0.38826564756436882</v>
      </c>
      <c r="O33" s="11"/>
      <c r="P33" s="6">
        <v>9504.81</v>
      </c>
      <c r="Q33" s="2"/>
      <c r="R33" s="7">
        <f t="shared" si="16"/>
        <v>3.7669747615572242E-3</v>
      </c>
      <c r="S33" s="2"/>
      <c r="T33" s="6">
        <v>8978.19</v>
      </c>
      <c r="U33" s="2"/>
      <c r="V33" s="7">
        <f t="shared" si="17"/>
        <v>3.6942237458549641E-3</v>
      </c>
      <c r="W33" s="2"/>
      <c r="X33" s="6">
        <f t="shared" si="18"/>
        <v>526.61999999999898</v>
      </c>
      <c r="Y33" s="2"/>
      <c r="Z33" s="7">
        <f t="shared" si="19"/>
        <v>5.865547510132877E-2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76120.56</v>
      </c>
      <c r="E34" s="1"/>
      <c r="F34" s="5">
        <f t="shared" ref="F34:F40" si="20">IF(D$12=0,0,D34/D$12)</f>
        <v>0.33310389942681784</v>
      </c>
      <c r="G34" s="1"/>
      <c r="H34" s="1">
        <f>SUM(OSRRefH22_1x_0)</f>
        <v>71783.899999999994</v>
      </c>
      <c r="I34" s="1"/>
      <c r="J34" s="5">
        <f t="shared" ref="J34:J40" si="21">IF(H$12=0,0,H34/H$12)</f>
        <v>0.34173668881042624</v>
      </c>
      <c r="K34" s="1"/>
      <c r="L34" s="1">
        <f t="shared" ref="L34:L40" si="22">+D34-H34</f>
        <v>4336.6600000000035</v>
      </c>
      <c r="M34" s="1"/>
      <c r="N34" s="5">
        <f t="shared" ref="N34:N40" si="23">IF(H34=0,0,L34/H34)</f>
        <v>6.0412710928216547E-2</v>
      </c>
      <c r="O34" s="13"/>
      <c r="P34" s="1">
        <f>SUM(OSRRefP22_1x_0)</f>
        <v>633527.69000000006</v>
      </c>
      <c r="Q34" s="1"/>
      <c r="R34" s="5">
        <f t="shared" ref="R34:R40" si="24">IF(P$12=0,0,P34/P$12)</f>
        <v>0.25108159121304363</v>
      </c>
      <c r="S34" s="1"/>
      <c r="T34" s="1">
        <f>SUM(OSRRefT22_1x_0)</f>
        <v>593888.19999999995</v>
      </c>
      <c r="U34" s="1"/>
      <c r="V34" s="5">
        <f t="shared" ref="V34:V40" si="25">IF(T$12=0,0,T34/T$12)</f>
        <v>0.24436505474077314</v>
      </c>
      <c r="W34" s="1"/>
      <c r="X34" s="1">
        <f t="shared" ref="X34:X40" si="26">+P34-T34</f>
        <v>39639.490000000107</v>
      </c>
      <c r="Y34" s="1"/>
      <c r="Z34" s="5">
        <f t="shared" ref="Z34:Z40" si="27">IF(T34=0,0,X34/T34)</f>
        <v>6.6745710724678664E-2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17548.900000000001</v>
      </c>
      <c r="E35" s="2"/>
      <c r="F35" s="7">
        <f t="shared" si="20"/>
        <v>7.6794062217241763E-2</v>
      </c>
      <c r="G35" s="2"/>
      <c r="H35" s="6">
        <v>14450.25</v>
      </c>
      <c r="I35" s="2"/>
      <c r="J35" s="7">
        <f t="shared" si="21"/>
        <v>6.8792313979636963E-2</v>
      </c>
      <c r="K35" s="2"/>
      <c r="L35" s="6">
        <f t="shared" si="22"/>
        <v>3098.6500000000015</v>
      </c>
      <c r="M35" s="2"/>
      <c r="N35" s="7">
        <f t="shared" si="23"/>
        <v>0.21443573640594463</v>
      </c>
      <c r="O35" s="11"/>
      <c r="P35" s="6">
        <v>107427.51</v>
      </c>
      <c r="Q35" s="2"/>
      <c r="R35" s="7">
        <f t="shared" si="24"/>
        <v>4.2575992457180765E-2</v>
      </c>
      <c r="S35" s="2"/>
      <c r="T35" s="6">
        <v>97686.43</v>
      </c>
      <c r="U35" s="2"/>
      <c r="V35" s="7">
        <f t="shared" si="25"/>
        <v>4.0194686162110485E-2</v>
      </c>
      <c r="W35" s="2"/>
      <c r="X35" s="6">
        <f t="shared" si="26"/>
        <v>9741.0800000000017</v>
      </c>
      <c r="Y35" s="2"/>
      <c r="Z35" s="7">
        <f t="shared" si="27"/>
        <v>9.9717842078986846E-2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14182.1</v>
      </c>
      <c r="E36" s="2"/>
      <c r="F36" s="7">
        <f t="shared" si="20"/>
        <v>6.2060930871515839E-2</v>
      </c>
      <c r="G36" s="2"/>
      <c r="H36" s="6">
        <v>12096.9</v>
      </c>
      <c r="I36" s="2"/>
      <c r="J36" s="7">
        <f t="shared" si="21"/>
        <v>5.758888205949865E-2</v>
      </c>
      <c r="K36" s="2"/>
      <c r="L36" s="6">
        <f t="shared" si="22"/>
        <v>2085.2000000000007</v>
      </c>
      <c r="M36" s="2"/>
      <c r="N36" s="7">
        <f t="shared" si="23"/>
        <v>0.17237474063603078</v>
      </c>
      <c r="O36" s="11"/>
      <c r="P36" s="6">
        <v>137846.63</v>
      </c>
      <c r="Q36" s="2"/>
      <c r="R36" s="7">
        <f t="shared" si="24"/>
        <v>5.4631789186287465E-2</v>
      </c>
      <c r="S36" s="2"/>
      <c r="T36" s="6">
        <v>137180.37</v>
      </c>
      <c r="U36" s="2"/>
      <c r="V36" s="7">
        <f t="shared" si="25"/>
        <v>5.6445116478841498E-2</v>
      </c>
      <c r="W36" s="2"/>
      <c r="X36" s="6">
        <f t="shared" si="26"/>
        <v>666.26000000000931</v>
      </c>
      <c r="Y36" s="2"/>
      <c r="Z36" s="7">
        <f t="shared" si="27"/>
        <v>4.8568173420148186E-3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6400.5</v>
      </c>
      <c r="E37" s="2"/>
      <c r="F37" s="7">
        <f t="shared" si="20"/>
        <v>2.8008615652346063E-2</v>
      </c>
      <c r="G37" s="2"/>
      <c r="H37" s="6">
        <v>10216.82</v>
      </c>
      <c r="I37" s="2"/>
      <c r="J37" s="7">
        <f t="shared" si="21"/>
        <v>4.8638514165044514E-2</v>
      </c>
      <c r="K37" s="2"/>
      <c r="L37" s="6">
        <f t="shared" si="22"/>
        <v>-3816.3199999999997</v>
      </c>
      <c r="M37" s="2"/>
      <c r="N37" s="7">
        <f t="shared" si="23"/>
        <v>-0.37353305627386996</v>
      </c>
      <c r="O37" s="11"/>
      <c r="P37" s="6">
        <v>113905.02</v>
      </c>
      <c r="Q37" s="2"/>
      <c r="R37" s="7">
        <f t="shared" si="24"/>
        <v>4.5143178617423271E-2</v>
      </c>
      <c r="S37" s="2"/>
      <c r="T37" s="6">
        <v>122733.77000000002</v>
      </c>
      <c r="U37" s="2"/>
      <c r="V37" s="7">
        <f t="shared" si="25"/>
        <v>5.0500825617669227E-2</v>
      </c>
      <c r="W37" s="2"/>
      <c r="X37" s="6">
        <f t="shared" si="26"/>
        <v>-8828.7500000000146</v>
      </c>
      <c r="Y37" s="2"/>
      <c r="Z37" s="7">
        <f t="shared" si="27"/>
        <v>-7.1934154715527873E-2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>
        <v>325</v>
      </c>
      <c r="E38" s="2"/>
      <c r="F38" s="7">
        <f t="shared" si="20"/>
        <v>1.4222014041110024E-3</v>
      </c>
      <c r="G38" s="2"/>
      <c r="H38" s="6">
        <v>1439.06</v>
      </c>
      <c r="I38" s="2"/>
      <c r="J38" s="7">
        <f t="shared" si="21"/>
        <v>6.8508342316248071E-3</v>
      </c>
      <c r="K38" s="2"/>
      <c r="L38" s="6">
        <f t="shared" si="22"/>
        <v>-1114.06</v>
      </c>
      <c r="M38" s="2"/>
      <c r="N38" s="7">
        <f t="shared" si="23"/>
        <v>-0.774158131002182</v>
      </c>
      <c r="O38" s="11"/>
      <c r="P38" s="6">
        <v>9286</v>
      </c>
      <c r="Q38" s="2"/>
      <c r="R38" s="7">
        <f t="shared" si="24"/>
        <v>3.6802553271259907E-3</v>
      </c>
      <c r="S38" s="2"/>
      <c r="T38" s="6">
        <v>7730.13</v>
      </c>
      <c r="U38" s="2"/>
      <c r="V38" s="7">
        <f t="shared" si="25"/>
        <v>3.180688958971222E-3</v>
      </c>
      <c r="W38" s="2"/>
      <c r="X38" s="6">
        <f t="shared" si="26"/>
        <v>1555.87</v>
      </c>
      <c r="Y38" s="2"/>
      <c r="Z38" s="7">
        <f t="shared" si="27"/>
        <v>0.20127345853174525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35460.559999999998</v>
      </c>
      <c r="E39" s="2"/>
      <c r="F39" s="7">
        <f t="shared" si="20"/>
        <v>0.15517556376173061</v>
      </c>
      <c r="G39" s="2"/>
      <c r="H39" s="6">
        <v>30655.870000000003</v>
      </c>
      <c r="I39" s="2"/>
      <c r="J39" s="7">
        <f t="shared" si="21"/>
        <v>0.14594129751104193</v>
      </c>
      <c r="K39" s="2"/>
      <c r="L39" s="6">
        <f t="shared" si="22"/>
        <v>4804.6899999999951</v>
      </c>
      <c r="M39" s="2"/>
      <c r="N39" s="7">
        <f t="shared" si="23"/>
        <v>0.15672985304282652</v>
      </c>
      <c r="O39" s="11"/>
      <c r="P39" s="6">
        <v>205502.03</v>
      </c>
      <c r="Q39" s="2"/>
      <c r="R39" s="7">
        <f t="shared" si="24"/>
        <v>8.1445179909832549E-2</v>
      </c>
      <c r="S39" s="2"/>
      <c r="T39" s="6">
        <v>171594.5</v>
      </c>
      <c r="U39" s="2"/>
      <c r="V39" s="7">
        <f t="shared" si="25"/>
        <v>7.0605375533165329E-2</v>
      </c>
      <c r="W39" s="2"/>
      <c r="X39" s="6">
        <f t="shared" si="26"/>
        <v>33907.53</v>
      </c>
      <c r="Y39" s="2"/>
      <c r="Z39" s="7">
        <f t="shared" si="27"/>
        <v>0.19760266208998539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>
        <v>2203.5</v>
      </c>
      <c r="E40" s="2"/>
      <c r="F40" s="7">
        <f t="shared" si="20"/>
        <v>9.6425255198725971E-3</v>
      </c>
      <c r="G40" s="2"/>
      <c r="H40" s="6">
        <v>2925</v>
      </c>
      <c r="I40" s="2"/>
      <c r="J40" s="7">
        <f t="shared" si="21"/>
        <v>1.3924846863579393E-2</v>
      </c>
      <c r="K40" s="2"/>
      <c r="L40" s="6">
        <f t="shared" si="22"/>
        <v>-721.5</v>
      </c>
      <c r="M40" s="2"/>
      <c r="N40" s="7">
        <f t="shared" si="23"/>
        <v>-0.24666666666666667</v>
      </c>
      <c r="O40" s="11"/>
      <c r="P40" s="6">
        <v>59560.5</v>
      </c>
      <c r="Q40" s="2"/>
      <c r="R40" s="7">
        <f t="shared" si="24"/>
        <v>2.3605195715193577E-2</v>
      </c>
      <c r="S40" s="2"/>
      <c r="T40" s="6">
        <v>56963</v>
      </c>
      <c r="U40" s="2"/>
      <c r="V40" s="7">
        <f t="shared" si="25"/>
        <v>2.3438361990015394E-2</v>
      </c>
      <c r="W40" s="2"/>
      <c r="X40" s="6">
        <f t="shared" si="26"/>
        <v>2597.5</v>
      </c>
      <c r="Y40" s="2"/>
      <c r="Z40" s="7">
        <f t="shared" si="27"/>
        <v>4.5599775292733881E-2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95.5</v>
      </c>
      <c r="E41" s="1"/>
      <c r="F41" s="5">
        <f t="shared" ref="F41:F62" si="28">IF(D$12=0,0,D41/D$12)</f>
        <v>4.1790841259261766E-4</v>
      </c>
      <c r="G41" s="1"/>
      <c r="H41" s="1">
        <f>SUM(OSRRefH22_2x_0)</f>
        <v>86.83</v>
      </c>
      <c r="I41" s="1"/>
      <c r="J41" s="5">
        <f t="shared" ref="J41:J62" si="29">IF(H$12=0,0,H41/H$12)</f>
        <v>4.1336562501353801E-4</v>
      </c>
      <c r="K41" s="1"/>
      <c r="L41" s="1">
        <f t="shared" ref="L41:L62" si="30">+D41-H41</f>
        <v>8.6700000000000017</v>
      </c>
      <c r="M41" s="1"/>
      <c r="N41" s="5">
        <f t="shared" ref="N41:N62" si="31">IF(H41=0,0,L41/H41)</f>
        <v>9.9850282160543619E-2</v>
      </c>
      <c r="O41" s="13"/>
      <c r="P41" s="1">
        <f>SUM(OSRRefP22_2x_0)</f>
        <v>2531.4499999999998</v>
      </c>
      <c r="Q41" s="1"/>
      <c r="R41" s="5">
        <f t="shared" ref="R41:R62" si="32">IF(P$12=0,0,P41/P$12)</f>
        <v>1.0032718444812716E-3</v>
      </c>
      <c r="S41" s="1"/>
      <c r="T41" s="1">
        <f>SUM(OSRRefT22_2x_0)</f>
        <v>3018.3</v>
      </c>
      <c r="U41" s="1"/>
      <c r="V41" s="5">
        <f t="shared" ref="V41:V62" si="33">IF(T$12=0,0,T41/T$12)</f>
        <v>1.2419291117824461E-3</v>
      </c>
      <c r="W41" s="1"/>
      <c r="X41" s="1">
        <f t="shared" ref="X41:X62" si="34">+P41-T41</f>
        <v>-486.85000000000036</v>
      </c>
      <c r="Y41" s="1"/>
      <c r="Z41" s="5">
        <f t="shared" ref="Z41:Z62" si="35">IF(T41=0,0,X41/T41)</f>
        <v>-0.16129940695093276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95.5</v>
      </c>
      <c r="E42" s="2"/>
      <c r="F42" s="7">
        <f t="shared" si="28"/>
        <v>4.1790841259261766E-4</v>
      </c>
      <c r="G42" s="2"/>
      <c r="H42" s="6">
        <v>86.83</v>
      </c>
      <c r="I42" s="2"/>
      <c r="J42" s="7">
        <f t="shared" si="29"/>
        <v>4.1336562501353801E-4</v>
      </c>
      <c r="K42" s="2"/>
      <c r="L42" s="6">
        <f t="shared" si="30"/>
        <v>8.6700000000000017</v>
      </c>
      <c r="M42" s="2"/>
      <c r="N42" s="7">
        <f t="shared" si="31"/>
        <v>9.9850282160543619E-2</v>
      </c>
      <c r="O42" s="11"/>
      <c r="P42" s="6">
        <v>2531.4499999999998</v>
      </c>
      <c r="Q42" s="2"/>
      <c r="R42" s="7">
        <f t="shared" si="32"/>
        <v>1.0032718444812716E-3</v>
      </c>
      <c r="S42" s="2"/>
      <c r="T42" s="6">
        <v>3018.3</v>
      </c>
      <c r="U42" s="2"/>
      <c r="V42" s="7">
        <f t="shared" si="33"/>
        <v>1.2419291117824461E-3</v>
      </c>
      <c r="W42" s="2"/>
      <c r="X42" s="6">
        <f t="shared" si="34"/>
        <v>-486.85000000000036</v>
      </c>
      <c r="Y42" s="2"/>
      <c r="Z42" s="7">
        <f t="shared" si="35"/>
        <v>-0.16129940695093276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16.239999999999998</v>
      </c>
      <c r="Q43" s="1"/>
      <c r="R43" s="5">
        <f t="shared" si="32"/>
        <v>6.4362854310280079E-6</v>
      </c>
      <c r="S43" s="1"/>
      <c r="T43" s="1">
        <f>SUM(OSRRefT22_3x_0)</f>
        <v>-39.880000000000003</v>
      </c>
      <c r="U43" s="1"/>
      <c r="V43" s="5">
        <f t="shared" si="33"/>
        <v>-1.6409281044920634E-5</v>
      </c>
      <c r="W43" s="1"/>
      <c r="X43" s="1">
        <f t="shared" si="34"/>
        <v>56.120000000000005</v>
      </c>
      <c r="Y43" s="1"/>
      <c r="Z43" s="5">
        <f t="shared" si="35"/>
        <v>-1.4072216649949849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16.239999999999998</v>
      </c>
      <c r="Q44" s="2"/>
      <c r="R44" s="7">
        <f t="shared" si="32"/>
        <v>6.4362854310280079E-6</v>
      </c>
      <c r="S44" s="2"/>
      <c r="T44" s="6">
        <v>-39.880000000000003</v>
      </c>
      <c r="U44" s="2"/>
      <c r="V44" s="7">
        <f t="shared" si="33"/>
        <v>-1.6409281044920634E-5</v>
      </c>
      <c r="W44" s="2"/>
      <c r="X44" s="6">
        <f t="shared" si="34"/>
        <v>56.120000000000005</v>
      </c>
      <c r="Y44" s="2"/>
      <c r="Z44" s="7">
        <f t="shared" si="35"/>
        <v>-1.4072216649949849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34.85</v>
      </c>
      <c r="E45" s="1"/>
      <c r="F45" s="5">
        <f t="shared" si="28"/>
        <v>1.5250375056390287E-4</v>
      </c>
      <c r="G45" s="1"/>
      <c r="H45" s="1">
        <f>SUM(OSRRefH22_4x_0)</f>
        <v>36.57</v>
      </c>
      <c r="I45" s="1"/>
      <c r="J45" s="5">
        <f t="shared" si="29"/>
        <v>1.7409629053029006E-4</v>
      </c>
      <c r="K45" s="1"/>
      <c r="L45" s="1">
        <f t="shared" si="30"/>
        <v>-1.7199999999999989</v>
      </c>
      <c r="M45" s="1"/>
      <c r="N45" s="5">
        <f t="shared" si="31"/>
        <v>-4.7033087229969892E-2</v>
      </c>
      <c r="O45" s="13"/>
      <c r="P45" s="1">
        <f>SUM(OSRRefP22_4x_0)</f>
        <v>956.8</v>
      </c>
      <c r="Q45" s="1"/>
      <c r="R45" s="5">
        <f t="shared" si="32"/>
        <v>3.7920184115810331E-4</v>
      </c>
      <c r="S45" s="1"/>
      <c r="T45" s="1">
        <f>SUM(OSRRefT22_4x_0)</f>
        <v>1002.59</v>
      </c>
      <c r="U45" s="1"/>
      <c r="V45" s="5">
        <f t="shared" si="33"/>
        <v>4.125321234409974E-4</v>
      </c>
      <c r="W45" s="1"/>
      <c r="X45" s="1">
        <f t="shared" si="34"/>
        <v>-45.790000000000077</v>
      </c>
      <c r="Y45" s="1"/>
      <c r="Z45" s="5">
        <f t="shared" si="35"/>
        <v>-4.5671710270399742E-2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34.85</v>
      </c>
      <c r="E46" s="2"/>
      <c r="F46" s="7">
        <f t="shared" si="28"/>
        <v>1.5250375056390287E-4</v>
      </c>
      <c r="G46" s="2"/>
      <c r="H46" s="6">
        <v>36.57</v>
      </c>
      <c r="I46" s="2"/>
      <c r="J46" s="7">
        <f t="shared" si="29"/>
        <v>1.7409629053029006E-4</v>
      </c>
      <c r="K46" s="2"/>
      <c r="L46" s="6">
        <f t="shared" si="30"/>
        <v>-1.7199999999999989</v>
      </c>
      <c r="M46" s="2"/>
      <c r="N46" s="7">
        <f t="shared" si="31"/>
        <v>-4.7033087229969892E-2</v>
      </c>
      <c r="O46" s="11"/>
      <c r="P46" s="6">
        <v>956.8</v>
      </c>
      <c r="Q46" s="2"/>
      <c r="R46" s="7">
        <f t="shared" si="32"/>
        <v>3.7920184115810331E-4</v>
      </c>
      <c r="S46" s="2"/>
      <c r="T46" s="6">
        <v>1002.59</v>
      </c>
      <c r="U46" s="2"/>
      <c r="V46" s="7">
        <f t="shared" si="33"/>
        <v>4.125321234409974E-4</v>
      </c>
      <c r="W46" s="2"/>
      <c r="X46" s="6">
        <f t="shared" si="34"/>
        <v>-45.790000000000077</v>
      </c>
      <c r="Y46" s="2"/>
      <c r="Z46" s="7">
        <f t="shared" si="35"/>
        <v>-4.5671710270399742E-2</v>
      </c>
    </row>
    <row r="47" spans="1:26" s="26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2177.48</v>
      </c>
      <c r="E47" s="1"/>
      <c r="F47" s="5">
        <f t="shared" si="28"/>
        <v>9.5286618874573098E-3</v>
      </c>
      <c r="G47" s="1"/>
      <c r="H47" s="1">
        <f>SUM(OSRRefH22_5x_0)</f>
        <v>1881.28</v>
      </c>
      <c r="I47" s="1"/>
      <c r="J47" s="5">
        <f t="shared" si="29"/>
        <v>8.9560806521417572E-3</v>
      </c>
      <c r="K47" s="1"/>
      <c r="L47" s="1">
        <f t="shared" si="30"/>
        <v>296.20000000000005</v>
      </c>
      <c r="M47" s="1"/>
      <c r="N47" s="5">
        <f t="shared" si="31"/>
        <v>0.15744599421670355</v>
      </c>
      <c r="O47" s="13"/>
      <c r="P47" s="1">
        <f>SUM(OSRRefP22_5x_0)</f>
        <v>19569.05</v>
      </c>
      <c r="Q47" s="1"/>
      <c r="R47" s="5">
        <f t="shared" si="32"/>
        <v>7.7556644959395713E-3</v>
      </c>
      <c r="S47" s="1"/>
      <c r="T47" s="1">
        <f>SUM(OSRRefT22_5x_0)</f>
        <v>16218.84</v>
      </c>
      <c r="U47" s="1"/>
      <c r="V47" s="5">
        <f t="shared" si="33"/>
        <v>6.6735081189217785E-3</v>
      </c>
      <c r="W47" s="1"/>
      <c r="X47" s="1">
        <f t="shared" si="34"/>
        <v>3350.2099999999991</v>
      </c>
      <c r="Y47" s="1"/>
      <c r="Z47" s="5">
        <f t="shared" si="35"/>
        <v>0.20656286146234867</v>
      </c>
    </row>
    <row r="48" spans="1:26" s="24" customFormat="1" hidden="1" outlineLevel="2" x14ac:dyDescent="0.25">
      <c r="A48" s="25"/>
      <c r="B48" s="11" t="str">
        <f>CONCATENATE("          ", "6399", " - ", "DONATION-ON CAMPUS")</f>
        <v xml:space="preserve">          6399 - DONATION-ON CAMPUS</v>
      </c>
      <c r="C48" s="11"/>
      <c r="D48" s="6">
        <v>2177.48</v>
      </c>
      <c r="E48" s="2"/>
      <c r="F48" s="7">
        <f t="shared" si="28"/>
        <v>9.5286618874573098E-3</v>
      </c>
      <c r="G48" s="2"/>
      <c r="H48" s="6">
        <v>1881.28</v>
      </c>
      <c r="I48" s="2"/>
      <c r="J48" s="7">
        <f t="shared" si="29"/>
        <v>8.9560806521417572E-3</v>
      </c>
      <c r="K48" s="2"/>
      <c r="L48" s="6">
        <f t="shared" si="30"/>
        <v>296.20000000000005</v>
      </c>
      <c r="M48" s="2"/>
      <c r="N48" s="7">
        <f t="shared" si="31"/>
        <v>0.15744599421670355</v>
      </c>
      <c r="O48" s="11"/>
      <c r="P48" s="6">
        <v>19569.05</v>
      </c>
      <c r="Q48" s="2"/>
      <c r="R48" s="7">
        <f t="shared" si="32"/>
        <v>7.7556644959395713E-3</v>
      </c>
      <c r="S48" s="2"/>
      <c r="T48" s="6">
        <v>16218.84</v>
      </c>
      <c r="U48" s="2"/>
      <c r="V48" s="7">
        <f t="shared" si="33"/>
        <v>6.6735081189217785E-3</v>
      </c>
      <c r="W48" s="2"/>
      <c r="X48" s="6">
        <f t="shared" si="34"/>
        <v>3350.2099999999991</v>
      </c>
      <c r="Y48" s="2"/>
      <c r="Z48" s="7">
        <f t="shared" si="35"/>
        <v>0.20656286146234867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488.02</v>
      </c>
      <c r="E49" s="1"/>
      <c r="F49" s="5">
        <f t="shared" si="28"/>
        <v>2.1355776284130812E-3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488.02</v>
      </c>
      <c r="M49" s="1"/>
      <c r="N49" s="5">
        <f t="shared" si="31"/>
        <v>0</v>
      </c>
      <c r="O49" s="13"/>
      <c r="P49" s="1">
        <f>SUM(OSRRefP22_6x_0)</f>
        <v>1564</v>
      </c>
      <c r="Q49" s="1"/>
      <c r="R49" s="5">
        <f t="shared" si="32"/>
        <v>6.1984916343151507E-4</v>
      </c>
      <c r="S49" s="1"/>
      <c r="T49" s="1">
        <f>SUM(OSRRefT22_6x_0)</f>
        <v>254.68</v>
      </c>
      <c r="U49" s="1"/>
      <c r="V49" s="5">
        <f t="shared" si="33"/>
        <v>1.0479226922067168E-4</v>
      </c>
      <c r="W49" s="1"/>
      <c r="X49" s="1">
        <f t="shared" si="34"/>
        <v>1309.32</v>
      </c>
      <c r="Y49" s="1"/>
      <c r="Z49" s="5">
        <f t="shared" si="35"/>
        <v>5.1410397361394686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6">
        <v>488.02</v>
      </c>
      <c r="E50" s="2"/>
      <c r="F50" s="7">
        <f t="shared" si="28"/>
        <v>2.1355776284130812E-3</v>
      </c>
      <c r="G50" s="2"/>
      <c r="H50" s="6"/>
      <c r="I50" s="2"/>
      <c r="J50" s="7">
        <f t="shared" si="29"/>
        <v>0</v>
      </c>
      <c r="K50" s="2"/>
      <c r="L50" s="6">
        <f t="shared" si="30"/>
        <v>488.02</v>
      </c>
      <c r="M50" s="2"/>
      <c r="N50" s="7">
        <f t="shared" si="31"/>
        <v>0</v>
      </c>
      <c r="O50" s="11"/>
      <c r="P50" s="6">
        <v>1564</v>
      </c>
      <c r="Q50" s="2"/>
      <c r="R50" s="7">
        <f t="shared" si="32"/>
        <v>6.1984916343151507E-4</v>
      </c>
      <c r="S50" s="2"/>
      <c r="T50" s="6">
        <v>254.68</v>
      </c>
      <c r="U50" s="2"/>
      <c r="V50" s="7">
        <f t="shared" si="33"/>
        <v>1.0479226922067168E-4</v>
      </c>
      <c r="W50" s="2"/>
      <c r="X50" s="6">
        <f t="shared" si="34"/>
        <v>1309.32</v>
      </c>
      <c r="Y50" s="2"/>
      <c r="Z50" s="7">
        <f t="shared" si="35"/>
        <v>5.1410397361394686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525.41999999999996</v>
      </c>
      <c r="E51" s="1"/>
      <c r="F51" s="5">
        <f t="shared" si="28"/>
        <v>2.299240189993855E-3</v>
      </c>
      <c r="G51" s="1"/>
      <c r="H51" s="1">
        <f>SUM(OSRRefH22_7x_0)</f>
        <v>300.85000000000002</v>
      </c>
      <c r="I51" s="1"/>
      <c r="J51" s="5">
        <f t="shared" si="29"/>
        <v>1.4322359586009781E-3</v>
      </c>
      <c r="K51" s="1"/>
      <c r="L51" s="1">
        <f t="shared" si="30"/>
        <v>224.56999999999994</v>
      </c>
      <c r="M51" s="1"/>
      <c r="N51" s="5">
        <f t="shared" si="31"/>
        <v>0.74645172012630856</v>
      </c>
      <c r="O51" s="13"/>
      <c r="P51" s="1">
        <f>SUM(OSRRefP22_7x_0)</f>
        <v>2027.97</v>
      </c>
      <c r="Q51" s="1"/>
      <c r="R51" s="5">
        <f t="shared" si="32"/>
        <v>8.0373114319962254E-4</v>
      </c>
      <c r="S51" s="1"/>
      <c r="T51" s="1">
        <f>SUM(OSRRefT22_7x_0)</f>
        <v>1709.59</v>
      </c>
      <c r="U51" s="1"/>
      <c r="V51" s="5">
        <f t="shared" si="33"/>
        <v>7.0343888619824122E-4</v>
      </c>
      <c r="W51" s="1"/>
      <c r="X51" s="1">
        <f t="shared" si="34"/>
        <v>318.38000000000011</v>
      </c>
      <c r="Y51" s="1"/>
      <c r="Z51" s="5">
        <f t="shared" si="35"/>
        <v>0.18623178656870953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6">
        <v>525.41999999999996</v>
      </c>
      <c r="E52" s="2"/>
      <c r="F52" s="7">
        <f t="shared" si="28"/>
        <v>2.299240189993855E-3</v>
      </c>
      <c r="G52" s="2"/>
      <c r="H52" s="6">
        <v>300.85000000000002</v>
      </c>
      <c r="I52" s="2"/>
      <c r="J52" s="7">
        <f t="shared" si="29"/>
        <v>1.4322359586009781E-3</v>
      </c>
      <c r="K52" s="2"/>
      <c r="L52" s="6">
        <f t="shared" si="30"/>
        <v>224.56999999999994</v>
      </c>
      <c r="M52" s="2"/>
      <c r="N52" s="7">
        <f t="shared" si="31"/>
        <v>0.74645172012630856</v>
      </c>
      <c r="O52" s="11"/>
      <c r="P52" s="6">
        <v>2027.97</v>
      </c>
      <c r="Q52" s="2"/>
      <c r="R52" s="7">
        <f t="shared" si="32"/>
        <v>8.0373114319962254E-4</v>
      </c>
      <c r="S52" s="2"/>
      <c r="T52" s="6">
        <v>1709.59</v>
      </c>
      <c r="U52" s="2"/>
      <c r="V52" s="7">
        <f t="shared" si="33"/>
        <v>7.0343888619824122E-4</v>
      </c>
      <c r="W52" s="2"/>
      <c r="X52" s="6">
        <f t="shared" si="34"/>
        <v>318.38000000000011</v>
      </c>
      <c r="Y52" s="2"/>
      <c r="Z52" s="7">
        <f t="shared" si="35"/>
        <v>0.18623178656870953</v>
      </c>
    </row>
    <row r="53" spans="1:26" s="26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3.7</v>
      </c>
      <c r="I53" s="1"/>
      <c r="J53" s="5">
        <f t="shared" si="29"/>
        <v>1.7614336203502139E-5</v>
      </c>
      <c r="K53" s="1"/>
      <c r="L53" s="1">
        <f t="shared" si="30"/>
        <v>-3.7</v>
      </c>
      <c r="M53" s="1"/>
      <c r="N53" s="5">
        <f t="shared" si="31"/>
        <v>-1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7.4</v>
      </c>
      <c r="U53" s="1"/>
      <c r="V53" s="5">
        <f t="shared" si="33"/>
        <v>3.0448515479541796E-6</v>
      </c>
      <c r="W53" s="1"/>
      <c r="X53" s="1">
        <f t="shared" si="34"/>
        <v>-7.4</v>
      </c>
      <c r="Y53" s="1"/>
      <c r="Z53" s="5">
        <f t="shared" si="35"/>
        <v>-1</v>
      </c>
    </row>
    <row r="54" spans="1:26" s="24" customFormat="1" hidden="1" outlineLevel="2" x14ac:dyDescent="0.25">
      <c r="A54" s="25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8"/>
        <v>0</v>
      </c>
      <c r="G54" s="2"/>
      <c r="H54" s="6">
        <v>3.7</v>
      </c>
      <c r="I54" s="2"/>
      <c r="J54" s="7">
        <f t="shared" si="29"/>
        <v>1.7614336203502139E-5</v>
      </c>
      <c r="K54" s="2"/>
      <c r="L54" s="6">
        <f t="shared" si="30"/>
        <v>-3.7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7.4</v>
      </c>
      <c r="U54" s="2"/>
      <c r="V54" s="7">
        <f t="shared" si="33"/>
        <v>3.0448515479541796E-6</v>
      </c>
      <c r="W54" s="2"/>
      <c r="X54" s="6">
        <f t="shared" si="34"/>
        <v>-7.4</v>
      </c>
      <c r="Y54" s="2"/>
      <c r="Z54" s="7">
        <f t="shared" si="35"/>
        <v>-1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305.45999999999998</v>
      </c>
      <c r="E55" s="1"/>
      <c r="F55" s="5">
        <f t="shared" si="28"/>
        <v>1.3366942796915284E-3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305.45999999999998</v>
      </c>
      <c r="M55" s="1"/>
      <c r="N55" s="5">
        <f t="shared" si="31"/>
        <v>0</v>
      </c>
      <c r="O55" s="13"/>
      <c r="P55" s="1">
        <f>SUM(OSRRefP22_9x_0)</f>
        <v>2974.62</v>
      </c>
      <c r="Q55" s="1"/>
      <c r="R55" s="5">
        <f t="shared" si="32"/>
        <v>1.1789103059633333E-3</v>
      </c>
      <c r="S55" s="1"/>
      <c r="T55" s="1">
        <f>SUM(OSRRefT22_9x_0)</f>
        <v>2347.09</v>
      </c>
      <c r="U55" s="1"/>
      <c r="V55" s="5">
        <f t="shared" si="33"/>
        <v>9.6574873239023992E-4</v>
      </c>
      <c r="W55" s="1"/>
      <c r="X55" s="1">
        <f t="shared" si="34"/>
        <v>627.52999999999975</v>
      </c>
      <c r="Y55" s="1"/>
      <c r="Z55" s="5">
        <f t="shared" si="35"/>
        <v>0.26736512021268877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>
        <v>305.45999999999998</v>
      </c>
      <c r="E56" s="2"/>
      <c r="F56" s="7">
        <f t="shared" si="28"/>
        <v>1.3366942796915284E-3</v>
      </c>
      <c r="G56" s="2"/>
      <c r="H56" s="6"/>
      <c r="I56" s="2"/>
      <c r="J56" s="7">
        <f t="shared" si="29"/>
        <v>0</v>
      </c>
      <c r="K56" s="2"/>
      <c r="L56" s="6">
        <f t="shared" si="30"/>
        <v>305.45999999999998</v>
      </c>
      <c r="M56" s="2"/>
      <c r="N56" s="7">
        <f t="shared" si="31"/>
        <v>0</v>
      </c>
      <c r="O56" s="11"/>
      <c r="P56" s="6">
        <v>2974.62</v>
      </c>
      <c r="Q56" s="2"/>
      <c r="R56" s="7">
        <f t="shared" si="32"/>
        <v>1.1789103059633333E-3</v>
      </c>
      <c r="S56" s="2"/>
      <c r="T56" s="6">
        <v>2347.09</v>
      </c>
      <c r="U56" s="2"/>
      <c r="V56" s="7">
        <f t="shared" si="33"/>
        <v>9.6574873239023992E-4</v>
      </c>
      <c r="W56" s="2"/>
      <c r="X56" s="6">
        <f t="shared" si="34"/>
        <v>627.52999999999975</v>
      </c>
      <c r="Y56" s="2"/>
      <c r="Z56" s="7">
        <f t="shared" si="35"/>
        <v>0.26736512021268877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18355.560000000001</v>
      </c>
      <c r="E57" s="1"/>
      <c r="F57" s="5">
        <f t="shared" si="28"/>
        <v>8.0324009862288479E-2</v>
      </c>
      <c r="G57" s="1"/>
      <c r="H57" s="1">
        <f>SUM(OSRRefH22_10x_0)</f>
        <v>17495.649999999998</v>
      </c>
      <c r="I57" s="1"/>
      <c r="J57" s="5">
        <f t="shared" si="29"/>
        <v>8.3290340864541124E-2</v>
      </c>
      <c r="K57" s="1"/>
      <c r="L57" s="1">
        <f t="shared" si="30"/>
        <v>859.91000000000349</v>
      </c>
      <c r="M57" s="1"/>
      <c r="N57" s="5">
        <f t="shared" si="31"/>
        <v>4.914993155441516E-2</v>
      </c>
      <c r="O57" s="13"/>
      <c r="P57" s="1">
        <f>SUM(OSRRefP22_10x_0)</f>
        <v>197004.46</v>
      </c>
      <c r="Q57" s="1"/>
      <c r="R57" s="5">
        <f t="shared" si="32"/>
        <v>7.8077397521277098E-2</v>
      </c>
      <c r="S57" s="1"/>
      <c r="T57" s="1">
        <f>SUM(OSRRefT22_10x_0)</f>
        <v>188160.48</v>
      </c>
      <c r="U57" s="1"/>
      <c r="V57" s="5">
        <f t="shared" si="33"/>
        <v>7.74217201070002E-2</v>
      </c>
      <c r="W57" s="1"/>
      <c r="X57" s="1">
        <f t="shared" si="34"/>
        <v>8843.9799999999814</v>
      </c>
      <c r="Y57" s="1"/>
      <c r="Z57" s="5">
        <f t="shared" si="35"/>
        <v>4.7002324824001199E-2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18355.560000000001</v>
      </c>
      <c r="E58" s="2"/>
      <c r="F58" s="7">
        <f t="shared" si="28"/>
        <v>8.0324009862288479E-2</v>
      </c>
      <c r="G58" s="2"/>
      <c r="H58" s="6">
        <v>17495.649999999998</v>
      </c>
      <c r="I58" s="2"/>
      <c r="J58" s="7">
        <f t="shared" si="29"/>
        <v>8.3290340864541124E-2</v>
      </c>
      <c r="K58" s="2"/>
      <c r="L58" s="6">
        <f t="shared" si="30"/>
        <v>859.91000000000349</v>
      </c>
      <c r="M58" s="2"/>
      <c r="N58" s="7">
        <f t="shared" si="31"/>
        <v>4.914993155441516E-2</v>
      </c>
      <c r="O58" s="11"/>
      <c r="P58" s="6">
        <v>197004.46</v>
      </c>
      <c r="Q58" s="2"/>
      <c r="R58" s="7">
        <f t="shared" si="32"/>
        <v>7.8077397521277098E-2</v>
      </c>
      <c r="S58" s="2"/>
      <c r="T58" s="6">
        <v>188160.48</v>
      </c>
      <c r="U58" s="2"/>
      <c r="V58" s="7">
        <f t="shared" si="33"/>
        <v>7.74217201070002E-2</v>
      </c>
      <c r="W58" s="2"/>
      <c r="X58" s="6">
        <f t="shared" si="34"/>
        <v>8843.9799999999814</v>
      </c>
      <c r="Y58" s="2"/>
      <c r="Z58" s="7">
        <f t="shared" si="35"/>
        <v>4.7002324824001199E-2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14.94</v>
      </c>
      <c r="I59" s="1"/>
      <c r="J59" s="5">
        <f t="shared" si="29"/>
        <v>7.1123833210897823E-5</v>
      </c>
      <c r="K59" s="1"/>
      <c r="L59" s="1">
        <f t="shared" si="30"/>
        <v>-14.94</v>
      </c>
      <c r="M59" s="1"/>
      <c r="N59" s="5">
        <f t="shared" si="31"/>
        <v>-1</v>
      </c>
      <c r="O59" s="13"/>
      <c r="P59" s="1">
        <f>SUM(OSRRefP22_11x_0)</f>
        <v>8798.31</v>
      </c>
      <c r="Q59" s="1"/>
      <c r="R59" s="5">
        <f t="shared" si="32"/>
        <v>3.4869725659278346E-3</v>
      </c>
      <c r="S59" s="1"/>
      <c r="T59" s="1">
        <f>SUM(OSRRefT22_11x_0)</f>
        <v>11090.579999999998</v>
      </c>
      <c r="U59" s="1"/>
      <c r="V59" s="5">
        <f t="shared" si="33"/>
        <v>4.5634013082040074E-3</v>
      </c>
      <c r="W59" s="1"/>
      <c r="X59" s="1">
        <f t="shared" si="34"/>
        <v>-2292.2699999999986</v>
      </c>
      <c r="Y59" s="1"/>
      <c r="Z59" s="5">
        <f t="shared" si="35"/>
        <v>-0.20668621478768459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8238.75</v>
      </c>
      <c r="Q60" s="2"/>
      <c r="R60" s="7">
        <f t="shared" si="32"/>
        <v>3.2652060711134238E-3</v>
      </c>
      <c r="S60" s="2"/>
      <c r="T60" s="6">
        <v>8778.98</v>
      </c>
      <c r="U60" s="2"/>
      <c r="V60" s="7">
        <f t="shared" si="33"/>
        <v>3.6122555192511867E-3</v>
      </c>
      <c r="W60" s="2"/>
      <c r="X60" s="6">
        <f t="shared" si="34"/>
        <v>-540.22999999999956</v>
      </c>
      <c r="Y60" s="2"/>
      <c r="Z60" s="7">
        <f t="shared" si="35"/>
        <v>-6.1536761673907397E-2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>
        <v>14.94</v>
      </c>
      <c r="I61" s="2"/>
      <c r="J61" s="7">
        <f t="shared" si="29"/>
        <v>7.1123833210897823E-5</v>
      </c>
      <c r="K61" s="2"/>
      <c r="L61" s="6">
        <f t="shared" si="30"/>
        <v>-14.94</v>
      </c>
      <c r="M61" s="2"/>
      <c r="N61" s="7">
        <f t="shared" si="31"/>
        <v>-1</v>
      </c>
      <c r="O61" s="11"/>
      <c r="P61" s="6">
        <v>202.15</v>
      </c>
      <c r="Q61" s="2"/>
      <c r="R61" s="7">
        <f t="shared" si="32"/>
        <v>8.0116693342506892E-5</v>
      </c>
      <c r="S61" s="2"/>
      <c r="T61" s="6">
        <v>209.06</v>
      </c>
      <c r="U61" s="2"/>
      <c r="V61" s="7">
        <f t="shared" si="33"/>
        <v>8.6021170893959569E-5</v>
      </c>
      <c r="W61" s="2"/>
      <c r="X61" s="6">
        <f t="shared" si="34"/>
        <v>-6.9099999999999966</v>
      </c>
      <c r="Y61" s="2"/>
      <c r="Z61" s="7">
        <f t="shared" si="35"/>
        <v>-3.3052712140055472E-2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357.41</v>
      </c>
      <c r="Q62" s="2"/>
      <c r="R62" s="7">
        <f t="shared" si="32"/>
        <v>1.4164980147190399E-4</v>
      </c>
      <c r="S62" s="2"/>
      <c r="T62" s="6">
        <v>2102.54</v>
      </c>
      <c r="U62" s="2"/>
      <c r="V62" s="7">
        <f t="shared" si="33"/>
        <v>8.6512461805886222E-4</v>
      </c>
      <c r="W62" s="2"/>
      <c r="X62" s="6">
        <f t="shared" si="34"/>
        <v>-1745.1299999999999</v>
      </c>
      <c r="Y62" s="2"/>
      <c r="Z62" s="7">
        <f t="shared" si="35"/>
        <v>-0.8300103684115403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5354.22</v>
      </c>
      <c r="E63" s="1"/>
      <c r="F63" s="5">
        <f t="shared" ref="F63:F66" si="36">IF(D$12=0,0,D63/D$12)</f>
        <v>2.3430089852059112E-2</v>
      </c>
      <c r="G63" s="1"/>
      <c r="H63" s="1">
        <f>SUM(OSRRefH22_12x_0)</f>
        <v>5018.46</v>
      </c>
      <c r="I63" s="1"/>
      <c r="J63" s="5">
        <f t="shared" ref="J63:J66" si="37">IF(H$12=0,0,H63/H$12)</f>
        <v>2.3891038287520903E-2</v>
      </c>
      <c r="K63" s="1"/>
      <c r="L63" s="1">
        <f t="shared" ref="L63:L66" si="38">+D63-H63</f>
        <v>335.76000000000022</v>
      </c>
      <c r="M63" s="1"/>
      <c r="N63" s="5">
        <f t="shared" ref="N63:N66" si="39">IF(H63=0,0,L63/H63)</f>
        <v>6.6904986788775878E-2</v>
      </c>
      <c r="O63" s="13"/>
      <c r="P63" s="1">
        <f>SUM(OSRRefP22_12x_0)</f>
        <v>42531.8</v>
      </c>
      <c r="Q63" s="1"/>
      <c r="R63" s="5">
        <f t="shared" ref="R63:R66" si="40">IF(P$12=0,0,P63/P$12)</f>
        <v>1.6856330338386519E-2</v>
      </c>
      <c r="S63" s="1"/>
      <c r="T63" s="1">
        <f>SUM(OSRRefT22_12x_0)</f>
        <v>35561.29</v>
      </c>
      <c r="U63" s="1"/>
      <c r="V63" s="5">
        <f t="shared" ref="V63:V66" si="41">IF(T$12=0,0,T63/T$12)</f>
        <v>1.4632276878884794E-2</v>
      </c>
      <c r="W63" s="1"/>
      <c r="X63" s="1">
        <f t="shared" ref="X63:X66" si="42">+P63-T63</f>
        <v>6970.510000000002</v>
      </c>
      <c r="Y63" s="1"/>
      <c r="Z63" s="5">
        <f t="shared" ref="Z63:Z66" si="43">IF(T63=0,0,X63/T63)</f>
        <v>0.19601398037022846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6"/>
        <v>0</v>
      </c>
      <c r="G64" s="2"/>
      <c r="H64" s="6">
        <v>421.34</v>
      </c>
      <c r="I64" s="2"/>
      <c r="J64" s="7">
        <f t="shared" si="37"/>
        <v>2.0058444367523219E-3</v>
      </c>
      <c r="K64" s="2"/>
      <c r="L64" s="6">
        <f t="shared" si="38"/>
        <v>-421.34</v>
      </c>
      <c r="M64" s="2"/>
      <c r="N64" s="7">
        <f t="shared" si="39"/>
        <v>-1</v>
      </c>
      <c r="O64" s="11"/>
      <c r="P64" s="6">
        <v>2949.38</v>
      </c>
      <c r="Q64" s="2"/>
      <c r="R64" s="7">
        <f t="shared" si="40"/>
        <v>1.1689071135816125E-3</v>
      </c>
      <c r="S64" s="2"/>
      <c r="T64" s="6">
        <v>2542.16</v>
      </c>
      <c r="U64" s="2"/>
      <c r="V64" s="7">
        <f t="shared" si="41"/>
        <v>1.0460134879928644E-3</v>
      </c>
      <c r="W64" s="2"/>
      <c r="X64" s="6">
        <f t="shared" si="42"/>
        <v>407.22000000000025</v>
      </c>
      <c r="Y64" s="2"/>
      <c r="Z64" s="7">
        <f t="shared" si="43"/>
        <v>0.16018661295905856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4194.1000000000004</v>
      </c>
      <c r="E65" s="2"/>
      <c r="F65" s="7">
        <f t="shared" si="36"/>
        <v>1.8353399719944478E-2</v>
      </c>
      <c r="G65" s="2"/>
      <c r="H65" s="6">
        <v>3916.67</v>
      </c>
      <c r="I65" s="2"/>
      <c r="J65" s="7">
        <f t="shared" si="37"/>
        <v>1.864582221031641E-2</v>
      </c>
      <c r="K65" s="2"/>
      <c r="L65" s="6">
        <f t="shared" si="38"/>
        <v>277.43000000000029</v>
      </c>
      <c r="M65" s="2"/>
      <c r="N65" s="7">
        <f t="shared" si="39"/>
        <v>7.0833131205845862E-2</v>
      </c>
      <c r="O65" s="11"/>
      <c r="P65" s="6">
        <v>30348.620000000003</v>
      </c>
      <c r="Q65" s="2"/>
      <c r="R65" s="7">
        <f t="shared" si="40"/>
        <v>1.2027855957992934E-2</v>
      </c>
      <c r="S65" s="2"/>
      <c r="T65" s="6">
        <v>25731.05</v>
      </c>
      <c r="U65" s="2"/>
      <c r="V65" s="7">
        <f t="shared" si="41"/>
        <v>1.0587463165268431E-2</v>
      </c>
      <c r="W65" s="2"/>
      <c r="X65" s="6">
        <f t="shared" si="42"/>
        <v>4617.5700000000033</v>
      </c>
      <c r="Y65" s="2"/>
      <c r="Z65" s="7">
        <f t="shared" si="43"/>
        <v>0.17945517186434301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1160.1199999999999</v>
      </c>
      <c r="E66" s="2"/>
      <c r="F66" s="7">
        <f t="shared" si="36"/>
        <v>5.0766901321146335E-3</v>
      </c>
      <c r="G66" s="2"/>
      <c r="H66" s="6">
        <v>680.45</v>
      </c>
      <c r="I66" s="2"/>
      <c r="J66" s="7">
        <f t="shared" si="37"/>
        <v>3.2393716404521705E-3</v>
      </c>
      <c r="K66" s="2"/>
      <c r="L66" s="6">
        <f t="shared" si="38"/>
        <v>479.66999999999985</v>
      </c>
      <c r="M66" s="2"/>
      <c r="N66" s="7">
        <f t="shared" si="39"/>
        <v>0.70493056065838755</v>
      </c>
      <c r="O66" s="11"/>
      <c r="P66" s="6">
        <v>9233.7999999999993</v>
      </c>
      <c r="Q66" s="2"/>
      <c r="R66" s="7">
        <f t="shared" si="40"/>
        <v>3.6595672668119717E-3</v>
      </c>
      <c r="S66" s="2"/>
      <c r="T66" s="6">
        <v>7288.08</v>
      </c>
      <c r="U66" s="2"/>
      <c r="V66" s="7">
        <f t="shared" si="41"/>
        <v>2.9988002256234993E-3</v>
      </c>
      <c r="W66" s="2"/>
      <c r="X66" s="6">
        <f t="shared" si="42"/>
        <v>1945.7199999999993</v>
      </c>
      <c r="Y66" s="2"/>
      <c r="Z66" s="7">
        <f t="shared" si="43"/>
        <v>0.26697292016553048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5722.34</v>
      </c>
      <c r="E67" s="1"/>
      <c r="F67" s="5">
        <f t="shared" ref="F67:F75" si="44">IF(D$12=0,0,D67/D$12)</f>
        <v>2.5040984562463241E-2</v>
      </c>
      <c r="G67" s="1"/>
      <c r="H67" s="1">
        <f>SUM(OSRRefH22_13x_0)</f>
        <v>4786.5</v>
      </c>
      <c r="I67" s="1"/>
      <c r="J67" s="5">
        <f t="shared" ref="J67:J75" si="45">IF(H$12=0,0,H67/H$12)</f>
        <v>2.2786762226503509E-2</v>
      </c>
      <c r="K67" s="1"/>
      <c r="L67" s="1">
        <f t="shared" ref="L67:L75" si="46">+D67-H67</f>
        <v>935.84000000000015</v>
      </c>
      <c r="M67" s="1"/>
      <c r="N67" s="5">
        <f t="shared" ref="N67:N75" si="47">IF(H67=0,0,L67/H67)</f>
        <v>0.19551655698318191</v>
      </c>
      <c r="O67" s="13"/>
      <c r="P67" s="1">
        <f>SUM(OSRRefP22_13x_0)</f>
        <v>63615.87</v>
      </c>
      <c r="Q67" s="1"/>
      <c r="R67" s="5">
        <f t="shared" ref="R67:R75" si="48">IF(P$12=0,0,P67/P$12)</f>
        <v>2.5212432097485946E-2</v>
      </c>
      <c r="S67" s="1"/>
      <c r="T67" s="1">
        <f>SUM(OSRRefT22_13x_0)</f>
        <v>58774.25</v>
      </c>
      <c r="U67" s="1"/>
      <c r="V67" s="5">
        <f t="shared" ref="V67:V75" si="49">IF(T$12=0,0,T67/T$12)</f>
        <v>2.4183630553019721E-2</v>
      </c>
      <c r="W67" s="1"/>
      <c r="X67" s="1">
        <f t="shared" ref="X67:X75" si="50">+P67-T67</f>
        <v>4841.6200000000026</v>
      </c>
      <c r="Y67" s="1"/>
      <c r="Z67" s="5">
        <f t="shared" ref="Z67:Z75" si="51">IF(T67=0,0,X67/T67)</f>
        <v>8.2376550955563066E-2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100</v>
      </c>
      <c r="Q68" s="2"/>
      <c r="R68" s="7">
        <f t="shared" si="48"/>
        <v>3.9632299452142908E-5</v>
      </c>
      <c r="S68" s="2"/>
      <c r="T68" s="6"/>
      <c r="U68" s="2"/>
      <c r="V68" s="7">
        <f t="shared" si="49"/>
        <v>0</v>
      </c>
      <c r="W68" s="2"/>
      <c r="X68" s="6">
        <f t="shared" si="50"/>
        <v>100</v>
      </c>
      <c r="Y68" s="2"/>
      <c r="Z68" s="7">
        <f t="shared" si="51"/>
        <v>0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>
        <v>3525.68</v>
      </c>
      <c r="E69" s="2"/>
      <c r="F69" s="7">
        <f t="shared" si="44"/>
        <v>1.5428390912141781E-2</v>
      </c>
      <c r="G69" s="2"/>
      <c r="H69" s="6">
        <v>2720.08</v>
      </c>
      <c r="I69" s="2"/>
      <c r="J69" s="7">
        <f t="shared" si="45"/>
        <v>1.2949298275789755E-2</v>
      </c>
      <c r="K69" s="2"/>
      <c r="L69" s="6">
        <f t="shared" si="46"/>
        <v>805.59999999999991</v>
      </c>
      <c r="M69" s="2"/>
      <c r="N69" s="7">
        <f t="shared" si="47"/>
        <v>0.2961677597717714</v>
      </c>
      <c r="O69" s="11"/>
      <c r="P69" s="6">
        <v>26622.769999999997</v>
      </c>
      <c r="Q69" s="2"/>
      <c r="R69" s="7">
        <f t="shared" si="48"/>
        <v>1.0551215928855264E-2</v>
      </c>
      <c r="S69" s="2"/>
      <c r="T69" s="6">
        <v>26333.32</v>
      </c>
      <c r="U69" s="2"/>
      <c r="V69" s="7">
        <f t="shared" si="49"/>
        <v>1.0835277049293615E-2</v>
      </c>
      <c r="W69" s="2"/>
      <c r="X69" s="6">
        <f t="shared" si="50"/>
        <v>289.44999999999709</v>
      </c>
      <c r="Y69" s="2"/>
      <c r="Z69" s="7">
        <f t="shared" si="51"/>
        <v>1.0991777717355695E-2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6">
        <v>156.97999999999999</v>
      </c>
      <c r="E70" s="2"/>
      <c r="F70" s="7">
        <f t="shared" si="44"/>
        <v>6.8694515820721589E-4</v>
      </c>
      <c r="G70" s="2"/>
      <c r="H70" s="6">
        <v>371.44</v>
      </c>
      <c r="I70" s="2"/>
      <c r="J70" s="7">
        <f t="shared" si="45"/>
        <v>1.7682889295753605E-3</v>
      </c>
      <c r="K70" s="2"/>
      <c r="L70" s="6">
        <f t="shared" si="46"/>
        <v>-214.46</v>
      </c>
      <c r="M70" s="2"/>
      <c r="N70" s="7">
        <f t="shared" si="47"/>
        <v>-0.57737454232177476</v>
      </c>
      <c r="O70" s="11"/>
      <c r="P70" s="6">
        <v>16070.7</v>
      </c>
      <c r="Q70" s="2"/>
      <c r="R70" s="7">
        <f t="shared" si="48"/>
        <v>6.3691879480555309E-3</v>
      </c>
      <c r="S70" s="2"/>
      <c r="T70" s="6">
        <v>6918.48</v>
      </c>
      <c r="U70" s="2"/>
      <c r="V70" s="7">
        <f t="shared" si="49"/>
        <v>2.8467222347959499E-3</v>
      </c>
      <c r="W70" s="2"/>
      <c r="X70" s="6">
        <f t="shared" si="50"/>
        <v>9152.2200000000012</v>
      </c>
      <c r="Y70" s="2"/>
      <c r="Z70" s="7">
        <f t="shared" si="51"/>
        <v>1.3228657161688697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>
        <v>65.83</v>
      </c>
      <c r="E71" s="2"/>
      <c r="F71" s="7">
        <f t="shared" si="44"/>
        <v>2.8807236440808395E-4</v>
      </c>
      <c r="G71" s="2"/>
      <c r="H71" s="6">
        <v>66.87</v>
      </c>
      <c r="I71" s="2"/>
      <c r="J71" s="7">
        <f t="shared" si="45"/>
        <v>3.1834342214275354E-4</v>
      </c>
      <c r="K71" s="2"/>
      <c r="L71" s="6">
        <f t="shared" si="46"/>
        <v>-1.0400000000000063</v>
      </c>
      <c r="M71" s="2"/>
      <c r="N71" s="7">
        <f t="shared" si="47"/>
        <v>-1.5552564677733006E-2</v>
      </c>
      <c r="O71" s="11"/>
      <c r="P71" s="6">
        <v>2821.85</v>
      </c>
      <c r="Q71" s="2"/>
      <c r="R71" s="7">
        <f t="shared" si="48"/>
        <v>1.1183640420902945E-3</v>
      </c>
      <c r="S71" s="2"/>
      <c r="T71" s="6">
        <v>2200.56</v>
      </c>
      <c r="U71" s="2"/>
      <c r="V71" s="7">
        <f t="shared" si="49"/>
        <v>9.0545655707649313E-4</v>
      </c>
      <c r="W71" s="2"/>
      <c r="X71" s="6">
        <f t="shared" si="50"/>
        <v>621.29</v>
      </c>
      <c r="Y71" s="2"/>
      <c r="Z71" s="7">
        <f t="shared" si="51"/>
        <v>0.28233267895444797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6">
        <v>1244.18</v>
      </c>
      <c r="E72" s="2"/>
      <c r="F72" s="7">
        <f t="shared" si="44"/>
        <v>5.4445370552825452E-3</v>
      </c>
      <c r="G72" s="2"/>
      <c r="H72" s="6">
        <v>1628.11</v>
      </c>
      <c r="I72" s="2"/>
      <c r="J72" s="7">
        <f t="shared" si="45"/>
        <v>7.7508315989956392E-3</v>
      </c>
      <c r="K72" s="2"/>
      <c r="L72" s="6">
        <f t="shared" si="46"/>
        <v>-383.92999999999984</v>
      </c>
      <c r="M72" s="2"/>
      <c r="N72" s="7">
        <f t="shared" si="47"/>
        <v>-0.23581330499781947</v>
      </c>
      <c r="O72" s="11"/>
      <c r="P72" s="6">
        <v>14837.76</v>
      </c>
      <c r="Q72" s="2"/>
      <c r="R72" s="7">
        <f t="shared" si="48"/>
        <v>5.8805454751902795E-3</v>
      </c>
      <c r="S72" s="2"/>
      <c r="T72" s="6">
        <v>20320.8</v>
      </c>
      <c r="U72" s="2"/>
      <c r="V72" s="7">
        <f t="shared" si="49"/>
        <v>8.3613269372523353E-3</v>
      </c>
      <c r="W72" s="2"/>
      <c r="X72" s="6">
        <f t="shared" si="50"/>
        <v>-5483.0399999999991</v>
      </c>
      <c r="Y72" s="2"/>
      <c r="Z72" s="7">
        <f t="shared" si="51"/>
        <v>-0.26982402267627253</v>
      </c>
    </row>
    <row r="73" spans="1:26" s="24" customFormat="1" hidden="1" outlineLevel="2" x14ac:dyDescent="0.25">
      <c r="A73" s="25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441</v>
      </c>
      <c r="Q73" s="2"/>
      <c r="R73" s="7">
        <f t="shared" si="48"/>
        <v>1.7477844058395024E-4</v>
      </c>
      <c r="S73" s="2"/>
      <c r="T73" s="6"/>
      <c r="U73" s="2"/>
      <c r="V73" s="7">
        <f t="shared" si="49"/>
        <v>0</v>
      </c>
      <c r="W73" s="2"/>
      <c r="X73" s="6">
        <f t="shared" si="50"/>
        <v>441</v>
      </c>
      <c r="Y73" s="2"/>
      <c r="Z73" s="7">
        <f t="shared" si="51"/>
        <v>0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153.87</v>
      </c>
      <c r="Q74" s="2"/>
      <c r="R74" s="7">
        <f t="shared" si="48"/>
        <v>6.0982219167012297E-5</v>
      </c>
      <c r="S74" s="2"/>
      <c r="T74" s="6"/>
      <c r="U74" s="2"/>
      <c r="V74" s="7">
        <f t="shared" si="49"/>
        <v>0</v>
      </c>
      <c r="W74" s="2"/>
      <c r="X74" s="6">
        <f t="shared" si="50"/>
        <v>153.87</v>
      </c>
      <c r="Y74" s="2"/>
      <c r="Z74" s="7">
        <f t="shared" si="51"/>
        <v>0</v>
      </c>
    </row>
    <row r="75" spans="1:26" s="24" customFormat="1" hidden="1" outlineLevel="2" x14ac:dyDescent="0.25">
      <c r="A75" s="25"/>
      <c r="B75" s="11" t="str">
        <f>CONCATENATE("          ", "6248", " - ", "UNIFORMS")</f>
        <v xml:space="preserve">          6248 - UNIFORMS</v>
      </c>
      <c r="C75" s="11"/>
      <c r="D75" s="6">
        <v>729.67</v>
      </c>
      <c r="E75" s="2"/>
      <c r="F75" s="7">
        <f t="shared" si="44"/>
        <v>3.1930390724236157E-3</v>
      </c>
      <c r="G75" s="2"/>
      <c r="H75" s="6"/>
      <c r="I75" s="2"/>
      <c r="J75" s="7">
        <f t="shared" si="45"/>
        <v>0</v>
      </c>
      <c r="K75" s="2"/>
      <c r="L75" s="6">
        <f t="shared" si="46"/>
        <v>729.67</v>
      </c>
      <c r="M75" s="2"/>
      <c r="N75" s="7">
        <f t="shared" si="47"/>
        <v>0</v>
      </c>
      <c r="O75" s="11"/>
      <c r="P75" s="6">
        <v>2567.92</v>
      </c>
      <c r="Q75" s="2"/>
      <c r="R75" s="7">
        <f t="shared" si="48"/>
        <v>1.0177257440914683E-3</v>
      </c>
      <c r="S75" s="2"/>
      <c r="T75" s="6">
        <v>3001.09</v>
      </c>
      <c r="U75" s="2"/>
      <c r="V75" s="7">
        <f t="shared" si="49"/>
        <v>1.2348477746013254E-3</v>
      </c>
      <c r="W75" s="2"/>
      <c r="X75" s="6">
        <f t="shared" si="50"/>
        <v>-433.17000000000007</v>
      </c>
      <c r="Y75" s="2"/>
      <c r="Z75" s="7">
        <f t="shared" si="51"/>
        <v>-0.14433755735416134</v>
      </c>
    </row>
    <row r="76" spans="1:26" s="26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261.25</v>
      </c>
      <c r="E76" s="1"/>
      <c r="F76" s="5">
        <f t="shared" ref="F76:F81" si="52">IF(D$12=0,0,D76/D$12)</f>
        <v>1.143231128689229E-3</v>
      </c>
      <c r="G76" s="1"/>
      <c r="H76" s="1">
        <f>SUM(OSRRefH22_14x_0)</f>
        <v>-14.6</v>
      </c>
      <c r="I76" s="1"/>
      <c r="J76" s="5">
        <f t="shared" ref="J76:J81" si="53">IF(H$12=0,0,H76/H$12)</f>
        <v>-6.9505218532738163E-5</v>
      </c>
      <c r="K76" s="1"/>
      <c r="L76" s="1">
        <f t="shared" ref="L76:L81" si="54">+D76-H76</f>
        <v>275.85000000000002</v>
      </c>
      <c r="M76" s="1"/>
      <c r="N76" s="5">
        <f t="shared" ref="N76:N81" si="55">IF(H76=0,0,L76/H76)</f>
        <v>-18.893835616438359</v>
      </c>
      <c r="O76" s="13"/>
      <c r="P76" s="1">
        <f>SUM(OSRRefP22_14x_0)</f>
        <v>2228.3000000000002</v>
      </c>
      <c r="Q76" s="1"/>
      <c r="R76" s="5">
        <f t="shared" ref="R76:R81" si="56">IF(P$12=0,0,P76/P$12)</f>
        <v>8.8312652869210054E-4</v>
      </c>
      <c r="S76" s="1"/>
      <c r="T76" s="1">
        <f>SUM(OSRRefT22_14x_0)</f>
        <v>1259.1500000000001</v>
      </c>
      <c r="U76" s="1"/>
      <c r="V76" s="5">
        <f t="shared" ref="V76:V81" si="57">IF(T$12=0,0,T76/T$12)</f>
        <v>5.1809794954141969E-4</v>
      </c>
      <c r="W76" s="1"/>
      <c r="X76" s="1">
        <f t="shared" ref="X76:X81" si="58">+P76-T76</f>
        <v>969.15000000000009</v>
      </c>
      <c r="Y76" s="1"/>
      <c r="Z76" s="5">
        <f t="shared" ref="Z76:Z81" si="59">IF(T76=0,0,X76/T76)</f>
        <v>0.76968589921772623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261.25</v>
      </c>
      <c r="E77" s="2"/>
      <c r="F77" s="7">
        <f t="shared" si="52"/>
        <v>1.143231128689229E-3</v>
      </c>
      <c r="G77" s="2"/>
      <c r="H77" s="6">
        <v>-14.6</v>
      </c>
      <c r="I77" s="2"/>
      <c r="J77" s="7">
        <f t="shared" si="53"/>
        <v>-6.9505218532738163E-5</v>
      </c>
      <c r="K77" s="2"/>
      <c r="L77" s="6">
        <f t="shared" si="54"/>
        <v>275.85000000000002</v>
      </c>
      <c r="M77" s="2"/>
      <c r="N77" s="7">
        <f t="shared" si="55"/>
        <v>-18.893835616438359</v>
      </c>
      <c r="O77" s="11"/>
      <c r="P77" s="6">
        <v>2228.3000000000002</v>
      </c>
      <c r="Q77" s="2"/>
      <c r="R77" s="7">
        <f t="shared" si="56"/>
        <v>8.8312652869210054E-4</v>
      </c>
      <c r="S77" s="2"/>
      <c r="T77" s="6">
        <v>1259.1500000000001</v>
      </c>
      <c r="U77" s="2"/>
      <c r="V77" s="7">
        <f t="shared" si="57"/>
        <v>5.1809794954141969E-4</v>
      </c>
      <c r="W77" s="2"/>
      <c r="X77" s="6">
        <f t="shared" si="58"/>
        <v>969.15000000000009</v>
      </c>
      <c r="Y77" s="2"/>
      <c r="Z77" s="7">
        <f t="shared" si="59"/>
        <v>0.76968589921772623</v>
      </c>
    </row>
    <row r="78" spans="1:26" s="26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273.32</v>
      </c>
      <c r="E78" s="1"/>
      <c r="F78" s="5">
        <f t="shared" si="52"/>
        <v>1.1960495008357514E-3</v>
      </c>
      <c r="G78" s="1"/>
      <c r="H78" s="1">
        <f>SUM(OSRRefH22_15x_0)</f>
        <v>0</v>
      </c>
      <c r="I78" s="1"/>
      <c r="J78" s="5">
        <f t="shared" si="53"/>
        <v>0</v>
      </c>
      <c r="K78" s="1"/>
      <c r="L78" s="1">
        <f t="shared" si="54"/>
        <v>273.32</v>
      </c>
      <c r="M78" s="1"/>
      <c r="N78" s="5">
        <f t="shared" si="55"/>
        <v>0</v>
      </c>
      <c r="O78" s="13"/>
      <c r="P78" s="1">
        <f>SUM(OSRRefP22_15x_0)</f>
        <v>911.32</v>
      </c>
      <c r="Q78" s="1"/>
      <c r="R78" s="5">
        <f t="shared" si="56"/>
        <v>3.6117707136726877E-4</v>
      </c>
      <c r="S78" s="1"/>
      <c r="T78" s="1">
        <f>SUM(OSRRefT22_15x_0)</f>
        <v>691.81</v>
      </c>
      <c r="U78" s="1"/>
      <c r="V78" s="5">
        <f t="shared" si="57"/>
        <v>2.8465658775542982E-4</v>
      </c>
      <c r="W78" s="1"/>
      <c r="X78" s="1">
        <f t="shared" si="58"/>
        <v>219.5100000000001</v>
      </c>
      <c r="Y78" s="1"/>
      <c r="Z78" s="5">
        <f t="shared" si="59"/>
        <v>0.31729810208005105</v>
      </c>
    </row>
    <row r="79" spans="1:26" s="24" customFormat="1" hidden="1" outlineLevel="2" x14ac:dyDescent="0.25">
      <c r="A79" s="25"/>
      <c r="B79" s="11" t="str">
        <f>CONCATENATE("          ", "6376", " - ", "TRAINING")</f>
        <v xml:space="preserve">          6376 - TRAINING</v>
      </c>
      <c r="C79" s="11"/>
      <c r="D79" s="6">
        <v>273.32</v>
      </c>
      <c r="E79" s="2"/>
      <c r="F79" s="7">
        <f t="shared" si="52"/>
        <v>1.1960495008357514E-3</v>
      </c>
      <c r="G79" s="2"/>
      <c r="H79" s="6"/>
      <c r="I79" s="2"/>
      <c r="J79" s="7">
        <f t="shared" si="53"/>
        <v>0</v>
      </c>
      <c r="K79" s="2"/>
      <c r="L79" s="6">
        <f t="shared" si="54"/>
        <v>273.32</v>
      </c>
      <c r="M79" s="2"/>
      <c r="N79" s="7">
        <f t="shared" si="55"/>
        <v>0</v>
      </c>
      <c r="O79" s="11"/>
      <c r="P79" s="6">
        <v>911.32</v>
      </c>
      <c r="Q79" s="2"/>
      <c r="R79" s="7">
        <f t="shared" si="56"/>
        <v>3.6117707136726877E-4</v>
      </c>
      <c r="S79" s="2"/>
      <c r="T79" s="6">
        <v>691.81</v>
      </c>
      <c r="U79" s="2"/>
      <c r="V79" s="7">
        <f t="shared" si="57"/>
        <v>2.8465658775542982E-4</v>
      </c>
      <c r="W79" s="2"/>
      <c r="X79" s="6">
        <f t="shared" si="58"/>
        <v>219.5100000000001</v>
      </c>
      <c r="Y79" s="2"/>
      <c r="Z79" s="7">
        <f t="shared" si="59"/>
        <v>0.31729810208005105</v>
      </c>
    </row>
    <row r="80" spans="1:26" s="26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3"/>
      <c r="P80" s="1">
        <f>SUM(OSRRefP22_16x_0)</f>
        <v>59.14</v>
      </c>
      <c r="Q80" s="1"/>
      <c r="R80" s="5">
        <f t="shared" si="56"/>
        <v>2.3438541895997318E-5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59.14</v>
      </c>
      <c r="Y80" s="1"/>
      <c r="Z80" s="5">
        <f t="shared" si="59"/>
        <v>0</v>
      </c>
    </row>
    <row r="81" spans="1:26" s="24" customFormat="1" hidden="1" outlineLevel="2" x14ac:dyDescent="0.25">
      <c r="A81" s="25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59.14</v>
      </c>
      <c r="Q81" s="2"/>
      <c r="R81" s="7">
        <f t="shared" si="56"/>
        <v>2.3438541895997318E-5</v>
      </c>
      <c r="S81" s="2"/>
      <c r="T81" s="6"/>
      <c r="U81" s="2"/>
      <c r="V81" s="7">
        <f t="shared" si="57"/>
        <v>0</v>
      </c>
      <c r="W81" s="2"/>
      <c r="X81" s="6">
        <f t="shared" si="58"/>
        <v>59.14</v>
      </c>
      <c r="Y81" s="2"/>
      <c r="Z81" s="7">
        <f t="shared" si="59"/>
        <v>0</v>
      </c>
    </row>
    <row r="82" spans="1:26" s="59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+D21-D23+D83</f>
        <v>22891.109999999957</v>
      </c>
      <c r="E85" s="14"/>
      <c r="F85" s="22">
        <f>IF(D$12=0,0,D85/D$12)</f>
        <v>0.10017159625741337</v>
      </c>
      <c r="G85" s="14"/>
      <c r="H85" s="21">
        <f>+H21-H23+H83</f>
        <v>21422.190000000031</v>
      </c>
      <c r="I85" s="14"/>
      <c r="J85" s="22">
        <f>IF(H$12=0,0,H85/H$12)</f>
        <v>0.10198315050683839</v>
      </c>
      <c r="K85" s="16"/>
      <c r="L85" s="21">
        <f>+D85-H85</f>
        <v>1468.9199999999255</v>
      </c>
      <c r="M85" s="16"/>
      <c r="N85" s="22">
        <f>IF(H85=0,0,L85/H85)</f>
        <v>6.8570020151997688E-2</v>
      </c>
      <c r="O85" s="29"/>
      <c r="P85" s="21">
        <f>+P21-P23+P83</f>
        <v>674914.69</v>
      </c>
      <c r="Q85" s="14"/>
      <c r="R85" s="22">
        <f>IF(P$12=0,0,P85/P$12)</f>
        <v>0.26748421098730196</v>
      </c>
      <c r="S85" s="14"/>
      <c r="T85" s="21">
        <f>+T21-T23+T83</f>
        <v>642707.91999999969</v>
      </c>
      <c r="U85" s="14"/>
      <c r="V85" s="22">
        <f>IF(T$12=0,0,T85/T$12)</f>
        <v>0.26445273041816353</v>
      </c>
      <c r="W85" s="16"/>
      <c r="X85" s="21">
        <f>+P85-T85</f>
        <v>32206.770000000251</v>
      </c>
      <c r="Y85" s="16"/>
      <c r="Z85" s="22">
        <f>IF(T85=0,0,X85/T85)</f>
        <v>5.0111052000106467E-2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15290.82</v>
      </c>
      <c r="E87" s="4"/>
      <c r="F87" s="12">
        <f>IF(D$12=0,0,D87/D$12)</f>
        <v>6.6912694381564913E-2</v>
      </c>
      <c r="G87" s="4"/>
      <c r="H87" s="4">
        <v>7686.12</v>
      </c>
      <c r="I87" s="4"/>
      <c r="J87" s="12">
        <f>IF(H$12=0,0,H87/H$12)</f>
        <v>3.6590784264989691E-2</v>
      </c>
      <c r="K87" s="4"/>
      <c r="L87" s="4">
        <f>+D87-H87</f>
        <v>7604.7</v>
      </c>
      <c r="M87" s="4"/>
      <c r="N87" s="12">
        <f>IF(H87=0,0,L87/H87)</f>
        <v>0.98940687889338186</v>
      </c>
      <c r="O87" s="10"/>
      <c r="P87" s="4">
        <v>263133.45</v>
      </c>
      <c r="Q87" s="4"/>
      <c r="R87" s="12">
        <f>IF(P$12=0,0,P87/P$12)</f>
        <v>0.10428583686275474</v>
      </c>
      <c r="S87" s="4"/>
      <c r="T87" s="4">
        <v>247287.45</v>
      </c>
      <c r="U87" s="4"/>
      <c r="V87" s="12">
        <f>IF(T$12=0,0,T87/T$12)</f>
        <v>0.10175048309758673</v>
      </c>
      <c r="W87" s="4"/>
      <c r="X87" s="4">
        <f>+P87-T87</f>
        <v>15846</v>
      </c>
      <c r="Y87" s="4"/>
      <c r="Z87" s="12">
        <f>IF(T87=0,0,X87/T87)</f>
        <v>6.4079272927113767E-2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4">
        <f>+D85-D87</f>
        <v>7600.2899999999572</v>
      </c>
      <c r="E89" s="14"/>
      <c r="F89" s="31">
        <f>IF(D$12=0,0,D89/D$12)</f>
        <v>3.3258901875848464E-2</v>
      </c>
      <c r="G89" s="14"/>
      <c r="H89" s="34">
        <f>+H85-H87</f>
        <v>13736.070000000032</v>
      </c>
      <c r="I89" s="14"/>
      <c r="J89" s="31">
        <f>IF(H$12=0,0,H89/H$12)</f>
        <v>6.5392366241848701E-2</v>
      </c>
      <c r="K89" s="16"/>
      <c r="L89" s="34">
        <f>D89-H89</f>
        <v>-6135.7800000000752</v>
      </c>
      <c r="M89" s="16"/>
      <c r="N89" s="31">
        <f>IF(H89=0,0,L89/H89)</f>
        <v>-0.44669108413105502</v>
      </c>
      <c r="O89" s="29"/>
      <c r="P89" s="34">
        <f>+P85-P87</f>
        <v>411781.23999999993</v>
      </c>
      <c r="Q89" s="14"/>
      <c r="R89" s="31">
        <f>IF(P$12=0,0,P89/P$12)</f>
        <v>0.16319837412454724</v>
      </c>
      <c r="S89" s="14"/>
      <c r="T89" s="34">
        <f>+T85-T87</f>
        <v>395420.46999999968</v>
      </c>
      <c r="U89" s="14"/>
      <c r="V89" s="31">
        <f>IF(T$12=0,0,T89/T$12)</f>
        <v>0.16270224732057678</v>
      </c>
      <c r="W89" s="16"/>
      <c r="X89" s="34">
        <f>P89-T89</f>
        <v>16360.770000000251</v>
      </c>
      <c r="Y89" s="16"/>
      <c r="Z89" s="31">
        <f>IF(T89=0,0,X89/T89)</f>
        <v>4.1375627316411479E-2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0">
        <f>SUM(D89:D91)</f>
        <v>7600.2899999999572</v>
      </c>
      <c r="E92" s="14"/>
      <c r="F92" s="33">
        <f>IF(D$12=0,0,D92/D$12)</f>
        <v>3.3258901875848464E-2</v>
      </c>
      <c r="G92" s="14"/>
      <c r="H92" s="30">
        <f>SUM(H89:H91)</f>
        <v>13736.070000000032</v>
      </c>
      <c r="I92" s="14"/>
      <c r="J92" s="33">
        <f>IF(H$12=0,0,H92/H$12)</f>
        <v>6.5392366241848701E-2</v>
      </c>
      <c r="K92" s="16"/>
      <c r="L92" s="30">
        <f>+D92-H92</f>
        <v>-6135.7800000000752</v>
      </c>
      <c r="M92" s="16"/>
      <c r="N92" s="33">
        <f>IF(H92=0,0,L92/H92)</f>
        <v>-0.44669108413105502</v>
      </c>
      <c r="O92" s="29"/>
      <c r="P92" s="30">
        <f>SUM(P89:P91)</f>
        <v>411781.23999999993</v>
      </c>
      <c r="Q92" s="14"/>
      <c r="R92" s="33">
        <f>IF(P$12=0,0,P92/P$12)</f>
        <v>0.16319837412454724</v>
      </c>
      <c r="S92" s="14"/>
      <c r="T92" s="30">
        <f>SUM(T89:T91)</f>
        <v>395420.46999999968</v>
      </c>
      <c r="U92" s="14"/>
      <c r="V92" s="33">
        <f>IF(T$12=0,0,T92/T$12)</f>
        <v>0.16270224732057678</v>
      </c>
      <c r="W92" s="16"/>
      <c r="X92" s="30">
        <f>+P92-T92</f>
        <v>16360.770000000251</v>
      </c>
      <c r="Y92" s="16"/>
      <c r="Z92" s="33">
        <f>IF(T92=0,0,X92/T92)</f>
        <v>4.1375627316411479E-2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43879.554386574076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","445", " - ", "Central Park Coffee House")</f>
        <v>Department 445 - Central Park Coffee House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1">
        <f>D12-D14</f>
        <v>0</v>
      </c>
      <c r="E16" s="14"/>
      <c r="F16" s="22">
        <f>IF(D$12=0,0,D16/D$12)</f>
        <v>0</v>
      </c>
      <c r="G16" s="14"/>
      <c r="H16" s="21">
        <f>H12-H14</f>
        <v>0</v>
      </c>
      <c r="I16" s="14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9"/>
      <c r="P16" s="21">
        <f>P12-P14</f>
        <v>0</v>
      </c>
      <c r="Q16" s="14"/>
      <c r="R16" s="22">
        <f>IF(P$12=0,0,P16/P$12)</f>
        <v>0</v>
      </c>
      <c r="S16" s="14"/>
      <c r="T16" s="21">
        <f>T12-T14</f>
        <v>0</v>
      </c>
      <c r="U16" s="14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0">
        <f>SUM(OSRRefD22x_0)</f>
        <v>0</v>
      </c>
      <c r="E18" s="20"/>
      <c r="F18" s="32">
        <f t="shared" ref="F18:F20" si="0">IF(D$12=0,0,D18/D$12)</f>
        <v>0</v>
      </c>
      <c r="G18" s="20"/>
      <c r="H18" s="20">
        <f>SUM(OSRRefH22x_0)</f>
        <v>0</v>
      </c>
      <c r="I18" s="20"/>
      <c r="J18" s="32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2">
        <f t="shared" ref="N18:N20" si="3">IF(H18=0,0,L18/H18)</f>
        <v>0</v>
      </c>
      <c r="O18" s="10"/>
      <c r="P18" s="20">
        <f>SUM(OSRRefP22x_0)</f>
        <v>0</v>
      </c>
      <c r="Q18" s="20"/>
      <c r="R18" s="32">
        <f t="shared" ref="R18:R20" si="4">IF(P$12=0,0,P18/P$12)</f>
        <v>0</v>
      </c>
      <c r="S18" s="20"/>
      <c r="T18" s="20">
        <f>SUM(OSRRefT22x_0)</f>
        <v>929.2</v>
      </c>
      <c r="U18" s="20"/>
      <c r="V18" s="32">
        <f t="shared" ref="V18:V20" si="5">IF(T$12=0,0,T18/T$12)</f>
        <v>0</v>
      </c>
      <c r="W18" s="4"/>
      <c r="X18" s="20">
        <f t="shared" ref="X18:X20" si="6">+P18-T18</f>
        <v>-929.2</v>
      </c>
      <c r="Y18" s="4"/>
      <c r="Z18" s="32">
        <f t="shared" ref="Z18:Z20" si="7">IF(T18=0,0,X18/T18)</f>
        <v>-1</v>
      </c>
    </row>
    <row r="19" spans="1:26" s="26" customFormat="1" outlineLevel="1" collapsed="1" x14ac:dyDescent="0.25">
      <c r="A19" s="27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5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59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3</v>
      </c>
      <c r="C24" s="28"/>
      <c r="D24" s="21">
        <f>+D16-D18+D22</f>
        <v>0</v>
      </c>
      <c r="E24" s="14"/>
      <c r="F24" s="22">
        <f>IF(D$12=0,0,D24/D$12)</f>
        <v>0</v>
      </c>
      <c r="G24" s="14"/>
      <c r="H24" s="21">
        <f>+H16-H18+H22</f>
        <v>0</v>
      </c>
      <c r="I24" s="14"/>
      <c r="J24" s="22">
        <f>IF(H$12=0,0,H24/H$12)</f>
        <v>0</v>
      </c>
      <c r="K24" s="16"/>
      <c r="L24" s="21">
        <f>+D24-H24</f>
        <v>0</v>
      </c>
      <c r="M24" s="16"/>
      <c r="N24" s="22">
        <f>IF(H24=0,0,L24/H24)</f>
        <v>0</v>
      </c>
      <c r="O24" s="29"/>
      <c r="P24" s="21">
        <f>+P16-P18+P22</f>
        <v>0</v>
      </c>
      <c r="Q24" s="14"/>
      <c r="R24" s="22">
        <f>IF(P$12=0,0,P24/P$12)</f>
        <v>0</v>
      </c>
      <c r="S24" s="14"/>
      <c r="T24" s="21">
        <f>+T16-T18+T22</f>
        <v>-929.2</v>
      </c>
      <c r="U24" s="14"/>
      <c r="V24" s="22">
        <f>IF(T$12=0,0,T24/T$12)</f>
        <v>0</v>
      </c>
      <c r="W24" s="16"/>
      <c r="X24" s="21">
        <f>+P24-T24</f>
        <v>929.2</v>
      </c>
      <c r="Y24" s="16"/>
      <c r="Z24" s="22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8" t="s">
        <v>4</v>
      </c>
      <c r="C28" s="28"/>
      <c r="D28" s="34">
        <f>+D24-D26</f>
        <v>0</v>
      </c>
      <c r="E28" s="14"/>
      <c r="F28" s="31">
        <f>IF(D$12=0,0,D28/D$12)</f>
        <v>0</v>
      </c>
      <c r="G28" s="14"/>
      <c r="H28" s="34">
        <f>+H24-H26</f>
        <v>0</v>
      </c>
      <c r="I28" s="14"/>
      <c r="J28" s="31">
        <f>IF(H$12=0,0,H28/H$12)</f>
        <v>0</v>
      </c>
      <c r="K28" s="16"/>
      <c r="L28" s="34">
        <f>D28-H28</f>
        <v>0</v>
      </c>
      <c r="M28" s="16"/>
      <c r="N28" s="31">
        <f>IF(H28=0,0,L28/H28)</f>
        <v>0</v>
      </c>
      <c r="O28" s="29"/>
      <c r="P28" s="34">
        <f>+P24-P26</f>
        <v>0</v>
      </c>
      <c r="Q28" s="14"/>
      <c r="R28" s="31">
        <f>IF(P$12=0,0,P28/P$12)</f>
        <v>0</v>
      </c>
      <c r="S28" s="14"/>
      <c r="T28" s="34">
        <f>+T24-T26</f>
        <v>-929.2</v>
      </c>
      <c r="U28" s="14"/>
      <c r="V28" s="31">
        <f>IF(T$12=0,0,T28/T$12)</f>
        <v>0</v>
      </c>
      <c r="W28" s="16"/>
      <c r="X28" s="34">
        <f>P28-T28</f>
        <v>929.2</v>
      </c>
      <c r="Y28" s="16"/>
      <c r="Z28" s="31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SUM(D28:D30)</f>
        <v>0</v>
      </c>
      <c r="E31" s="14"/>
      <c r="F31" s="33">
        <f>IF(D$12=0,0,D31/D$12)</f>
        <v>0</v>
      </c>
      <c r="G31" s="14"/>
      <c r="H31" s="30">
        <f>SUM(H28:H30)</f>
        <v>0</v>
      </c>
      <c r="I31" s="14"/>
      <c r="J31" s="33">
        <f>IF(H$12=0,0,H31/H$12)</f>
        <v>0</v>
      </c>
      <c r="K31" s="16"/>
      <c r="L31" s="30">
        <f>+D31-H31</f>
        <v>0</v>
      </c>
      <c r="M31" s="16"/>
      <c r="N31" s="33">
        <f>IF(H31=0,0,L31/H31)</f>
        <v>0</v>
      </c>
      <c r="O31" s="29"/>
      <c r="P31" s="30">
        <f>SUM(P28:P30)</f>
        <v>0</v>
      </c>
      <c r="Q31" s="14"/>
      <c r="R31" s="33">
        <f>IF(P$12=0,0,P31/P$12)</f>
        <v>0</v>
      </c>
      <c r="S31" s="14"/>
      <c r="T31" s="30">
        <f>SUM(T28:T30)</f>
        <v>-929.2</v>
      </c>
      <c r="U31" s="14"/>
      <c r="V31" s="33">
        <f>IF(T$12=0,0,T31/T$12)</f>
        <v>0</v>
      </c>
      <c r="W31" s="16"/>
      <c r="X31" s="30">
        <f>+P31-T31</f>
        <v>929.2</v>
      </c>
      <c r="Y31" s="16"/>
      <c r="Z31" s="33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43879.554405324074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5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","450", " - ", "Beachside Dining Hall")</f>
        <v>Department 450 - Beachside Dining Hall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146467.37</v>
      </c>
      <c r="E12" s="4"/>
      <c r="F12" s="12"/>
      <c r="G12" s="4"/>
      <c r="H12" s="4">
        <f>SUM(OSRRefH13x_0)</f>
        <v>132886.81999999998</v>
      </c>
      <c r="I12" s="4"/>
      <c r="J12" s="12"/>
      <c r="K12" s="4"/>
      <c r="L12" s="4">
        <f t="shared" ref="L12:L15" si="0">+D12-H12</f>
        <v>13580.550000000017</v>
      </c>
      <c r="M12" s="4"/>
      <c r="N12" s="12">
        <f t="shared" ref="N12:N15" si="1">IF(H12=0,0,L12/H12)</f>
        <v>0.10219636529792811</v>
      </c>
      <c r="O12" s="10"/>
      <c r="P12" s="4">
        <f>SUM(OSRRefP13x_0)</f>
        <v>1445345.27</v>
      </c>
      <c r="Q12" s="4"/>
      <c r="R12" s="12"/>
      <c r="S12" s="4"/>
      <c r="T12" s="4">
        <f>SUM(OSRRefT13x_0)</f>
        <v>1368385.57</v>
      </c>
      <c r="U12" s="4"/>
      <c r="V12" s="12"/>
      <c r="W12" s="4"/>
      <c r="X12" s="4">
        <f t="shared" ref="X12:X15" si="2">+P12-T12</f>
        <v>76959.699999999953</v>
      </c>
      <c r="Y12" s="4"/>
      <c r="Z12" s="12">
        <f t="shared" ref="Z12:Z15" si="3">IF(T12=0,0,X12/T12)</f>
        <v>5.6241239082928905E-2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--30.44</f>
        <v>30.44</v>
      </c>
      <c r="I13" s="2"/>
      <c r="J13" s="19"/>
      <c r="K13" s="2"/>
      <c r="L13" s="2">
        <f t="shared" si="0"/>
        <v>-30.44</v>
      </c>
      <c r="M13" s="2"/>
      <c r="N13" s="19">
        <f t="shared" si="1"/>
        <v>-1</v>
      </c>
      <c r="O13" s="11"/>
      <c r="P13" s="2">
        <f>--135.72</f>
        <v>135.72</v>
      </c>
      <c r="Q13" s="2"/>
      <c r="R13" s="19"/>
      <c r="S13" s="2"/>
      <c r="T13" s="2">
        <f>--650.25</f>
        <v>650.25</v>
      </c>
      <c r="U13" s="2"/>
      <c r="V13" s="19"/>
      <c r="W13" s="2"/>
      <c r="X13" s="2">
        <f t="shared" si="2"/>
        <v>-514.53</v>
      </c>
      <c r="Y13" s="2"/>
      <c r="Z13" s="19">
        <f t="shared" si="3"/>
        <v>-0.79128027681660895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--145969.43</f>
        <v>145969.43</v>
      </c>
      <c r="E14" s="2"/>
      <c r="F14" s="19"/>
      <c r="G14" s="2"/>
      <c r="H14" s="2">
        <f>--132654.61</f>
        <v>132654.60999999999</v>
      </c>
      <c r="I14" s="2"/>
      <c r="J14" s="19"/>
      <c r="K14" s="2"/>
      <c r="L14" s="2">
        <f t="shared" si="0"/>
        <v>13314.820000000007</v>
      </c>
      <c r="M14" s="2"/>
      <c r="N14" s="19">
        <f t="shared" si="1"/>
        <v>0.10037208657882307</v>
      </c>
      <c r="O14" s="11"/>
      <c r="P14" s="2">
        <f>--1438419.05</f>
        <v>1438419.05</v>
      </c>
      <c r="Q14" s="2"/>
      <c r="R14" s="19"/>
      <c r="S14" s="2"/>
      <c r="T14" s="2">
        <f>--1361908.82</f>
        <v>1361908.82</v>
      </c>
      <c r="U14" s="2"/>
      <c r="V14" s="19"/>
      <c r="W14" s="2"/>
      <c r="X14" s="2">
        <f t="shared" si="2"/>
        <v>76510.229999999981</v>
      </c>
      <c r="Y14" s="2"/>
      <c r="Z14" s="19">
        <f t="shared" si="3"/>
        <v>5.6178672813059521E-2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--497.94</f>
        <v>497.94</v>
      </c>
      <c r="E15" s="2"/>
      <c r="F15" s="19"/>
      <c r="G15" s="2"/>
      <c r="H15" s="2">
        <f>--201.77</f>
        <v>201.77</v>
      </c>
      <c r="I15" s="2"/>
      <c r="J15" s="19"/>
      <c r="K15" s="2"/>
      <c r="L15" s="2">
        <f t="shared" si="0"/>
        <v>296.16999999999996</v>
      </c>
      <c r="M15" s="2"/>
      <c r="N15" s="19">
        <f t="shared" si="1"/>
        <v>1.4678594439212962</v>
      </c>
      <c r="O15" s="11"/>
      <c r="P15" s="2">
        <f>--6790.5</f>
        <v>6790.5</v>
      </c>
      <c r="Q15" s="2"/>
      <c r="R15" s="19"/>
      <c r="S15" s="2"/>
      <c r="T15" s="2">
        <f>--5826.5</f>
        <v>5826.5</v>
      </c>
      <c r="U15" s="2"/>
      <c r="V15" s="19"/>
      <c r="W15" s="2"/>
      <c r="X15" s="2">
        <f t="shared" si="2"/>
        <v>964</v>
      </c>
      <c r="Y15" s="2"/>
      <c r="Z15" s="19">
        <f t="shared" si="3"/>
        <v>0.16545095683514974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32394.21</v>
      </c>
      <c r="E17" s="4"/>
      <c r="F17" s="12">
        <f t="shared" ref="F17:F19" si="4">IF(D$12=0,0,D17/D$12)</f>
        <v>0.22117014868226281</v>
      </c>
      <c r="G17" s="4"/>
      <c r="H17" s="4">
        <f>SUM(OSRRefH16x_0)</f>
        <v>32043.839999999997</v>
      </c>
      <c r="I17" s="4"/>
      <c r="J17" s="12">
        <f t="shared" ref="J17:J19" si="5">IF(H$12=0,0,H17/H$12)</f>
        <v>0.24113632939670016</v>
      </c>
      <c r="K17" s="4"/>
      <c r="L17" s="4">
        <f t="shared" ref="L17:L19" si="6">+D17-H17</f>
        <v>350.37000000000262</v>
      </c>
      <c r="M17" s="4"/>
      <c r="N17" s="12">
        <f t="shared" ref="N17:N19" si="7">IF(H17=0,0,L17/H17)</f>
        <v>1.0934082806555102E-2</v>
      </c>
      <c r="O17" s="10"/>
      <c r="P17" s="4">
        <f>SUM(OSRRefP16x_0)</f>
        <v>330064.09000000003</v>
      </c>
      <c r="Q17" s="4"/>
      <c r="R17" s="12">
        <f t="shared" ref="R17:R19" si="8">IF(P$12=0,0,P17/P$12)</f>
        <v>0.22836348992237684</v>
      </c>
      <c r="S17" s="4"/>
      <c r="T17" s="4">
        <f>SUM(OSRRefT16x_0)</f>
        <v>297171.03999999998</v>
      </c>
      <c r="U17" s="4"/>
      <c r="V17" s="12">
        <f t="shared" ref="V17:V19" si="9">IF(T$12=0,0,T17/T$12)</f>
        <v>0.21716908341849875</v>
      </c>
      <c r="W17" s="4"/>
      <c r="X17" s="4">
        <f t="shared" ref="X17:X19" si="10">+P17-T17</f>
        <v>32893.050000000047</v>
      </c>
      <c r="Y17" s="4"/>
      <c r="Z17" s="12">
        <f t="shared" ref="Z17:Z19" si="11">IF(T17=0,0,X17/T17)</f>
        <v>0.11068726616160192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34409.21</v>
      </c>
      <c r="E18" s="2"/>
      <c r="F18" s="19">
        <f t="shared" si="4"/>
        <v>0.23492747906922887</v>
      </c>
      <c r="G18" s="2"/>
      <c r="H18" s="2">
        <v>34587.839999999997</v>
      </c>
      <c r="I18" s="2"/>
      <c r="J18" s="19">
        <f t="shared" si="5"/>
        <v>0.26028044015200308</v>
      </c>
      <c r="K18" s="2"/>
      <c r="L18" s="2">
        <f t="shared" si="6"/>
        <v>-178.62999999999738</v>
      </c>
      <c r="M18" s="2"/>
      <c r="N18" s="19">
        <f t="shared" si="7"/>
        <v>-5.1645318123362833E-3</v>
      </c>
      <c r="O18" s="11"/>
      <c r="P18" s="2">
        <v>332961.09000000003</v>
      </c>
      <c r="Q18" s="2"/>
      <c r="R18" s="19">
        <f t="shared" si="8"/>
        <v>0.23036785528761583</v>
      </c>
      <c r="S18" s="2"/>
      <c r="T18" s="2">
        <v>303161.53999999998</v>
      </c>
      <c r="U18" s="2"/>
      <c r="V18" s="19">
        <f t="shared" si="9"/>
        <v>0.22154687000974438</v>
      </c>
      <c r="W18" s="2"/>
      <c r="X18" s="2">
        <f t="shared" si="10"/>
        <v>29799.550000000047</v>
      </c>
      <c r="Y18" s="2"/>
      <c r="Z18" s="19">
        <f t="shared" si="11"/>
        <v>9.8295944795636178E-2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-2015</v>
      </c>
      <c r="E19" s="2"/>
      <c r="F19" s="19">
        <f t="shared" si="4"/>
        <v>-1.3757330386966053E-2</v>
      </c>
      <c r="G19" s="2"/>
      <c r="H19" s="2">
        <v>-2544</v>
      </c>
      <c r="I19" s="2"/>
      <c r="J19" s="19">
        <f t="shared" si="5"/>
        <v>-1.9144110755302899E-2</v>
      </c>
      <c r="K19" s="2"/>
      <c r="L19" s="2">
        <f t="shared" si="6"/>
        <v>529</v>
      </c>
      <c r="M19" s="2"/>
      <c r="N19" s="19">
        <f t="shared" si="7"/>
        <v>-0.20794025157232704</v>
      </c>
      <c r="O19" s="11"/>
      <c r="P19" s="2">
        <v>-2897</v>
      </c>
      <c r="Q19" s="2"/>
      <c r="R19" s="19">
        <f t="shared" si="8"/>
        <v>-2.0043653652389924E-3</v>
      </c>
      <c r="S19" s="2"/>
      <c r="T19" s="2">
        <v>-5990.5</v>
      </c>
      <c r="U19" s="2"/>
      <c r="V19" s="19">
        <f t="shared" si="9"/>
        <v>-4.3777865912456235E-3</v>
      </c>
      <c r="W19" s="2"/>
      <c r="X19" s="2">
        <f t="shared" si="10"/>
        <v>3093.5</v>
      </c>
      <c r="Y19" s="2"/>
      <c r="Z19" s="19">
        <f t="shared" si="11"/>
        <v>-0.51640096819964942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1">
        <f>D12-D17</f>
        <v>114073.16</v>
      </c>
      <c r="E21" s="14"/>
      <c r="F21" s="22">
        <f>IF(D$12=0,0,D21/D$12)</f>
        <v>0.77882985131773719</v>
      </c>
      <c r="G21" s="14"/>
      <c r="H21" s="21">
        <f>H12-H17</f>
        <v>100842.97999999998</v>
      </c>
      <c r="I21" s="14"/>
      <c r="J21" s="22">
        <f>IF(H$12=0,0,H21/H$12)</f>
        <v>0.75886367060329984</v>
      </c>
      <c r="K21" s="16"/>
      <c r="L21" s="21">
        <f>+D21-H21</f>
        <v>13230.180000000022</v>
      </c>
      <c r="M21" s="16"/>
      <c r="N21" s="22">
        <f>IF(H21=0,0,L21/H21)</f>
        <v>0.13119584526359718</v>
      </c>
      <c r="O21" s="29"/>
      <c r="P21" s="21">
        <f>P12-P17</f>
        <v>1115281.18</v>
      </c>
      <c r="Q21" s="14"/>
      <c r="R21" s="22">
        <f>IF(P$12=0,0,P21/P$12)</f>
        <v>0.77163651007762313</v>
      </c>
      <c r="S21" s="14"/>
      <c r="T21" s="21">
        <f>T12-T17</f>
        <v>1071214.53</v>
      </c>
      <c r="U21" s="14"/>
      <c r="V21" s="22">
        <f>IF(T$12=0,0,T21/T$12)</f>
        <v>0.78283091658150117</v>
      </c>
      <c r="W21" s="16"/>
      <c r="X21" s="21">
        <f>+P21-T21</f>
        <v>44066.649999999907</v>
      </c>
      <c r="Y21" s="16"/>
      <c r="Z21" s="22">
        <f>IF(T21=0,0,X21/T21)</f>
        <v>4.113709137235088E-2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0">
        <f>SUM(OSRRefD22x_0)</f>
        <v>107473.15</v>
      </c>
      <c r="E23" s="20"/>
      <c r="F23" s="32">
        <f t="shared" ref="F23:F33" si="12">IF(D$12=0,0,D23/D$12)</f>
        <v>0.73376855199898783</v>
      </c>
      <c r="G23" s="20"/>
      <c r="H23" s="20">
        <f>SUM(OSRRefH22x_0)</f>
        <v>89696.689999999988</v>
      </c>
      <c r="I23" s="20"/>
      <c r="J23" s="32">
        <f t="shared" ref="J23:J33" si="13">IF(H$12=0,0,H23/H$12)</f>
        <v>0.67498560052832934</v>
      </c>
      <c r="K23" s="4"/>
      <c r="L23" s="20">
        <f t="shared" ref="L23:L33" si="14">+D23-H23</f>
        <v>17776.460000000006</v>
      </c>
      <c r="M23" s="4"/>
      <c r="N23" s="32">
        <f t="shared" ref="N23:N33" si="15">IF(H23=0,0,L23/H23)</f>
        <v>0.19818412474306477</v>
      </c>
      <c r="O23" s="10"/>
      <c r="P23" s="20">
        <f>SUM(OSRRefP22x_0)</f>
        <v>853968.87</v>
      </c>
      <c r="Q23" s="20"/>
      <c r="R23" s="32">
        <f t="shared" ref="R23:R33" si="16">IF(P$12=0,0,P23/P$12)</f>
        <v>0.59084074077331017</v>
      </c>
      <c r="S23" s="20"/>
      <c r="T23" s="20">
        <f>SUM(OSRRefT22x_0)</f>
        <v>719935.47999999986</v>
      </c>
      <c r="U23" s="20"/>
      <c r="V23" s="32">
        <f t="shared" ref="V23:V33" si="17">IF(T$12=0,0,T23/T$12)</f>
        <v>0.52612033902111366</v>
      </c>
      <c r="W23" s="4"/>
      <c r="X23" s="20">
        <f t="shared" ref="X23:X33" si="18">+P23-T23</f>
        <v>134033.39000000013</v>
      </c>
      <c r="Y23" s="4"/>
      <c r="Z23" s="32">
        <f t="shared" ref="Z23:Z33" si="19">IF(T23=0,0,X23/T23)</f>
        <v>0.18617416938529013</v>
      </c>
    </row>
    <row r="24" spans="1:26" s="26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28210.030000000006</v>
      </c>
      <c r="E24" s="1"/>
      <c r="F24" s="5">
        <f t="shared" si="12"/>
        <v>0.19260283024130226</v>
      </c>
      <c r="G24" s="1"/>
      <c r="H24" s="1">
        <f>SUM(OSRRefH22_0x_0)</f>
        <v>22631.129999999997</v>
      </c>
      <c r="I24" s="1"/>
      <c r="J24" s="5">
        <f t="shared" si="13"/>
        <v>0.1703037968701486</v>
      </c>
      <c r="K24" s="1"/>
      <c r="L24" s="1">
        <f t="shared" si="14"/>
        <v>5578.9000000000087</v>
      </c>
      <c r="M24" s="1"/>
      <c r="N24" s="5">
        <f t="shared" si="15"/>
        <v>0.24651442504196694</v>
      </c>
      <c r="O24" s="13"/>
      <c r="P24" s="1">
        <f>SUM(OSRRefP22_0x_0)</f>
        <v>188830.52000000002</v>
      </c>
      <c r="Q24" s="1"/>
      <c r="R24" s="5">
        <f t="shared" si="16"/>
        <v>0.13064734352366891</v>
      </c>
      <c r="S24" s="1"/>
      <c r="T24" s="1">
        <f>SUM(OSRRefT22_0x_0)</f>
        <v>170992.71999999997</v>
      </c>
      <c r="U24" s="1"/>
      <c r="V24" s="5">
        <f t="shared" si="17"/>
        <v>0.12495945861223892</v>
      </c>
      <c r="W24" s="1"/>
      <c r="X24" s="1">
        <f t="shared" si="18"/>
        <v>17837.800000000047</v>
      </c>
      <c r="Y24" s="1"/>
      <c r="Z24" s="5">
        <f t="shared" si="19"/>
        <v>0.10431906106879901</v>
      </c>
    </row>
    <row r="25" spans="1:26" s="24" customFormat="1" hidden="1" outlineLevel="2" x14ac:dyDescent="0.25">
      <c r="A25" s="25"/>
      <c r="B25" s="11" t="str">
        <f>CONCATENATE("          ", "6111", " - ", "F.I.C.A.")</f>
        <v xml:space="preserve">          6111 - F.I.C.A.</v>
      </c>
      <c r="C25" s="11"/>
      <c r="D25" s="6">
        <v>2874.92</v>
      </c>
      <c r="E25" s="2"/>
      <c r="F25" s="7">
        <f t="shared" si="12"/>
        <v>1.9628399144464737E-2</v>
      </c>
      <c r="G25" s="2"/>
      <c r="H25" s="6">
        <v>2210.62</v>
      </c>
      <c r="I25" s="2"/>
      <c r="J25" s="7">
        <f t="shared" si="13"/>
        <v>1.6635359323069063E-2</v>
      </c>
      <c r="K25" s="2"/>
      <c r="L25" s="6">
        <f t="shared" si="14"/>
        <v>664.30000000000018</v>
      </c>
      <c r="M25" s="2"/>
      <c r="N25" s="7">
        <f t="shared" si="15"/>
        <v>0.30050393102387574</v>
      </c>
      <c r="O25" s="11"/>
      <c r="P25" s="6">
        <v>25894.91</v>
      </c>
      <c r="Q25" s="2"/>
      <c r="R25" s="7">
        <f t="shared" si="16"/>
        <v>1.7916072053842193E-2</v>
      </c>
      <c r="S25" s="2"/>
      <c r="T25" s="6">
        <v>20896.929999999997</v>
      </c>
      <c r="U25" s="2"/>
      <c r="V25" s="7">
        <f t="shared" si="17"/>
        <v>1.5271229438644252E-2</v>
      </c>
      <c r="W25" s="2"/>
      <c r="X25" s="6">
        <f t="shared" si="18"/>
        <v>4997.9800000000032</v>
      </c>
      <c r="Y25" s="2"/>
      <c r="Z25" s="7">
        <f t="shared" si="19"/>
        <v>0.23917293114347438</v>
      </c>
    </row>
    <row r="26" spans="1:26" s="24" customFormat="1" hidden="1" outlineLevel="2" x14ac:dyDescent="0.25">
      <c r="A26" s="25"/>
      <c r="B26" s="11" t="str">
        <f>CONCATENATE("          ", "6112", " - ", "COMPENSATION INSURANCE")</f>
        <v xml:space="preserve">          6112 - COMPENSATION INSURANCE</v>
      </c>
      <c r="C26" s="11"/>
      <c r="D26" s="6">
        <v>1746.89</v>
      </c>
      <c r="E26" s="2"/>
      <c r="F26" s="7">
        <f t="shared" si="12"/>
        <v>1.192682028768592E-2</v>
      </c>
      <c r="G26" s="2"/>
      <c r="H26" s="6">
        <v>1388.73</v>
      </c>
      <c r="I26" s="2"/>
      <c r="J26" s="7">
        <f t="shared" si="13"/>
        <v>1.0450472063369416E-2</v>
      </c>
      <c r="K26" s="2"/>
      <c r="L26" s="6">
        <f t="shared" si="14"/>
        <v>358.16000000000008</v>
      </c>
      <c r="M26" s="2"/>
      <c r="N26" s="7">
        <f t="shared" si="15"/>
        <v>0.25790470429817175</v>
      </c>
      <c r="O26" s="11"/>
      <c r="P26" s="6">
        <v>14538.86</v>
      </c>
      <c r="Q26" s="2"/>
      <c r="R26" s="7">
        <f t="shared" si="16"/>
        <v>1.0059091278584252E-2</v>
      </c>
      <c r="S26" s="2"/>
      <c r="T26" s="6">
        <v>14388.94</v>
      </c>
      <c r="U26" s="2"/>
      <c r="V26" s="7">
        <f t="shared" si="17"/>
        <v>1.0515267272220651E-2</v>
      </c>
      <c r="W26" s="2"/>
      <c r="X26" s="6">
        <f t="shared" si="18"/>
        <v>149.92000000000007</v>
      </c>
      <c r="Y26" s="2"/>
      <c r="Z26" s="7">
        <f t="shared" si="19"/>
        <v>1.0419113569171882E-2</v>
      </c>
    </row>
    <row r="27" spans="1:26" s="24" customFormat="1" hidden="1" outlineLevel="2" x14ac:dyDescent="0.25">
      <c r="A27" s="25"/>
      <c r="B27" s="11" t="str">
        <f>CONCATENATE("          ", "6113", " - ", "GROUP INSURANCE")</f>
        <v xml:space="preserve">          6113 - GROUP INSURANCE</v>
      </c>
      <c r="C27" s="11"/>
      <c r="D27" s="6">
        <v>15945.350000000002</v>
      </c>
      <c r="E27" s="2"/>
      <c r="F27" s="7">
        <f t="shared" si="12"/>
        <v>0.10886622733787056</v>
      </c>
      <c r="G27" s="2"/>
      <c r="H27" s="6">
        <v>11701.25</v>
      </c>
      <c r="I27" s="2"/>
      <c r="J27" s="7">
        <f t="shared" si="13"/>
        <v>8.8054255493509453E-2</v>
      </c>
      <c r="K27" s="2"/>
      <c r="L27" s="6">
        <f t="shared" si="14"/>
        <v>4244.1000000000022</v>
      </c>
      <c r="M27" s="2"/>
      <c r="N27" s="7">
        <f t="shared" si="15"/>
        <v>0.36270483922657853</v>
      </c>
      <c r="O27" s="11"/>
      <c r="P27" s="6">
        <v>97924.44</v>
      </c>
      <c r="Q27" s="2"/>
      <c r="R27" s="7">
        <f t="shared" si="16"/>
        <v>6.7751589902113843E-2</v>
      </c>
      <c r="S27" s="2"/>
      <c r="T27" s="6">
        <v>87192.01999999999</v>
      </c>
      <c r="U27" s="2"/>
      <c r="V27" s="7">
        <f t="shared" si="17"/>
        <v>6.3718897591122647E-2</v>
      </c>
      <c r="W27" s="2"/>
      <c r="X27" s="6">
        <f t="shared" si="18"/>
        <v>10732.420000000013</v>
      </c>
      <c r="Y27" s="2"/>
      <c r="Z27" s="7">
        <f t="shared" si="19"/>
        <v>0.12308947539006453</v>
      </c>
    </row>
    <row r="28" spans="1:26" s="24" customFormat="1" hidden="1" outlineLevel="2" x14ac:dyDescent="0.25">
      <c r="A28" s="25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121.4</v>
      </c>
      <c r="E28" s="2"/>
      <c r="F28" s="7">
        <f t="shared" si="12"/>
        <v>8.2885355284252052E-4</v>
      </c>
      <c r="G28" s="2"/>
      <c r="H28" s="6">
        <v>104.73</v>
      </c>
      <c r="I28" s="2"/>
      <c r="J28" s="7">
        <f t="shared" si="13"/>
        <v>7.8811427649483985E-4</v>
      </c>
      <c r="K28" s="2"/>
      <c r="L28" s="6">
        <f t="shared" si="14"/>
        <v>16.670000000000002</v>
      </c>
      <c r="M28" s="2"/>
      <c r="N28" s="7">
        <f t="shared" si="15"/>
        <v>0.15917120213883321</v>
      </c>
      <c r="O28" s="11"/>
      <c r="P28" s="6">
        <v>1221.78</v>
      </c>
      <c r="Q28" s="2"/>
      <c r="R28" s="7">
        <f t="shared" si="16"/>
        <v>8.4532050947245282E-4</v>
      </c>
      <c r="S28" s="2"/>
      <c r="T28" s="6">
        <v>1078.6199999999999</v>
      </c>
      <c r="U28" s="2"/>
      <c r="V28" s="7">
        <f t="shared" si="17"/>
        <v>7.8824274652355465E-4</v>
      </c>
      <c r="W28" s="2"/>
      <c r="X28" s="6">
        <f t="shared" si="18"/>
        <v>143.16000000000008</v>
      </c>
      <c r="Y28" s="2"/>
      <c r="Z28" s="7">
        <f t="shared" si="19"/>
        <v>0.13272514880124611</v>
      </c>
    </row>
    <row r="29" spans="1:26" s="24" customFormat="1" hidden="1" outlineLevel="2" x14ac:dyDescent="0.25">
      <c r="A29" s="25"/>
      <c r="B29" s="11" t="str">
        <f>CONCATENATE("          ", "6115", " - ", "P.E.R.S.")</f>
        <v xml:space="preserve">          6115 - P.E.R.S.</v>
      </c>
      <c r="C29" s="11"/>
      <c r="D29" s="6">
        <v>1439.45</v>
      </c>
      <c r="E29" s="2"/>
      <c r="F29" s="7">
        <f t="shared" si="12"/>
        <v>9.8277862161381072E-3</v>
      </c>
      <c r="G29" s="2"/>
      <c r="H29" s="6">
        <v>1278.43</v>
      </c>
      <c r="I29" s="2"/>
      <c r="J29" s="7">
        <f t="shared" si="13"/>
        <v>9.6204424185935087E-3</v>
      </c>
      <c r="K29" s="2"/>
      <c r="L29" s="6">
        <f t="shared" si="14"/>
        <v>161.01999999999998</v>
      </c>
      <c r="M29" s="2"/>
      <c r="N29" s="7">
        <f t="shared" si="15"/>
        <v>0.12595136221772016</v>
      </c>
      <c r="O29" s="11"/>
      <c r="P29" s="6">
        <v>8323.33</v>
      </c>
      <c r="Q29" s="2"/>
      <c r="R29" s="7">
        <f t="shared" si="16"/>
        <v>5.7587139715066142E-3</v>
      </c>
      <c r="S29" s="2"/>
      <c r="T29" s="6">
        <v>7676.04</v>
      </c>
      <c r="U29" s="2"/>
      <c r="V29" s="7">
        <f t="shared" si="17"/>
        <v>5.6095592998689683E-3</v>
      </c>
      <c r="W29" s="2"/>
      <c r="X29" s="6">
        <f t="shared" si="18"/>
        <v>647.29</v>
      </c>
      <c r="Y29" s="2"/>
      <c r="Z29" s="7">
        <f t="shared" si="19"/>
        <v>8.4326032693941136E-2</v>
      </c>
    </row>
    <row r="30" spans="1:26" s="24" customFormat="1" hidden="1" outlineLevel="2" x14ac:dyDescent="0.25">
      <c r="A30" s="25"/>
      <c r="B30" s="11" t="str">
        <f>CONCATENATE("          ", "6117", " - ", "RETIREMENT STAFF HOURLY")</f>
        <v xml:space="preserve">          6117 - RETIREMENT STAFF HOURLY</v>
      </c>
      <c r="C30" s="11"/>
      <c r="D30" s="6">
        <v>803.11</v>
      </c>
      <c r="E30" s="2"/>
      <c r="F30" s="7">
        <f t="shared" si="12"/>
        <v>5.4832007975564798E-3</v>
      </c>
      <c r="G30" s="2"/>
      <c r="H30" s="6">
        <v>380.97</v>
      </c>
      <c r="I30" s="2"/>
      <c r="J30" s="7">
        <f t="shared" si="13"/>
        <v>2.866875736811221E-3</v>
      </c>
      <c r="K30" s="2"/>
      <c r="L30" s="6">
        <f t="shared" si="14"/>
        <v>422.14</v>
      </c>
      <c r="M30" s="2"/>
      <c r="N30" s="7">
        <f t="shared" si="15"/>
        <v>1.108066251935848</v>
      </c>
      <c r="O30" s="11"/>
      <c r="P30" s="6">
        <v>3710.48</v>
      </c>
      <c r="Q30" s="2"/>
      <c r="R30" s="7">
        <f t="shared" si="16"/>
        <v>2.5671928203009928E-3</v>
      </c>
      <c r="S30" s="2"/>
      <c r="T30" s="6">
        <v>2952.33</v>
      </c>
      <c r="U30" s="2"/>
      <c r="V30" s="7">
        <f t="shared" si="17"/>
        <v>2.1575278669446942E-3</v>
      </c>
      <c r="W30" s="2"/>
      <c r="X30" s="6">
        <f t="shared" si="18"/>
        <v>758.15000000000009</v>
      </c>
      <c r="Y30" s="2"/>
      <c r="Z30" s="7">
        <f t="shared" si="19"/>
        <v>0.25679717375767619</v>
      </c>
    </row>
    <row r="31" spans="1:26" s="24" customFormat="1" hidden="1" outlineLevel="2" x14ac:dyDescent="0.25">
      <c r="A31" s="25"/>
      <c r="B31" s="11" t="str">
        <f>CONCATENATE("          ", "6118", " - ", "VACATION")</f>
        <v xml:space="preserve">          6118 - VACATION</v>
      </c>
      <c r="C31" s="11"/>
      <c r="D31" s="6">
        <v>2156.5700000000002</v>
      </c>
      <c r="E31" s="2"/>
      <c r="F31" s="7">
        <f t="shared" si="12"/>
        <v>1.4723893792863218E-2</v>
      </c>
      <c r="G31" s="2"/>
      <c r="H31" s="6">
        <v>2242.0300000000002</v>
      </c>
      <c r="I31" s="2"/>
      <c r="J31" s="7">
        <f t="shared" si="13"/>
        <v>1.6871725879210597E-2</v>
      </c>
      <c r="K31" s="2"/>
      <c r="L31" s="6">
        <f t="shared" si="14"/>
        <v>-85.460000000000036</v>
      </c>
      <c r="M31" s="2"/>
      <c r="N31" s="7">
        <f t="shared" si="15"/>
        <v>-3.8117241963756071E-2</v>
      </c>
      <c r="O31" s="11"/>
      <c r="P31" s="6">
        <v>16360.96</v>
      </c>
      <c r="Q31" s="2"/>
      <c r="R31" s="7">
        <f t="shared" si="16"/>
        <v>1.1319758911308438E-2</v>
      </c>
      <c r="S31" s="2"/>
      <c r="T31" s="6">
        <v>15874.030000000002</v>
      </c>
      <c r="U31" s="2"/>
      <c r="V31" s="7">
        <f t="shared" si="17"/>
        <v>1.1600553490197943E-2</v>
      </c>
      <c r="W31" s="2"/>
      <c r="X31" s="6">
        <f t="shared" si="18"/>
        <v>486.92999999999665</v>
      </c>
      <c r="Y31" s="2"/>
      <c r="Z31" s="7">
        <f t="shared" si="19"/>
        <v>3.0674630197876442E-2</v>
      </c>
    </row>
    <row r="32" spans="1:26" s="24" customFormat="1" hidden="1" outlineLevel="2" x14ac:dyDescent="0.25">
      <c r="A32" s="25"/>
      <c r="B32" s="11" t="str">
        <f>CONCATENATE("          ", "6119", " - ", "SICK LEAVE")</f>
        <v xml:space="preserve">          6119 - SICK LEAVE</v>
      </c>
      <c r="C32" s="11"/>
      <c r="D32" s="6">
        <v>1515.87</v>
      </c>
      <c r="E32" s="2"/>
      <c r="F32" s="7">
        <f t="shared" si="12"/>
        <v>1.0349540651955449E-2</v>
      </c>
      <c r="G32" s="2"/>
      <c r="H32" s="6">
        <v>2438.33</v>
      </c>
      <c r="I32" s="2"/>
      <c r="J32" s="7">
        <f t="shared" si="13"/>
        <v>1.834892279008558E-2</v>
      </c>
      <c r="K32" s="2"/>
      <c r="L32" s="6">
        <f t="shared" si="14"/>
        <v>-922.46</v>
      </c>
      <c r="M32" s="2"/>
      <c r="N32" s="7">
        <f t="shared" si="15"/>
        <v>-0.37831630665250399</v>
      </c>
      <c r="O32" s="11"/>
      <c r="P32" s="6">
        <v>12654.25</v>
      </c>
      <c r="Q32" s="2"/>
      <c r="R32" s="7">
        <f t="shared" si="16"/>
        <v>8.755174464299454E-3</v>
      </c>
      <c r="S32" s="2"/>
      <c r="T32" s="6">
        <v>13692.91</v>
      </c>
      <c r="U32" s="2"/>
      <c r="V32" s="7">
        <f t="shared" si="17"/>
        <v>1.0006616775416595E-2</v>
      </c>
      <c r="W32" s="2"/>
      <c r="X32" s="6">
        <f t="shared" si="18"/>
        <v>-1038.6599999999999</v>
      </c>
      <c r="Y32" s="2"/>
      <c r="Z32" s="7">
        <f t="shared" si="19"/>
        <v>-7.5853854293937512E-2</v>
      </c>
    </row>
    <row r="33" spans="1:26" s="24" customFormat="1" hidden="1" outlineLevel="2" x14ac:dyDescent="0.25">
      <c r="A33" s="25"/>
      <c r="B33" s="11" t="str">
        <f>CONCATENATE("          ", "6156", " - ", "EMPLOYEE MEALS")</f>
        <v xml:space="preserve">          6156 - EMPLOYEE MEALS</v>
      </c>
      <c r="C33" s="11"/>
      <c r="D33" s="6">
        <v>1606.47</v>
      </c>
      <c r="E33" s="2"/>
      <c r="F33" s="7">
        <f t="shared" si="12"/>
        <v>1.0968108459925239E-2</v>
      </c>
      <c r="G33" s="2"/>
      <c r="H33" s="6">
        <v>886.04</v>
      </c>
      <c r="I33" s="2"/>
      <c r="J33" s="7">
        <f t="shared" si="13"/>
        <v>6.6676288890049453E-3</v>
      </c>
      <c r="K33" s="2"/>
      <c r="L33" s="6">
        <f t="shared" si="14"/>
        <v>720.43000000000006</v>
      </c>
      <c r="M33" s="2"/>
      <c r="N33" s="7">
        <f t="shared" si="15"/>
        <v>0.81308970249650137</v>
      </c>
      <c r="O33" s="11"/>
      <c r="P33" s="6">
        <v>8201.51</v>
      </c>
      <c r="Q33" s="2"/>
      <c r="R33" s="7">
        <f t="shared" si="16"/>
        <v>5.6744296122406791E-3</v>
      </c>
      <c r="S33" s="2"/>
      <c r="T33" s="6">
        <v>7240.9</v>
      </c>
      <c r="U33" s="2"/>
      <c r="V33" s="7">
        <f t="shared" si="17"/>
        <v>5.2915641312996304E-3</v>
      </c>
      <c r="W33" s="2"/>
      <c r="X33" s="6">
        <f t="shared" si="18"/>
        <v>960.61000000000058</v>
      </c>
      <c r="Y33" s="2"/>
      <c r="Z33" s="7">
        <f t="shared" si="19"/>
        <v>0.13266444778963948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58845.439999999988</v>
      </c>
      <c r="E34" s="1"/>
      <c r="F34" s="5">
        <f t="shared" ref="F34:F40" si="20">IF(D$12=0,0,D34/D$12)</f>
        <v>0.40176484359622205</v>
      </c>
      <c r="G34" s="1"/>
      <c r="H34" s="1">
        <f>SUM(OSRRefH22_1x_0)</f>
        <v>45556.260000000009</v>
      </c>
      <c r="I34" s="1"/>
      <c r="J34" s="5">
        <f t="shared" ref="J34:J40" si="21">IF(H$12=0,0,H34/H$12)</f>
        <v>0.34282000276626395</v>
      </c>
      <c r="K34" s="1"/>
      <c r="L34" s="1">
        <f t="shared" ref="L34:L40" si="22">+D34-H34</f>
        <v>13289.179999999978</v>
      </c>
      <c r="M34" s="1"/>
      <c r="N34" s="5">
        <f t="shared" ref="N34:N40" si="23">IF(H34=0,0,L34/H34)</f>
        <v>0.29170919649681459</v>
      </c>
      <c r="O34" s="13"/>
      <c r="P34" s="1">
        <f>SUM(OSRRefP22_1x_0)</f>
        <v>452190.17</v>
      </c>
      <c r="Q34" s="1"/>
      <c r="R34" s="5">
        <f t="shared" ref="R34:R40" si="24">IF(P$12=0,0,P34/P$12)</f>
        <v>0.31285961865707007</v>
      </c>
      <c r="S34" s="1"/>
      <c r="T34" s="1">
        <f>SUM(OSRRefT22_1x_0)</f>
        <v>368862.45999999996</v>
      </c>
      <c r="U34" s="1"/>
      <c r="V34" s="5">
        <f t="shared" ref="V34:V40" si="25">IF(T$12=0,0,T34/T$12)</f>
        <v>0.26956032574941574</v>
      </c>
      <c r="W34" s="1"/>
      <c r="X34" s="1">
        <f t="shared" ref="X34:X40" si="26">+P34-T34</f>
        <v>83327.710000000021</v>
      </c>
      <c r="Y34" s="1"/>
      <c r="Z34" s="5">
        <f t="shared" ref="Z34:Z40" si="27">IF(T34=0,0,X34/T34)</f>
        <v>0.22590455531853262</v>
      </c>
    </row>
    <row r="35" spans="1:26" s="24" customFormat="1" hidden="1" outlineLevel="2" x14ac:dyDescent="0.25">
      <c r="A35" s="25"/>
      <c r="B35" s="11" t="str">
        <f>CONCATENATE("          ", "6002", " - ", "STAFF SALARIES")</f>
        <v xml:space="preserve">          6002 - STAFF SALARIES</v>
      </c>
      <c r="C35" s="11"/>
      <c r="D35" s="6">
        <v>10987.13</v>
      </c>
      <c r="E35" s="2"/>
      <c r="F35" s="7">
        <f t="shared" si="20"/>
        <v>7.5014182339725219E-2</v>
      </c>
      <c r="G35" s="2"/>
      <c r="H35" s="6">
        <v>9600.17</v>
      </c>
      <c r="I35" s="2"/>
      <c r="J35" s="7">
        <f t="shared" si="21"/>
        <v>7.2243206662632162E-2</v>
      </c>
      <c r="K35" s="2"/>
      <c r="L35" s="6">
        <f t="shared" si="22"/>
        <v>1386.9599999999991</v>
      </c>
      <c r="M35" s="2"/>
      <c r="N35" s="7">
        <f t="shared" si="23"/>
        <v>0.14447244163384598</v>
      </c>
      <c r="O35" s="11"/>
      <c r="P35" s="6">
        <v>69387.91</v>
      </c>
      <c r="Q35" s="2"/>
      <c r="R35" s="7">
        <f t="shared" si="24"/>
        <v>4.8007843828208607E-2</v>
      </c>
      <c r="S35" s="2"/>
      <c r="T35" s="6">
        <v>64158.1</v>
      </c>
      <c r="U35" s="2"/>
      <c r="V35" s="7">
        <f t="shared" si="25"/>
        <v>4.6885981120072757E-2</v>
      </c>
      <c r="W35" s="2"/>
      <c r="X35" s="6">
        <f t="shared" si="26"/>
        <v>5229.8100000000049</v>
      </c>
      <c r="Y35" s="2"/>
      <c r="Z35" s="7">
        <f t="shared" si="27"/>
        <v>8.1514415171272295E-2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6">
        <v>19298.809999999998</v>
      </c>
      <c r="E36" s="2"/>
      <c r="F36" s="7">
        <f t="shared" si="20"/>
        <v>0.1317618388314066</v>
      </c>
      <c r="G36" s="2"/>
      <c r="H36" s="6">
        <v>10252.26</v>
      </c>
      <c r="I36" s="2"/>
      <c r="J36" s="7">
        <f t="shared" si="21"/>
        <v>7.7150314831824565E-2</v>
      </c>
      <c r="K36" s="2"/>
      <c r="L36" s="6">
        <f t="shared" si="22"/>
        <v>9046.5499999999975</v>
      </c>
      <c r="M36" s="2"/>
      <c r="N36" s="7">
        <f t="shared" si="23"/>
        <v>0.88239568641450739</v>
      </c>
      <c r="O36" s="11"/>
      <c r="P36" s="6">
        <v>147983.13</v>
      </c>
      <c r="Q36" s="2"/>
      <c r="R36" s="7">
        <f t="shared" si="24"/>
        <v>0.10238600635542261</v>
      </c>
      <c r="S36" s="2"/>
      <c r="T36" s="6">
        <v>118520.14</v>
      </c>
      <c r="U36" s="2"/>
      <c r="V36" s="7">
        <f t="shared" si="25"/>
        <v>8.6613117383282548E-2</v>
      </c>
      <c r="W36" s="2"/>
      <c r="X36" s="6">
        <f t="shared" si="26"/>
        <v>29462.990000000005</v>
      </c>
      <c r="Y36" s="2"/>
      <c r="Z36" s="7">
        <f t="shared" si="27"/>
        <v>0.24859057709516716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6">
        <v>3829.74</v>
      </c>
      <c r="E37" s="2"/>
      <c r="F37" s="7">
        <f t="shared" si="20"/>
        <v>2.61473937847044E-2</v>
      </c>
      <c r="G37" s="2"/>
      <c r="H37" s="6">
        <v>4196.76</v>
      </c>
      <c r="I37" s="2"/>
      <c r="J37" s="7">
        <f t="shared" si="21"/>
        <v>3.1581461577604164E-2</v>
      </c>
      <c r="K37" s="2"/>
      <c r="L37" s="6">
        <f t="shared" si="22"/>
        <v>-367.02000000000044</v>
      </c>
      <c r="M37" s="2"/>
      <c r="N37" s="7">
        <f t="shared" si="23"/>
        <v>-8.7453178166013876E-2</v>
      </c>
      <c r="O37" s="11"/>
      <c r="P37" s="6">
        <v>74960.460000000006</v>
      </c>
      <c r="Q37" s="2"/>
      <c r="R37" s="7">
        <f t="shared" si="24"/>
        <v>5.1863358573138722E-2</v>
      </c>
      <c r="S37" s="2"/>
      <c r="T37" s="6">
        <v>55243.45</v>
      </c>
      <c r="U37" s="2"/>
      <c r="V37" s="7">
        <f t="shared" si="25"/>
        <v>4.0371260272789922E-2</v>
      </c>
      <c r="W37" s="2"/>
      <c r="X37" s="6">
        <f t="shared" si="26"/>
        <v>19717.010000000009</v>
      </c>
      <c r="Y37" s="2"/>
      <c r="Z37" s="7">
        <f t="shared" si="27"/>
        <v>0.35691127183403665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10378.219999999999</v>
      </c>
      <c r="Q38" s="2"/>
      <c r="R38" s="7">
        <f t="shared" si="24"/>
        <v>7.1804434659408396E-3</v>
      </c>
      <c r="S38" s="2"/>
      <c r="T38" s="6"/>
      <c r="U38" s="2"/>
      <c r="V38" s="7">
        <f t="shared" si="25"/>
        <v>0</v>
      </c>
      <c r="W38" s="2"/>
      <c r="X38" s="6">
        <f t="shared" si="26"/>
        <v>10378.219999999999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6">
        <v>23329.01</v>
      </c>
      <c r="E39" s="2"/>
      <c r="F39" s="7">
        <f t="shared" si="20"/>
        <v>0.15927786509718853</v>
      </c>
      <c r="G39" s="2"/>
      <c r="H39" s="6">
        <v>19206.070000000003</v>
      </c>
      <c r="I39" s="2"/>
      <c r="J39" s="7">
        <f t="shared" si="21"/>
        <v>0.1445295327256684</v>
      </c>
      <c r="K39" s="2"/>
      <c r="L39" s="6">
        <f t="shared" si="22"/>
        <v>4122.9399999999951</v>
      </c>
      <c r="M39" s="2"/>
      <c r="N39" s="7">
        <f t="shared" si="23"/>
        <v>0.21466859175250294</v>
      </c>
      <c r="O39" s="11"/>
      <c r="P39" s="6">
        <v>108392.7</v>
      </c>
      <c r="Q39" s="2"/>
      <c r="R39" s="7">
        <f t="shared" si="24"/>
        <v>7.4994329901532791E-2</v>
      </c>
      <c r="S39" s="2"/>
      <c r="T39" s="6">
        <v>97007.87</v>
      </c>
      <c r="U39" s="2"/>
      <c r="V39" s="7">
        <f t="shared" si="25"/>
        <v>7.0892204746064363E-2</v>
      </c>
      <c r="W39" s="2"/>
      <c r="X39" s="6">
        <f t="shared" si="26"/>
        <v>11384.830000000002</v>
      </c>
      <c r="Y39" s="2"/>
      <c r="Z39" s="7">
        <f t="shared" si="27"/>
        <v>0.11735985956603318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6">
        <v>1400.75</v>
      </c>
      <c r="E40" s="2"/>
      <c r="F40" s="7">
        <f t="shared" si="20"/>
        <v>9.5635635431973696E-3</v>
      </c>
      <c r="G40" s="2"/>
      <c r="H40" s="6">
        <v>2301</v>
      </c>
      <c r="I40" s="2"/>
      <c r="J40" s="7">
        <f t="shared" si="21"/>
        <v>1.731548696853458E-2</v>
      </c>
      <c r="K40" s="2"/>
      <c r="L40" s="6">
        <f t="shared" si="22"/>
        <v>-900.25</v>
      </c>
      <c r="M40" s="2"/>
      <c r="N40" s="7">
        <f t="shared" si="23"/>
        <v>-0.39124293785310732</v>
      </c>
      <c r="O40" s="11"/>
      <c r="P40" s="6">
        <v>41087.75</v>
      </c>
      <c r="Q40" s="2"/>
      <c r="R40" s="7">
        <f t="shared" si="24"/>
        <v>2.8427636532826511E-2</v>
      </c>
      <c r="S40" s="2"/>
      <c r="T40" s="6">
        <v>33932.899999999994</v>
      </c>
      <c r="U40" s="2"/>
      <c r="V40" s="7">
        <f t="shared" si="25"/>
        <v>2.4797762227206175E-2</v>
      </c>
      <c r="W40" s="2"/>
      <c r="X40" s="6">
        <f t="shared" si="26"/>
        <v>7154.8500000000058</v>
      </c>
      <c r="Y40" s="2"/>
      <c r="Z40" s="7">
        <f t="shared" si="27"/>
        <v>0.21085288908404548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104.5</v>
      </c>
      <c r="E41" s="1"/>
      <c r="F41" s="5">
        <f t="shared" ref="F41:F62" si="28">IF(D$12=0,0,D41/D$12)</f>
        <v>7.1346949153248268E-4</v>
      </c>
      <c r="G41" s="1"/>
      <c r="H41" s="1">
        <f>SUM(OSRRefH22_2x_0)</f>
        <v>151.85</v>
      </c>
      <c r="I41" s="1"/>
      <c r="J41" s="5">
        <f t="shared" ref="J41:J62" si="29">IF(H$12=0,0,H41/H$12)</f>
        <v>1.1427017367109846E-3</v>
      </c>
      <c r="K41" s="1"/>
      <c r="L41" s="1">
        <f t="shared" ref="L41:L62" si="30">+D41-H41</f>
        <v>-47.349999999999994</v>
      </c>
      <c r="M41" s="1"/>
      <c r="N41" s="5">
        <f t="shared" ref="N41:N62" si="31">IF(H41=0,0,L41/H41)</f>
        <v>-0.31182087586433976</v>
      </c>
      <c r="O41" s="13"/>
      <c r="P41" s="1">
        <f>SUM(OSRRefP22_2x_0)</f>
        <v>2914.17</v>
      </c>
      <c r="Q41" s="1"/>
      <c r="R41" s="5">
        <f t="shared" ref="R41:R62" si="32">IF(P$12=0,0,P41/P$12)</f>
        <v>2.0162448796750138E-3</v>
      </c>
      <c r="S41" s="1"/>
      <c r="T41" s="1">
        <f>SUM(OSRRefT22_2x_0)</f>
        <v>3375.01</v>
      </c>
      <c r="U41" s="1"/>
      <c r="V41" s="5">
        <f t="shared" ref="V41:V62" si="33">IF(T$12=0,0,T41/T$12)</f>
        <v>2.4664174147934052E-3</v>
      </c>
      <c r="W41" s="1"/>
      <c r="X41" s="1">
        <f t="shared" ref="X41:X62" si="34">+P41-T41</f>
        <v>-460.84000000000015</v>
      </c>
      <c r="Y41" s="1"/>
      <c r="Z41" s="5">
        <f t="shared" ref="Z41:Z62" si="35">IF(T41=0,0,X41/T41)</f>
        <v>-0.1365447806080575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104.5</v>
      </c>
      <c r="E42" s="2"/>
      <c r="F42" s="7">
        <f t="shared" si="28"/>
        <v>7.1346949153248268E-4</v>
      </c>
      <c r="G42" s="2"/>
      <c r="H42" s="6">
        <v>151.85</v>
      </c>
      <c r="I42" s="2"/>
      <c r="J42" s="7">
        <f t="shared" si="29"/>
        <v>1.1427017367109846E-3</v>
      </c>
      <c r="K42" s="2"/>
      <c r="L42" s="6">
        <f t="shared" si="30"/>
        <v>-47.349999999999994</v>
      </c>
      <c r="M42" s="2"/>
      <c r="N42" s="7">
        <f t="shared" si="31"/>
        <v>-0.31182087586433976</v>
      </c>
      <c r="O42" s="11"/>
      <c r="P42" s="6">
        <v>2914.17</v>
      </c>
      <c r="Q42" s="2"/>
      <c r="R42" s="7">
        <f t="shared" si="32"/>
        <v>2.0162448796750138E-3</v>
      </c>
      <c r="S42" s="2"/>
      <c r="T42" s="6">
        <v>3375.01</v>
      </c>
      <c r="U42" s="2"/>
      <c r="V42" s="7">
        <f t="shared" si="33"/>
        <v>2.4664174147934052E-3</v>
      </c>
      <c r="W42" s="2"/>
      <c r="X42" s="6">
        <f t="shared" si="34"/>
        <v>-460.84000000000015</v>
      </c>
      <c r="Y42" s="2"/>
      <c r="Z42" s="7">
        <f t="shared" si="35"/>
        <v>-0.1365447806080575</v>
      </c>
    </row>
    <row r="43" spans="1:26" s="26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13.18</v>
      </c>
      <c r="Q43" s="1"/>
      <c r="R43" s="5">
        <f t="shared" si="32"/>
        <v>9.1189283789609651E-6</v>
      </c>
      <c r="S43" s="1"/>
      <c r="T43" s="1">
        <f>SUM(OSRRefT22_3x_0)</f>
        <v>35.85</v>
      </c>
      <c r="U43" s="1"/>
      <c r="V43" s="5">
        <f t="shared" si="33"/>
        <v>2.6198756246749958E-5</v>
      </c>
      <c r="W43" s="1"/>
      <c r="X43" s="1">
        <f t="shared" si="34"/>
        <v>-22.67</v>
      </c>
      <c r="Y43" s="1"/>
      <c r="Z43" s="5">
        <f t="shared" si="35"/>
        <v>-0.6323570432357043</v>
      </c>
    </row>
    <row r="44" spans="1:26" s="24" customFormat="1" hidden="1" outlineLevel="2" x14ac:dyDescent="0.25">
      <c r="A44" s="25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/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13.18</v>
      </c>
      <c r="Q44" s="2"/>
      <c r="R44" s="7">
        <f t="shared" si="32"/>
        <v>9.1189283789609651E-6</v>
      </c>
      <c r="S44" s="2"/>
      <c r="T44" s="6">
        <v>35.85</v>
      </c>
      <c r="U44" s="2"/>
      <c r="V44" s="7">
        <f t="shared" si="33"/>
        <v>2.6198756246749958E-5</v>
      </c>
      <c r="W44" s="2"/>
      <c r="X44" s="6">
        <f t="shared" si="34"/>
        <v>-22.67</v>
      </c>
      <c r="Y44" s="2"/>
      <c r="Z44" s="7">
        <f t="shared" si="35"/>
        <v>-0.6323570432357043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3.9</v>
      </c>
      <c r="E45" s="1"/>
      <c r="F45" s="5">
        <f t="shared" si="28"/>
        <v>2.6627091071547199E-5</v>
      </c>
      <c r="G45" s="1"/>
      <c r="H45" s="1">
        <f>SUM(OSRRefH22_4x_0)</f>
        <v>8.5299999999999994</v>
      </c>
      <c r="I45" s="1"/>
      <c r="J45" s="5">
        <f t="shared" si="29"/>
        <v>6.418996255610602E-5</v>
      </c>
      <c r="K45" s="1"/>
      <c r="L45" s="1">
        <f t="shared" si="30"/>
        <v>-4.629999999999999</v>
      </c>
      <c r="M45" s="1"/>
      <c r="N45" s="5">
        <f t="shared" si="31"/>
        <v>-0.54279015240328243</v>
      </c>
      <c r="O45" s="13"/>
      <c r="P45" s="1">
        <f>SUM(OSRRefP22_4x_0)</f>
        <v>54.7</v>
      </c>
      <c r="Q45" s="1"/>
      <c r="R45" s="5">
        <f t="shared" si="32"/>
        <v>3.7845628401302342E-5</v>
      </c>
      <c r="S45" s="1"/>
      <c r="T45" s="1">
        <f>SUM(OSRRefT22_4x_0)</f>
        <v>115.08</v>
      </c>
      <c r="U45" s="1"/>
      <c r="V45" s="5">
        <f t="shared" si="33"/>
        <v>8.4099103734337088E-5</v>
      </c>
      <c r="W45" s="1"/>
      <c r="X45" s="1">
        <f t="shared" si="34"/>
        <v>-60.379999999999995</v>
      </c>
      <c r="Y45" s="1"/>
      <c r="Z45" s="5">
        <f t="shared" si="35"/>
        <v>-0.5246784845324991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3.9</v>
      </c>
      <c r="E46" s="2"/>
      <c r="F46" s="7">
        <f t="shared" si="28"/>
        <v>2.6627091071547199E-5</v>
      </c>
      <c r="G46" s="2"/>
      <c r="H46" s="6">
        <v>8.5299999999999994</v>
      </c>
      <c r="I46" s="2"/>
      <c r="J46" s="7">
        <f t="shared" si="29"/>
        <v>6.418996255610602E-5</v>
      </c>
      <c r="K46" s="2"/>
      <c r="L46" s="6">
        <f t="shared" si="30"/>
        <v>-4.629999999999999</v>
      </c>
      <c r="M46" s="2"/>
      <c r="N46" s="7">
        <f t="shared" si="31"/>
        <v>-0.54279015240328243</v>
      </c>
      <c r="O46" s="11"/>
      <c r="P46" s="6">
        <v>54.7</v>
      </c>
      <c r="Q46" s="2"/>
      <c r="R46" s="7">
        <f t="shared" si="32"/>
        <v>3.7845628401302342E-5</v>
      </c>
      <c r="S46" s="2"/>
      <c r="T46" s="6">
        <v>115.08</v>
      </c>
      <c r="U46" s="2"/>
      <c r="V46" s="7">
        <f t="shared" si="33"/>
        <v>8.4099103734337088E-5</v>
      </c>
      <c r="W46" s="2"/>
      <c r="X46" s="6">
        <f t="shared" si="34"/>
        <v>-60.379999999999995</v>
      </c>
      <c r="Y46" s="2"/>
      <c r="Z46" s="7">
        <f t="shared" si="35"/>
        <v>-0.5246784845324991</v>
      </c>
    </row>
    <row r="47" spans="1:26" s="26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1745.3</v>
      </c>
      <c r="E47" s="1"/>
      <c r="F47" s="5">
        <f t="shared" si="28"/>
        <v>1.1915964627479828E-2</v>
      </c>
      <c r="G47" s="1"/>
      <c r="H47" s="1">
        <f>SUM(OSRRefH22_5x_0)</f>
        <v>1681.49</v>
      </c>
      <c r="I47" s="1"/>
      <c r="J47" s="5">
        <f t="shared" si="29"/>
        <v>1.2653549840382968E-2</v>
      </c>
      <c r="K47" s="1"/>
      <c r="L47" s="1">
        <f t="shared" si="30"/>
        <v>63.809999999999945</v>
      </c>
      <c r="M47" s="1"/>
      <c r="N47" s="5">
        <f t="shared" si="31"/>
        <v>3.7948486164056848E-2</v>
      </c>
      <c r="O47" s="13"/>
      <c r="P47" s="1">
        <f>SUM(OSRRefP22_5x_0)</f>
        <v>15479.88</v>
      </c>
      <c r="Q47" s="1"/>
      <c r="R47" s="5">
        <f t="shared" si="32"/>
        <v>1.0710160624803511E-2</v>
      </c>
      <c r="S47" s="1"/>
      <c r="T47" s="1">
        <f>SUM(OSRRefT22_5x_0)</f>
        <v>10839.37</v>
      </c>
      <c r="U47" s="1"/>
      <c r="V47" s="5">
        <f t="shared" si="33"/>
        <v>7.9212834727568782E-3</v>
      </c>
      <c r="W47" s="1"/>
      <c r="X47" s="1">
        <f t="shared" si="34"/>
        <v>4640.5099999999984</v>
      </c>
      <c r="Y47" s="1"/>
      <c r="Z47" s="5">
        <f t="shared" si="35"/>
        <v>0.42811620970591446</v>
      </c>
    </row>
    <row r="48" spans="1:26" s="24" customFormat="1" hidden="1" outlineLevel="2" x14ac:dyDescent="0.25">
      <c r="A48" s="25"/>
      <c r="B48" s="11" t="str">
        <f>CONCATENATE("          ", "6399", " - ", "DONATION-ON CAMPUS")</f>
        <v xml:space="preserve">          6399 - DONATION-ON CAMPUS</v>
      </c>
      <c r="C48" s="11"/>
      <c r="D48" s="6">
        <v>1745.3</v>
      </c>
      <c r="E48" s="2"/>
      <c r="F48" s="7">
        <f t="shared" si="28"/>
        <v>1.1915964627479828E-2</v>
      </c>
      <c r="G48" s="2"/>
      <c r="H48" s="6">
        <v>1681.49</v>
      </c>
      <c r="I48" s="2"/>
      <c r="J48" s="7">
        <f t="shared" si="29"/>
        <v>1.2653549840382968E-2</v>
      </c>
      <c r="K48" s="2"/>
      <c r="L48" s="6">
        <f t="shared" si="30"/>
        <v>63.809999999999945</v>
      </c>
      <c r="M48" s="2"/>
      <c r="N48" s="7">
        <f t="shared" si="31"/>
        <v>3.7948486164056848E-2</v>
      </c>
      <c r="O48" s="11"/>
      <c r="P48" s="6">
        <v>15479.88</v>
      </c>
      <c r="Q48" s="2"/>
      <c r="R48" s="7">
        <f t="shared" si="32"/>
        <v>1.0710160624803511E-2</v>
      </c>
      <c r="S48" s="2"/>
      <c r="T48" s="6">
        <v>10839.37</v>
      </c>
      <c r="U48" s="2"/>
      <c r="V48" s="7">
        <f t="shared" si="33"/>
        <v>7.9212834727568782E-3</v>
      </c>
      <c r="W48" s="2"/>
      <c r="X48" s="6">
        <f t="shared" si="34"/>
        <v>4640.5099999999984</v>
      </c>
      <c r="Y48" s="2"/>
      <c r="Z48" s="7">
        <f t="shared" si="35"/>
        <v>0.42811620970591446</v>
      </c>
    </row>
    <row r="49" spans="1:26" s="26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119.97</v>
      </c>
      <c r="I49" s="1"/>
      <c r="J49" s="5">
        <f t="shared" si="29"/>
        <v>9.0279833620821102E-4</v>
      </c>
      <c r="K49" s="1"/>
      <c r="L49" s="1">
        <f t="shared" si="30"/>
        <v>-119.97</v>
      </c>
      <c r="M49" s="1"/>
      <c r="N49" s="5">
        <f t="shared" si="31"/>
        <v>-1</v>
      </c>
      <c r="O49" s="13"/>
      <c r="P49" s="1">
        <f>SUM(OSRRefP22_6x_0)</f>
        <v>21.34</v>
      </c>
      <c r="Q49" s="1"/>
      <c r="R49" s="5">
        <f t="shared" si="32"/>
        <v>1.4764638209941351E-5</v>
      </c>
      <c r="S49" s="1"/>
      <c r="T49" s="1">
        <f>SUM(OSRRefT22_6x_0)</f>
        <v>157.18</v>
      </c>
      <c r="U49" s="1"/>
      <c r="V49" s="5">
        <f t="shared" si="33"/>
        <v>1.1486528610499743E-4</v>
      </c>
      <c r="W49" s="1"/>
      <c r="X49" s="1">
        <f t="shared" si="34"/>
        <v>-135.84</v>
      </c>
      <c r="Y49" s="1"/>
      <c r="Z49" s="5">
        <f t="shared" si="35"/>
        <v>-0.86423209059676798</v>
      </c>
    </row>
    <row r="50" spans="1:26" s="24" customFormat="1" hidden="1" outlineLevel="2" x14ac:dyDescent="0.25">
      <c r="A50" s="25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8"/>
        <v>0</v>
      </c>
      <c r="G50" s="2"/>
      <c r="H50" s="6">
        <v>119.97</v>
      </c>
      <c r="I50" s="2"/>
      <c r="J50" s="7">
        <f t="shared" si="29"/>
        <v>9.0279833620821102E-4</v>
      </c>
      <c r="K50" s="2"/>
      <c r="L50" s="6">
        <f t="shared" si="30"/>
        <v>-119.97</v>
      </c>
      <c r="M50" s="2"/>
      <c r="N50" s="7">
        <f t="shared" si="31"/>
        <v>-1</v>
      </c>
      <c r="O50" s="11"/>
      <c r="P50" s="6">
        <v>21.34</v>
      </c>
      <c r="Q50" s="2"/>
      <c r="R50" s="7">
        <f t="shared" si="32"/>
        <v>1.4764638209941351E-5</v>
      </c>
      <c r="S50" s="2"/>
      <c r="T50" s="6">
        <v>157.18</v>
      </c>
      <c r="U50" s="2"/>
      <c r="V50" s="7">
        <f t="shared" si="33"/>
        <v>1.1486528610499743E-4</v>
      </c>
      <c r="W50" s="2"/>
      <c r="X50" s="6">
        <f t="shared" si="34"/>
        <v>-135.84</v>
      </c>
      <c r="Y50" s="2"/>
      <c r="Z50" s="7">
        <f t="shared" si="35"/>
        <v>-0.86423209059676798</v>
      </c>
    </row>
    <row r="51" spans="1:26" s="26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0.01</v>
      </c>
      <c r="Q51" s="1"/>
      <c r="R51" s="5">
        <f t="shared" si="32"/>
        <v>6.9187620477700807E-9</v>
      </c>
      <c r="S51" s="1"/>
      <c r="T51" s="1">
        <f>SUM(OSRRefT22_7x_0)</f>
        <v>74.849999999999994</v>
      </c>
      <c r="U51" s="1"/>
      <c r="V51" s="5">
        <f t="shared" si="33"/>
        <v>5.4699495259950739E-5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5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0.01</v>
      </c>
      <c r="Q52" s="2"/>
      <c r="R52" s="7">
        <f t="shared" si="32"/>
        <v>6.9187620477700807E-9</v>
      </c>
      <c r="S52" s="2"/>
      <c r="T52" s="6">
        <v>74.849999999999994</v>
      </c>
      <c r="U52" s="2"/>
      <c r="V52" s="7">
        <f t="shared" si="33"/>
        <v>5.4699495259950739E-5</v>
      </c>
      <c r="W52" s="2"/>
      <c r="X52" s="6">
        <f t="shared" si="34"/>
        <v>-74.839999999999989</v>
      </c>
      <c r="Y52" s="2"/>
      <c r="Z52" s="7">
        <f t="shared" si="35"/>
        <v>-0.99986639946559774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1517.11</v>
      </c>
      <c r="Q53" s="1"/>
      <c r="R53" s="5">
        <f t="shared" si="32"/>
        <v>1.0496523090292465E-3</v>
      </c>
      <c r="S53" s="1"/>
      <c r="T53" s="1">
        <f>SUM(OSRRefT22_8x_0)</f>
        <v>1518.53</v>
      </c>
      <c r="U53" s="1"/>
      <c r="V53" s="5">
        <f t="shared" si="33"/>
        <v>1.1097237747106612E-3</v>
      </c>
      <c r="W53" s="1"/>
      <c r="X53" s="1">
        <f t="shared" si="34"/>
        <v>-1.4200000000000728</v>
      </c>
      <c r="Y53" s="1"/>
      <c r="Z53" s="5">
        <f t="shared" si="35"/>
        <v>-9.3511488083875373E-4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1517.11</v>
      </c>
      <c r="Q54" s="2"/>
      <c r="R54" s="7">
        <f t="shared" si="32"/>
        <v>1.0496523090292465E-3</v>
      </c>
      <c r="S54" s="2"/>
      <c r="T54" s="6">
        <v>1518.53</v>
      </c>
      <c r="U54" s="2"/>
      <c r="V54" s="7">
        <f t="shared" si="33"/>
        <v>1.1097237747106612E-3</v>
      </c>
      <c r="W54" s="2"/>
      <c r="X54" s="6">
        <f t="shared" si="34"/>
        <v>-1.4200000000000728</v>
      </c>
      <c r="Y54" s="2"/>
      <c r="Z54" s="7">
        <f t="shared" si="35"/>
        <v>-9.3511488083875373E-4</v>
      </c>
    </row>
    <row r="55" spans="1:26" s="26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5.9</v>
      </c>
      <c r="E55" s="1"/>
      <c r="F55" s="5">
        <f t="shared" si="28"/>
        <v>4.0282009569776535E-5</v>
      </c>
      <c r="G55" s="1"/>
      <c r="H55" s="1">
        <f>SUM(OSRRefH22_9x_0)</f>
        <v>4.93</v>
      </c>
      <c r="I55" s="1"/>
      <c r="J55" s="5">
        <f t="shared" si="29"/>
        <v>3.7099239789167958E-5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3"/>
      <c r="P55" s="1">
        <f>SUM(OSRRefP22_9x_0)</f>
        <v>41.3</v>
      </c>
      <c r="Q55" s="1"/>
      <c r="R55" s="5">
        <f t="shared" si="32"/>
        <v>2.8574487257290432E-5</v>
      </c>
      <c r="S55" s="1"/>
      <c r="T55" s="1">
        <f>SUM(OSRRefT22_9x_0)</f>
        <v>34.51</v>
      </c>
      <c r="U55" s="1"/>
      <c r="V55" s="5">
        <f t="shared" si="33"/>
        <v>2.5219500085783568E-5</v>
      </c>
      <c r="W55" s="1"/>
      <c r="X55" s="1">
        <f t="shared" si="34"/>
        <v>6.7899999999999991</v>
      </c>
      <c r="Y55" s="1"/>
      <c r="Z55" s="5">
        <f t="shared" si="35"/>
        <v>0.19675456389452331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6">
        <v>5.9</v>
      </c>
      <c r="E56" s="2"/>
      <c r="F56" s="7">
        <f t="shared" si="28"/>
        <v>4.0282009569776535E-5</v>
      </c>
      <c r="G56" s="2"/>
      <c r="H56" s="6">
        <v>4.93</v>
      </c>
      <c r="I56" s="2"/>
      <c r="J56" s="7">
        <f t="shared" si="29"/>
        <v>3.7099239789167958E-5</v>
      </c>
      <c r="K56" s="2"/>
      <c r="L56" s="6">
        <f t="shared" si="30"/>
        <v>0.97000000000000064</v>
      </c>
      <c r="M56" s="2"/>
      <c r="N56" s="7">
        <f t="shared" si="31"/>
        <v>0.19675456389452348</v>
      </c>
      <c r="O56" s="11"/>
      <c r="P56" s="6">
        <v>41.3</v>
      </c>
      <c r="Q56" s="2"/>
      <c r="R56" s="7">
        <f t="shared" si="32"/>
        <v>2.8574487257290432E-5</v>
      </c>
      <c r="S56" s="2"/>
      <c r="T56" s="6">
        <v>34.51</v>
      </c>
      <c r="U56" s="2"/>
      <c r="V56" s="7">
        <f t="shared" si="33"/>
        <v>2.5219500085783568E-5</v>
      </c>
      <c r="W56" s="2"/>
      <c r="X56" s="6">
        <f t="shared" si="34"/>
        <v>6.7899999999999991</v>
      </c>
      <c r="Y56" s="2"/>
      <c r="Z56" s="7">
        <f t="shared" si="35"/>
        <v>0.19675456389452331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11705.54</v>
      </c>
      <c r="E57" s="1"/>
      <c r="F57" s="5">
        <f t="shared" si="28"/>
        <v>7.9919097338881695E-2</v>
      </c>
      <c r="G57" s="1"/>
      <c r="H57" s="1">
        <f>SUM(OSRRefH22_10x_0)</f>
        <v>11310.37</v>
      </c>
      <c r="I57" s="1"/>
      <c r="J57" s="5">
        <f t="shared" si="29"/>
        <v>8.5112805017081475E-2</v>
      </c>
      <c r="K57" s="1"/>
      <c r="L57" s="1">
        <f t="shared" si="30"/>
        <v>395.17000000000007</v>
      </c>
      <c r="M57" s="1"/>
      <c r="N57" s="5">
        <f t="shared" si="31"/>
        <v>3.4938733215624247E-2</v>
      </c>
      <c r="O57" s="13"/>
      <c r="P57" s="1">
        <f>SUM(OSRRefP22_10x_0)</f>
        <v>112797.2</v>
      </c>
      <c r="Q57" s="1"/>
      <c r="R57" s="5">
        <f t="shared" si="32"/>
        <v>7.8041698645473126E-2</v>
      </c>
      <c r="S57" s="1"/>
      <c r="T57" s="1">
        <f>SUM(OSRRefT22_10x_0)</f>
        <v>107875</v>
      </c>
      <c r="U57" s="1"/>
      <c r="V57" s="5">
        <f t="shared" si="33"/>
        <v>7.8833774898693212E-2</v>
      </c>
      <c r="W57" s="1"/>
      <c r="X57" s="1">
        <f t="shared" si="34"/>
        <v>4922.1999999999971</v>
      </c>
      <c r="Y57" s="1"/>
      <c r="Z57" s="5">
        <f t="shared" si="35"/>
        <v>4.5628736964078771E-2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>
        <v>11705.54</v>
      </c>
      <c r="E58" s="2"/>
      <c r="F58" s="7">
        <f t="shared" si="28"/>
        <v>7.9919097338881695E-2</v>
      </c>
      <c r="G58" s="2"/>
      <c r="H58" s="6">
        <v>11310.37</v>
      </c>
      <c r="I58" s="2"/>
      <c r="J58" s="7">
        <f t="shared" si="29"/>
        <v>8.5112805017081475E-2</v>
      </c>
      <c r="K58" s="2"/>
      <c r="L58" s="6">
        <f t="shared" si="30"/>
        <v>395.17000000000007</v>
      </c>
      <c r="M58" s="2"/>
      <c r="N58" s="7">
        <f t="shared" si="31"/>
        <v>3.4938733215624247E-2</v>
      </c>
      <c r="O58" s="11"/>
      <c r="P58" s="6">
        <v>112797.2</v>
      </c>
      <c r="Q58" s="2"/>
      <c r="R58" s="7">
        <f t="shared" si="32"/>
        <v>7.8041698645473126E-2</v>
      </c>
      <c r="S58" s="2"/>
      <c r="T58" s="6">
        <v>107875</v>
      </c>
      <c r="U58" s="2"/>
      <c r="V58" s="7">
        <f t="shared" si="33"/>
        <v>7.8833774898693212E-2</v>
      </c>
      <c r="W58" s="2"/>
      <c r="X58" s="6">
        <f t="shared" si="34"/>
        <v>4922.1999999999971</v>
      </c>
      <c r="Y58" s="2"/>
      <c r="Z58" s="7">
        <f t="shared" si="35"/>
        <v>4.5628736964078771E-2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SUM(OSRRefP22_11x_0)</f>
        <v>139.83000000000001</v>
      </c>
      <c r="Q59" s="1"/>
      <c r="R59" s="5">
        <f t="shared" si="32"/>
        <v>9.6745049713969049E-5</v>
      </c>
      <c r="S59" s="1"/>
      <c r="T59" s="1">
        <f>SUM(OSRRefT22_11x_0)</f>
        <v>-7146.75</v>
      </c>
      <c r="U59" s="1"/>
      <c r="V59" s="5">
        <f t="shared" si="33"/>
        <v>-5.2227604241690444E-3</v>
      </c>
      <c r="W59" s="1"/>
      <c r="X59" s="1">
        <f t="shared" si="34"/>
        <v>7286.58</v>
      </c>
      <c r="Y59" s="1"/>
      <c r="Z59" s="5">
        <f t="shared" si="35"/>
        <v>-1.0195655367824537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-7371.28</v>
      </c>
      <c r="U60" s="2"/>
      <c r="V60" s="7">
        <f t="shared" si="33"/>
        <v>-5.3868442941853003E-3</v>
      </c>
      <c r="W60" s="2"/>
      <c r="X60" s="6">
        <f t="shared" si="34"/>
        <v>7371.28</v>
      </c>
      <c r="Y60" s="2"/>
      <c r="Z60" s="7">
        <f t="shared" si="35"/>
        <v>-1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139.83000000000001</v>
      </c>
      <c r="Q61" s="2"/>
      <c r="R61" s="7">
        <f t="shared" si="32"/>
        <v>9.6745049713969049E-5</v>
      </c>
      <c r="S61" s="2"/>
      <c r="T61" s="6">
        <v>134.91999999999999</v>
      </c>
      <c r="U61" s="2"/>
      <c r="V61" s="7">
        <f t="shared" si="33"/>
        <v>9.85979412220782E-5</v>
      </c>
      <c r="W61" s="2"/>
      <c r="X61" s="6">
        <f t="shared" si="34"/>
        <v>4.910000000000025</v>
      </c>
      <c r="Y61" s="2"/>
      <c r="Z61" s="7">
        <f t="shared" si="35"/>
        <v>3.6391935962051772E-2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/>
      <c r="Q62" s="2"/>
      <c r="R62" s="7">
        <f t="shared" si="32"/>
        <v>0</v>
      </c>
      <c r="S62" s="2"/>
      <c r="T62" s="6">
        <v>89.61</v>
      </c>
      <c r="U62" s="2"/>
      <c r="V62" s="7">
        <f t="shared" si="33"/>
        <v>6.5485928794177501E-5</v>
      </c>
      <c r="W62" s="2"/>
      <c r="X62" s="6">
        <f t="shared" si="34"/>
        <v>-89.61</v>
      </c>
      <c r="Y62" s="2"/>
      <c r="Z62" s="7">
        <f t="shared" si="35"/>
        <v>-1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4886.63</v>
      </c>
      <c r="E63" s="1"/>
      <c r="F63" s="5">
        <f t="shared" ref="F63:F66" si="36">IF(D$12=0,0,D63/D$12)</f>
        <v>3.33632671905012E-2</v>
      </c>
      <c r="G63" s="1"/>
      <c r="H63" s="1">
        <f>SUM(OSRRefH22_12x_0)</f>
        <v>5433.34</v>
      </c>
      <c r="I63" s="1"/>
      <c r="J63" s="5">
        <f t="shared" ref="J63:J66" si="37">IF(H$12=0,0,H63/H$12)</f>
        <v>4.0886974344032018E-2</v>
      </c>
      <c r="K63" s="1"/>
      <c r="L63" s="1">
        <f t="shared" ref="L63:L66" si="38">+D63-H63</f>
        <v>-546.71</v>
      </c>
      <c r="M63" s="1"/>
      <c r="N63" s="5">
        <f t="shared" ref="N63:N66" si="39">IF(H63=0,0,L63/H63)</f>
        <v>-0.10062134893086021</v>
      </c>
      <c r="O63" s="13"/>
      <c r="P63" s="1">
        <f>SUM(OSRRefP22_12x_0)</f>
        <v>42567.61</v>
      </c>
      <c r="Q63" s="1"/>
      <c r="R63" s="5">
        <f t="shared" ref="R63:R66" si="40">IF(P$12=0,0,P63/P$12)</f>
        <v>2.9451516453227817E-2</v>
      </c>
      <c r="S63" s="1"/>
      <c r="T63" s="1">
        <f>SUM(OSRRefT22_12x_0)</f>
        <v>26627.15</v>
      </c>
      <c r="U63" s="1"/>
      <c r="V63" s="5">
        <f t="shared" ref="V63:V66" si="41">IF(T$12=0,0,T63/T$12)</f>
        <v>1.9458806482444857E-2</v>
      </c>
      <c r="W63" s="1"/>
      <c r="X63" s="1">
        <f t="shared" ref="X63:X66" si="42">+P63-T63</f>
        <v>15940.46</v>
      </c>
      <c r="Y63" s="1"/>
      <c r="Z63" s="5">
        <f t="shared" ref="Z63:Z66" si="43">IF(T63=0,0,X63/T63)</f>
        <v>0.59865438096078616</v>
      </c>
    </row>
    <row r="64" spans="1:26" s="24" customFormat="1" hidden="1" outlineLevel="2" x14ac:dyDescent="0.25">
      <c r="A64" s="25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6"/>
        <v>0</v>
      </c>
      <c r="G64" s="2"/>
      <c r="H64" s="6">
        <v>819.64</v>
      </c>
      <c r="I64" s="2"/>
      <c r="J64" s="7">
        <f t="shared" si="37"/>
        <v>6.1679555579703099E-3</v>
      </c>
      <c r="K64" s="2"/>
      <c r="L64" s="6">
        <f t="shared" si="38"/>
        <v>-819.64</v>
      </c>
      <c r="M64" s="2"/>
      <c r="N64" s="7">
        <f t="shared" si="39"/>
        <v>-1</v>
      </c>
      <c r="O64" s="11"/>
      <c r="P64" s="6">
        <v>4837.4799999999996</v>
      </c>
      <c r="Q64" s="2"/>
      <c r="R64" s="7">
        <f t="shared" si="40"/>
        <v>3.3469373030846805E-3</v>
      </c>
      <c r="S64" s="2"/>
      <c r="T64" s="6">
        <v>4167.84</v>
      </c>
      <c r="U64" s="2"/>
      <c r="V64" s="7">
        <f t="shared" si="41"/>
        <v>3.0458082074045841E-3</v>
      </c>
      <c r="W64" s="2"/>
      <c r="X64" s="6">
        <f t="shared" si="42"/>
        <v>669.63999999999942</v>
      </c>
      <c r="Y64" s="2"/>
      <c r="Z64" s="7">
        <f t="shared" si="43"/>
        <v>0.1606683557910091</v>
      </c>
    </row>
    <row r="65" spans="1:26" s="24" customFormat="1" hidden="1" outlineLevel="2" x14ac:dyDescent="0.25">
      <c r="A65" s="25"/>
      <c r="B65" s="11" t="str">
        <f>CONCATENATE("          ", "6285", " - ", "JANITORIAL SERVICES")</f>
        <v xml:space="preserve">          6285 - JANITORIAL SERVICES</v>
      </c>
      <c r="C65" s="11"/>
      <c r="D65" s="6">
        <v>3897.05</v>
      </c>
      <c r="E65" s="2"/>
      <c r="F65" s="7">
        <f t="shared" si="36"/>
        <v>2.6606950066762312E-2</v>
      </c>
      <c r="G65" s="2"/>
      <c r="H65" s="6">
        <v>3639.27</v>
      </c>
      <c r="I65" s="2"/>
      <c r="J65" s="7">
        <f t="shared" si="37"/>
        <v>2.7386237401120749E-2</v>
      </c>
      <c r="K65" s="2"/>
      <c r="L65" s="6">
        <f t="shared" si="38"/>
        <v>257.7800000000002</v>
      </c>
      <c r="M65" s="2"/>
      <c r="N65" s="7">
        <f t="shared" si="39"/>
        <v>7.0832886815212992E-2</v>
      </c>
      <c r="O65" s="11"/>
      <c r="P65" s="6">
        <v>27278.17</v>
      </c>
      <c r="Q65" s="2"/>
      <c r="R65" s="7">
        <f t="shared" si="40"/>
        <v>1.8873116732862037E-2</v>
      </c>
      <c r="S65" s="2"/>
      <c r="T65" s="6">
        <v>15517.56</v>
      </c>
      <c r="U65" s="2"/>
      <c r="V65" s="7">
        <f t="shared" si="41"/>
        <v>1.1340049427735487E-2</v>
      </c>
      <c r="W65" s="2"/>
      <c r="X65" s="6">
        <f t="shared" si="42"/>
        <v>11760.609999999999</v>
      </c>
      <c r="Y65" s="2"/>
      <c r="Z65" s="7">
        <f t="shared" si="43"/>
        <v>0.75789041576124072</v>
      </c>
    </row>
    <row r="66" spans="1:26" s="24" customFormat="1" hidden="1" outlineLevel="2" x14ac:dyDescent="0.25">
      <c r="A66" s="25"/>
      <c r="B66" s="11" t="str">
        <f>CONCATENATE("          ", "6286", " - ", "LAUNDRY EXPENSE")</f>
        <v xml:space="preserve">          6286 - LAUNDRY EXPENSE</v>
      </c>
      <c r="C66" s="11"/>
      <c r="D66" s="6">
        <v>989.58</v>
      </c>
      <c r="E66" s="2"/>
      <c r="F66" s="7">
        <f t="shared" si="36"/>
        <v>6.7563171237388919E-3</v>
      </c>
      <c r="G66" s="2"/>
      <c r="H66" s="6">
        <v>974.43</v>
      </c>
      <c r="I66" s="2"/>
      <c r="J66" s="7">
        <f t="shared" si="37"/>
        <v>7.3327813849409602E-3</v>
      </c>
      <c r="K66" s="2"/>
      <c r="L66" s="6">
        <f t="shared" si="38"/>
        <v>15.150000000000091</v>
      </c>
      <c r="M66" s="2"/>
      <c r="N66" s="7">
        <f t="shared" si="39"/>
        <v>1.5547550875896772E-2</v>
      </c>
      <c r="O66" s="11"/>
      <c r="P66" s="6">
        <v>10451.959999999999</v>
      </c>
      <c r="Q66" s="2"/>
      <c r="R66" s="7">
        <f t="shared" si="40"/>
        <v>7.2314624172810961E-3</v>
      </c>
      <c r="S66" s="2"/>
      <c r="T66" s="6">
        <v>6941.75</v>
      </c>
      <c r="U66" s="2"/>
      <c r="V66" s="7">
        <f t="shared" si="41"/>
        <v>5.0729488473047835E-3</v>
      </c>
      <c r="W66" s="2"/>
      <c r="X66" s="6">
        <f t="shared" si="42"/>
        <v>3510.2099999999991</v>
      </c>
      <c r="Y66" s="2"/>
      <c r="Z66" s="7">
        <f t="shared" si="43"/>
        <v>0.50566643857816818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1804.6599999999999</v>
      </c>
      <c r="E67" s="1"/>
      <c r="F67" s="5">
        <f t="shared" ref="F67:F74" si="44">IF(D$12=0,0,D67/D$12)</f>
        <v>1.2321242608507274E-2</v>
      </c>
      <c r="G67" s="1"/>
      <c r="H67" s="1">
        <f>SUM(OSRRefH22_13x_0)</f>
        <v>2357.09</v>
      </c>
      <c r="I67" s="1"/>
      <c r="J67" s="5">
        <f t="shared" ref="J67:J74" si="45">IF(H$12=0,0,H67/H$12)</f>
        <v>1.7737575479645013E-2</v>
      </c>
      <c r="K67" s="1"/>
      <c r="L67" s="1">
        <f t="shared" ref="L67:L74" si="46">+D67-H67</f>
        <v>-552.43000000000029</v>
      </c>
      <c r="M67" s="1"/>
      <c r="N67" s="5">
        <f t="shared" ref="N67:N74" si="47">IF(H67=0,0,L67/H67)</f>
        <v>-0.23436949798268214</v>
      </c>
      <c r="O67" s="13"/>
      <c r="P67" s="1">
        <f>SUM(OSRRefP22_13x_0)</f>
        <v>34817.560000000012</v>
      </c>
      <c r="Q67" s="1"/>
      <c r="R67" s="5">
        <f t="shared" ref="R67:R74" si="48">IF(P$12=0,0,P67/P$12)</f>
        <v>2.4089441272395772E-2</v>
      </c>
      <c r="S67" s="1"/>
      <c r="T67" s="1">
        <f>SUM(OSRRefT22_13x_0)</f>
        <v>33255.620000000003</v>
      </c>
      <c r="U67" s="1"/>
      <c r="V67" s="5">
        <f t="shared" ref="V67:V74" si="49">IF(T$12=0,0,T67/T$12)</f>
        <v>2.4302814008773859E-2</v>
      </c>
      <c r="W67" s="1"/>
      <c r="X67" s="1">
        <f t="shared" ref="X67:X74" si="50">+P67-T67</f>
        <v>1561.9400000000096</v>
      </c>
      <c r="Y67" s="1"/>
      <c r="Z67" s="5">
        <f t="shared" ref="Z67:Z74" si="51">IF(T67=0,0,X67/T67)</f>
        <v>4.6967700496938845E-2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/>
      <c r="Q68" s="2"/>
      <c r="R68" s="7">
        <f t="shared" si="48"/>
        <v>0</v>
      </c>
      <c r="S68" s="2"/>
      <c r="T68" s="6">
        <v>30.98</v>
      </c>
      <c r="U68" s="2"/>
      <c r="V68" s="7">
        <f t="shared" si="49"/>
        <v>2.2639817810998986E-5</v>
      </c>
      <c r="W68" s="2"/>
      <c r="X68" s="6">
        <f t="shared" si="50"/>
        <v>-30.98</v>
      </c>
      <c r="Y68" s="2"/>
      <c r="Z68" s="7">
        <f t="shared" si="51"/>
        <v>-1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>
        <v>631.14</v>
      </c>
      <c r="E69" s="2"/>
      <c r="F69" s="7">
        <f t="shared" si="44"/>
        <v>4.3090826304862306E-3</v>
      </c>
      <c r="G69" s="2"/>
      <c r="H69" s="6">
        <v>388.38</v>
      </c>
      <c r="I69" s="2"/>
      <c r="J69" s="7">
        <f t="shared" si="45"/>
        <v>2.9226374745065014E-3</v>
      </c>
      <c r="K69" s="2"/>
      <c r="L69" s="6">
        <f t="shared" si="46"/>
        <v>242.76</v>
      </c>
      <c r="M69" s="2"/>
      <c r="N69" s="7">
        <f t="shared" si="47"/>
        <v>0.6250579329522632</v>
      </c>
      <c r="O69" s="11"/>
      <c r="P69" s="6">
        <v>9392.64</v>
      </c>
      <c r="Q69" s="2"/>
      <c r="R69" s="7">
        <f t="shared" si="48"/>
        <v>6.4985441160367169E-3</v>
      </c>
      <c r="S69" s="2"/>
      <c r="T69" s="6">
        <v>13585.2</v>
      </c>
      <c r="U69" s="2"/>
      <c r="V69" s="7">
        <f t="shared" si="49"/>
        <v>9.9279035805675733E-3</v>
      </c>
      <c r="W69" s="2"/>
      <c r="X69" s="6">
        <f t="shared" si="50"/>
        <v>-4192.5600000000013</v>
      </c>
      <c r="Y69" s="2"/>
      <c r="Z69" s="7">
        <f t="shared" si="51"/>
        <v>-0.30861231339987644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6">
        <v>1515.92</v>
      </c>
      <c r="E70" s="2"/>
      <c r="F70" s="7">
        <f t="shared" si="44"/>
        <v>1.0349882024917906E-2</v>
      </c>
      <c r="G70" s="2"/>
      <c r="H70" s="6">
        <v>99.54</v>
      </c>
      <c r="I70" s="2"/>
      <c r="J70" s="7">
        <f t="shared" si="45"/>
        <v>7.4905848450583751E-4</v>
      </c>
      <c r="K70" s="2"/>
      <c r="L70" s="6">
        <f t="shared" si="46"/>
        <v>1416.38</v>
      </c>
      <c r="M70" s="2"/>
      <c r="N70" s="7">
        <f t="shared" si="47"/>
        <v>14.229254571026724</v>
      </c>
      <c r="O70" s="11"/>
      <c r="P70" s="6">
        <v>4034.69</v>
      </c>
      <c r="Q70" s="2"/>
      <c r="R70" s="7">
        <f t="shared" si="48"/>
        <v>2.7915060046517465E-3</v>
      </c>
      <c r="S70" s="2"/>
      <c r="T70" s="6">
        <v>3353.41</v>
      </c>
      <c r="U70" s="2"/>
      <c r="V70" s="7">
        <f t="shared" si="49"/>
        <v>2.4506323901091706E-3</v>
      </c>
      <c r="W70" s="2"/>
      <c r="X70" s="6">
        <f t="shared" si="50"/>
        <v>681.2800000000002</v>
      </c>
      <c r="Y70" s="2"/>
      <c r="Z70" s="7">
        <f t="shared" si="51"/>
        <v>0.20316036512087704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>
        <v>-1977.37</v>
      </c>
      <c r="E71" s="2"/>
      <c r="F71" s="7">
        <f t="shared" si="44"/>
        <v>-1.3500413095421868E-2</v>
      </c>
      <c r="G71" s="2"/>
      <c r="H71" s="6">
        <v>568.5</v>
      </c>
      <c r="I71" s="2"/>
      <c r="J71" s="7">
        <f t="shared" si="45"/>
        <v>4.2780766369456364E-3</v>
      </c>
      <c r="K71" s="2"/>
      <c r="L71" s="6">
        <f t="shared" si="46"/>
        <v>-2545.87</v>
      </c>
      <c r="M71" s="2"/>
      <c r="N71" s="7">
        <f t="shared" si="47"/>
        <v>-4.4782233948988566</v>
      </c>
      <c r="O71" s="11"/>
      <c r="P71" s="6">
        <v>18124.47</v>
      </c>
      <c r="Q71" s="2"/>
      <c r="R71" s="7">
        <f t="shared" si="48"/>
        <v>1.253988951719474E-2</v>
      </c>
      <c r="S71" s="2"/>
      <c r="T71" s="6">
        <v>2841.94</v>
      </c>
      <c r="U71" s="2"/>
      <c r="V71" s="7">
        <f t="shared" si="49"/>
        <v>2.0768561597737396E-3</v>
      </c>
      <c r="W71" s="2"/>
      <c r="X71" s="6">
        <f t="shared" si="50"/>
        <v>15282.53</v>
      </c>
      <c r="Y71" s="2"/>
      <c r="Z71" s="7">
        <f t="shared" si="51"/>
        <v>5.3774991731000652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6">
        <v>905.3</v>
      </c>
      <c r="E72" s="2"/>
      <c r="F72" s="7">
        <f t="shared" si="44"/>
        <v>6.1808988582235077E-3</v>
      </c>
      <c r="G72" s="2"/>
      <c r="H72" s="6">
        <v>1300.67</v>
      </c>
      <c r="I72" s="2"/>
      <c r="J72" s="7">
        <f t="shared" si="45"/>
        <v>9.7878028836870367E-3</v>
      </c>
      <c r="K72" s="2"/>
      <c r="L72" s="6">
        <f t="shared" si="46"/>
        <v>-395.37000000000012</v>
      </c>
      <c r="M72" s="2"/>
      <c r="N72" s="7">
        <f t="shared" si="47"/>
        <v>-0.30397410565324035</v>
      </c>
      <c r="O72" s="11"/>
      <c r="P72" s="6">
        <v>10126.27</v>
      </c>
      <c r="Q72" s="2"/>
      <c r="R72" s="7">
        <f t="shared" si="48"/>
        <v>7.0061252561472737E-3</v>
      </c>
      <c r="S72" s="2"/>
      <c r="T72" s="6">
        <v>9601.02</v>
      </c>
      <c r="U72" s="2"/>
      <c r="V72" s="7">
        <f t="shared" si="49"/>
        <v>7.01631193026977E-3</v>
      </c>
      <c r="W72" s="2"/>
      <c r="X72" s="6">
        <f t="shared" si="50"/>
        <v>525.25</v>
      </c>
      <c r="Y72" s="2"/>
      <c r="Z72" s="7">
        <f t="shared" si="51"/>
        <v>5.4707728970463554E-2</v>
      </c>
    </row>
    <row r="73" spans="1:26" s="24" customFormat="1" hidden="1" outlineLevel="2" x14ac:dyDescent="0.25">
      <c r="A73" s="25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469.44</v>
      </c>
      <c r="Q73" s="2"/>
      <c r="R73" s="7">
        <f t="shared" si="48"/>
        <v>3.2479436557051868E-4</v>
      </c>
      <c r="S73" s="2"/>
      <c r="T73" s="6"/>
      <c r="U73" s="2"/>
      <c r="V73" s="7">
        <f t="shared" si="49"/>
        <v>0</v>
      </c>
      <c r="W73" s="2"/>
      <c r="X73" s="6">
        <f t="shared" si="50"/>
        <v>469.44</v>
      </c>
      <c r="Y73" s="2"/>
      <c r="Z73" s="7">
        <f t="shared" si="51"/>
        <v>0</v>
      </c>
    </row>
    <row r="74" spans="1:26" s="24" customFormat="1" hidden="1" outlineLevel="2" x14ac:dyDescent="0.25">
      <c r="A74" s="25"/>
      <c r="B74" s="11" t="str">
        <f>CONCATENATE("          ", "6248", " - ", "UNIFORMS")</f>
        <v xml:space="preserve">          6248 - UNIFORMS</v>
      </c>
      <c r="C74" s="11"/>
      <c r="D74" s="6">
        <v>729.67</v>
      </c>
      <c r="E74" s="2"/>
      <c r="F74" s="7">
        <f t="shared" si="44"/>
        <v>4.9817921903014982E-3</v>
      </c>
      <c r="G74" s="2"/>
      <c r="H74" s="6"/>
      <c r="I74" s="2"/>
      <c r="J74" s="7">
        <f t="shared" si="45"/>
        <v>0</v>
      </c>
      <c r="K74" s="2"/>
      <c r="L74" s="6">
        <f t="shared" si="46"/>
        <v>729.67</v>
      </c>
      <c r="M74" s="2"/>
      <c r="N74" s="7">
        <f t="shared" si="47"/>
        <v>0</v>
      </c>
      <c r="O74" s="11"/>
      <c r="P74" s="6">
        <v>-7329.95</v>
      </c>
      <c r="Q74" s="2"/>
      <c r="R74" s="7">
        <f t="shared" si="48"/>
        <v>-5.0714179872052298E-3</v>
      </c>
      <c r="S74" s="2"/>
      <c r="T74" s="6">
        <v>3843.07</v>
      </c>
      <c r="U74" s="2"/>
      <c r="V74" s="7">
        <f t="shared" si="49"/>
        <v>2.808470130242604E-3</v>
      </c>
      <c r="W74" s="2"/>
      <c r="X74" s="6">
        <f t="shared" si="50"/>
        <v>-11173.02</v>
      </c>
      <c r="Y74" s="2"/>
      <c r="Z74" s="7">
        <f t="shared" si="51"/>
        <v>-2.9073162861982738</v>
      </c>
    </row>
    <row r="75" spans="1:26" s="26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SUM(OSRRefD22_14x_0)</f>
        <v>161.25</v>
      </c>
      <c r="E75" s="1"/>
      <c r="F75" s="5">
        <f t="shared" ref="F75:F81" si="52">IF(D$12=0,0,D75/D$12)</f>
        <v>1.10092780391974E-3</v>
      </c>
      <c r="G75" s="1"/>
      <c r="H75" s="1">
        <f>SUM(OSRRefH22_14x_0)</f>
        <v>1.55</v>
      </c>
      <c r="I75" s="1"/>
      <c r="J75" s="5">
        <f t="shared" ref="J75:J81" si="53">IF(H$12=0,0,H75/H$12)</f>
        <v>1.1664061191320556E-5</v>
      </c>
      <c r="K75" s="1"/>
      <c r="L75" s="1">
        <f t="shared" ref="L75:L81" si="54">+D75-H75</f>
        <v>159.69999999999999</v>
      </c>
      <c r="M75" s="1"/>
      <c r="N75" s="5">
        <f t="shared" ref="N75:N81" si="55">IF(H75=0,0,L75/H75)</f>
        <v>103.03225806451611</v>
      </c>
      <c r="O75" s="13"/>
      <c r="P75" s="1">
        <f>SUM(OSRRefP22_14x_0)</f>
        <v>949</v>
      </c>
      <c r="Q75" s="1"/>
      <c r="R75" s="5">
        <f t="shared" ref="R75:R81" si="56">IF(P$12=0,0,P75/P$12)</f>
        <v>6.5659051833338064E-4</v>
      </c>
      <c r="S75" s="1"/>
      <c r="T75" s="1">
        <f>SUM(OSRRefT22_14x_0)</f>
        <v>1250</v>
      </c>
      <c r="U75" s="1"/>
      <c r="V75" s="5">
        <f t="shared" ref="V75:V81" si="57">IF(T$12=0,0,T75/T$12)</f>
        <v>9.1348522478207654E-4</v>
      </c>
      <c r="W75" s="1"/>
      <c r="X75" s="1">
        <f t="shared" ref="X75:X81" si="58">+P75-T75</f>
        <v>-301</v>
      </c>
      <c r="Y75" s="1"/>
      <c r="Z75" s="5">
        <f t="shared" ref="Z75:Z81" si="59">IF(T75=0,0,X75/T75)</f>
        <v>-0.24079999999999999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161.25</v>
      </c>
      <c r="E76" s="2"/>
      <c r="F76" s="7">
        <f t="shared" si="52"/>
        <v>1.10092780391974E-3</v>
      </c>
      <c r="G76" s="2"/>
      <c r="H76" s="6">
        <v>1.55</v>
      </c>
      <c r="I76" s="2"/>
      <c r="J76" s="7">
        <f t="shared" si="53"/>
        <v>1.1664061191320556E-5</v>
      </c>
      <c r="K76" s="2"/>
      <c r="L76" s="6">
        <f t="shared" si="54"/>
        <v>159.69999999999999</v>
      </c>
      <c r="M76" s="2"/>
      <c r="N76" s="7">
        <f t="shared" si="55"/>
        <v>103.03225806451611</v>
      </c>
      <c r="O76" s="11"/>
      <c r="P76" s="6">
        <v>949</v>
      </c>
      <c r="Q76" s="2"/>
      <c r="R76" s="7">
        <f t="shared" si="56"/>
        <v>6.5659051833338064E-4</v>
      </c>
      <c r="S76" s="2"/>
      <c r="T76" s="6">
        <v>1250</v>
      </c>
      <c r="U76" s="2"/>
      <c r="V76" s="7">
        <f t="shared" si="57"/>
        <v>9.1348522478207654E-4</v>
      </c>
      <c r="W76" s="2"/>
      <c r="X76" s="6">
        <f t="shared" si="58"/>
        <v>-301</v>
      </c>
      <c r="Y76" s="2"/>
      <c r="Z76" s="7">
        <f t="shared" si="59"/>
        <v>-0.24079999999999999</v>
      </c>
    </row>
    <row r="77" spans="1:26" s="26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SUM(OSRRefD22_15x_0)</f>
        <v>0</v>
      </c>
      <c r="E77" s="1"/>
      <c r="F77" s="5">
        <f t="shared" si="52"/>
        <v>0</v>
      </c>
      <c r="G77" s="1"/>
      <c r="H77" s="1">
        <f>SUM(OSRRefH22_15x_0)</f>
        <v>440.18</v>
      </c>
      <c r="I77" s="1"/>
      <c r="J77" s="5">
        <f t="shared" si="53"/>
        <v>3.3124428743196662E-3</v>
      </c>
      <c r="K77" s="1"/>
      <c r="L77" s="1">
        <f t="shared" si="54"/>
        <v>-440.18</v>
      </c>
      <c r="M77" s="1"/>
      <c r="N77" s="5">
        <f t="shared" si="55"/>
        <v>-1</v>
      </c>
      <c r="O77" s="13"/>
      <c r="P77" s="1">
        <f>SUM(OSRRefP22_15x_0)</f>
        <v>1555.78</v>
      </c>
      <c r="Q77" s="1"/>
      <c r="R77" s="5">
        <f t="shared" si="56"/>
        <v>1.0764071618679736E-3</v>
      </c>
      <c r="S77" s="1"/>
      <c r="T77" s="1">
        <f>SUM(OSRRefT22_15x_0)</f>
        <v>1849.02</v>
      </c>
      <c r="U77" s="1"/>
      <c r="V77" s="5">
        <f t="shared" si="57"/>
        <v>1.3512419602612442E-3</v>
      </c>
      <c r="W77" s="1"/>
      <c r="X77" s="1">
        <f t="shared" si="58"/>
        <v>-293.24</v>
      </c>
      <c r="Y77" s="1"/>
      <c r="Z77" s="5">
        <f t="shared" si="59"/>
        <v>-0.15859211906847953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2"/>
        <v>0</v>
      </c>
      <c r="G78" s="2"/>
      <c r="H78" s="6">
        <v>440.18</v>
      </c>
      <c r="I78" s="2"/>
      <c r="J78" s="7">
        <f t="shared" si="53"/>
        <v>3.3124428743196662E-3</v>
      </c>
      <c r="K78" s="2"/>
      <c r="L78" s="6">
        <f t="shared" si="54"/>
        <v>-440.18</v>
      </c>
      <c r="M78" s="2"/>
      <c r="N78" s="7">
        <f t="shared" si="55"/>
        <v>-1</v>
      </c>
      <c r="O78" s="11"/>
      <c r="P78" s="6">
        <v>1555.78</v>
      </c>
      <c r="Q78" s="2"/>
      <c r="R78" s="7">
        <f t="shared" si="56"/>
        <v>1.0764071618679736E-3</v>
      </c>
      <c r="S78" s="2"/>
      <c r="T78" s="6">
        <v>1849.02</v>
      </c>
      <c r="U78" s="2"/>
      <c r="V78" s="7">
        <f t="shared" si="57"/>
        <v>1.3512419602612442E-3</v>
      </c>
      <c r="W78" s="2"/>
      <c r="X78" s="6">
        <f t="shared" si="58"/>
        <v>-293.24</v>
      </c>
      <c r="Y78" s="2"/>
      <c r="Z78" s="7">
        <f t="shared" si="59"/>
        <v>-0.15859211906847953</v>
      </c>
    </row>
    <row r="79" spans="1:26" s="26" customFormat="1" outlineLevel="1" collapsed="1" x14ac:dyDescent="0.25">
      <c r="A79" s="27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SUM(OSRRefP22_16x_0)</f>
        <v>79.510000000000005</v>
      </c>
      <c r="Q79" s="1"/>
      <c r="R79" s="5">
        <f t="shared" si="56"/>
        <v>5.501107704181991E-5</v>
      </c>
      <c r="S79" s="1"/>
      <c r="T79" s="1">
        <f>SUM(OSRRefT22_16x_0)</f>
        <v>219.88</v>
      </c>
      <c r="U79" s="1"/>
      <c r="V79" s="5">
        <f t="shared" si="57"/>
        <v>1.6068570498006639E-4</v>
      </c>
      <c r="W79" s="1"/>
      <c r="X79" s="1">
        <f t="shared" si="58"/>
        <v>-140.37</v>
      </c>
      <c r="Y79" s="1"/>
      <c r="Z79" s="5">
        <f t="shared" si="59"/>
        <v>-0.63839366927414953</v>
      </c>
    </row>
    <row r="80" spans="1:26" s="24" customFormat="1" hidden="1" outlineLevel="2" x14ac:dyDescent="0.25">
      <c r="A80" s="25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79.510000000000005</v>
      </c>
      <c r="Q80" s="2"/>
      <c r="R80" s="7">
        <f t="shared" si="56"/>
        <v>5.501107704181991E-5</v>
      </c>
      <c r="S80" s="2"/>
      <c r="T80" s="6"/>
      <c r="U80" s="2"/>
      <c r="V80" s="7">
        <f t="shared" si="57"/>
        <v>0</v>
      </c>
      <c r="W80" s="2"/>
      <c r="X80" s="6">
        <f t="shared" si="58"/>
        <v>79.510000000000005</v>
      </c>
      <c r="Y80" s="2"/>
      <c r="Z80" s="7">
        <f t="shared" si="59"/>
        <v>0</v>
      </c>
    </row>
    <row r="81" spans="1:26" s="24" customFormat="1" hidden="1" outlineLevel="2" x14ac:dyDescent="0.25">
      <c r="A81" s="25"/>
      <c r="B81" s="11" t="str">
        <f>CONCATENATE("          ", "6294", " - ", "TRAVEL OPERATIONAL")</f>
        <v xml:space="preserve">          6294 - TRAVEL OPERATIONAL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219.88</v>
      </c>
      <c r="U81" s="2"/>
      <c r="V81" s="7">
        <f t="shared" si="57"/>
        <v>1.6068570498006639E-4</v>
      </c>
      <c r="W81" s="2"/>
      <c r="X81" s="6">
        <f t="shared" si="58"/>
        <v>-219.88</v>
      </c>
      <c r="Y81" s="2"/>
      <c r="Z81" s="7">
        <f t="shared" si="59"/>
        <v>-1</v>
      </c>
    </row>
    <row r="82" spans="1:26" s="59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1">
        <f>+D21-D23+D83</f>
        <v>6600.0100000000093</v>
      </c>
      <c r="E85" s="14"/>
      <c r="F85" s="22">
        <f>IF(D$12=0,0,D85/D$12)</f>
        <v>4.5061299318749352E-2</v>
      </c>
      <c r="G85" s="14"/>
      <c r="H85" s="21">
        <f>+H21-H23+H83</f>
        <v>11146.289999999994</v>
      </c>
      <c r="I85" s="14"/>
      <c r="J85" s="22">
        <f>IF(H$12=0,0,H85/H$12)</f>
        <v>8.3878070074970529E-2</v>
      </c>
      <c r="K85" s="16"/>
      <c r="L85" s="21">
        <f>+D85-H85</f>
        <v>-4546.2799999999843</v>
      </c>
      <c r="M85" s="16"/>
      <c r="N85" s="22">
        <f>IF(H85=0,0,L85/H85)</f>
        <v>-0.40787383066473121</v>
      </c>
      <c r="O85" s="29"/>
      <c r="P85" s="21">
        <f>+P21-P23+P83</f>
        <v>261312.30999999994</v>
      </c>
      <c r="Q85" s="14"/>
      <c r="R85" s="22">
        <f>IF(P$12=0,0,P85/P$12)</f>
        <v>0.18079576930431296</v>
      </c>
      <c r="S85" s="14"/>
      <c r="T85" s="21">
        <f>+T21-T23+T83</f>
        <v>351279.05000000016</v>
      </c>
      <c r="U85" s="14"/>
      <c r="V85" s="22">
        <f>IF(T$12=0,0,T85/T$12)</f>
        <v>0.25671057756038757</v>
      </c>
      <c r="W85" s="16"/>
      <c r="X85" s="21">
        <f>+P85-T85</f>
        <v>-89966.740000000224</v>
      </c>
      <c r="Y85" s="16"/>
      <c r="Z85" s="22">
        <f>IF(T85=0,0,X85/T85)</f>
        <v>-0.25611188597782925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10440.209999999999</v>
      </c>
      <c r="E87" s="4"/>
      <c r="F87" s="12">
        <f>IF(D$12=0,0,D87/D$12)</f>
        <v>7.1280108327199429E-2</v>
      </c>
      <c r="G87" s="4"/>
      <c r="H87" s="4">
        <v>5904.88</v>
      </c>
      <c r="I87" s="4"/>
      <c r="J87" s="12">
        <f>IF(H$12=0,0,H87/H$12)</f>
        <v>4.4435407514454787E-2</v>
      </c>
      <c r="K87" s="4"/>
      <c r="L87" s="4">
        <f>+D87-H87</f>
        <v>4535.329999999999</v>
      </c>
      <c r="M87" s="4"/>
      <c r="N87" s="12">
        <f>IF(H87=0,0,L87/H87)</f>
        <v>0.76806471935077414</v>
      </c>
      <c r="O87" s="10"/>
      <c r="P87" s="4">
        <v>150729.03999999998</v>
      </c>
      <c r="Q87" s="4"/>
      <c r="R87" s="12">
        <f>IF(P$12=0,0,P87/P$12)</f>
        <v>0.10428583614488182</v>
      </c>
      <c r="S87" s="4"/>
      <c r="T87" s="4">
        <v>139233.9</v>
      </c>
      <c r="U87" s="4"/>
      <c r="V87" s="12">
        <f>IF(T$12=0,0,T87/T$12)</f>
        <v>0.10175048835102812</v>
      </c>
      <c r="W87" s="4"/>
      <c r="X87" s="4">
        <f>+P87-T87</f>
        <v>11495.139999999985</v>
      </c>
      <c r="Y87" s="4"/>
      <c r="Z87" s="12">
        <f>IF(T87=0,0,X87/T87)</f>
        <v>8.2559922547597864E-2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4">
        <f>+D85-D87</f>
        <v>-3840.1999999999898</v>
      </c>
      <c r="E89" s="14"/>
      <c r="F89" s="31">
        <f>IF(D$12=0,0,D89/D$12)</f>
        <v>-2.6218809008450073E-2</v>
      </c>
      <c r="G89" s="14"/>
      <c r="H89" s="34">
        <f>+H85-H87</f>
        <v>5241.4099999999935</v>
      </c>
      <c r="I89" s="14"/>
      <c r="J89" s="31">
        <f>IF(H$12=0,0,H89/H$12)</f>
        <v>3.9442662560515741E-2</v>
      </c>
      <c r="K89" s="16"/>
      <c r="L89" s="34">
        <f>D89-H89</f>
        <v>-9081.6099999999824</v>
      </c>
      <c r="M89" s="16"/>
      <c r="N89" s="31">
        <f>IF(H89=0,0,L89/H89)</f>
        <v>-1.7326654468931058</v>
      </c>
      <c r="O89" s="29"/>
      <c r="P89" s="34">
        <f>+P85-P87</f>
        <v>110583.26999999996</v>
      </c>
      <c r="Q89" s="14"/>
      <c r="R89" s="31">
        <f>IF(P$12=0,0,P89/P$12)</f>
        <v>7.6509933159431137E-2</v>
      </c>
      <c r="S89" s="14"/>
      <c r="T89" s="34">
        <f>+T85-T87</f>
        <v>212045.15000000017</v>
      </c>
      <c r="U89" s="14"/>
      <c r="V89" s="31">
        <f>IF(T$12=0,0,T89/T$12)</f>
        <v>0.15496008920935944</v>
      </c>
      <c r="W89" s="16"/>
      <c r="X89" s="34">
        <f>P89-T89</f>
        <v>-101461.88000000021</v>
      </c>
      <c r="Y89" s="16"/>
      <c r="Z89" s="31">
        <f>IF(T89=0,0,X89/T89)</f>
        <v>-0.47849186835916846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0">
        <f>SUM(D89:D91)</f>
        <v>-3840.1999999999898</v>
      </c>
      <c r="E92" s="14"/>
      <c r="F92" s="33">
        <f>IF(D$12=0,0,D92/D$12)</f>
        <v>-2.6218809008450073E-2</v>
      </c>
      <c r="G92" s="14"/>
      <c r="H92" s="30">
        <f>SUM(H89:H91)</f>
        <v>5241.4099999999935</v>
      </c>
      <c r="I92" s="14"/>
      <c r="J92" s="33">
        <f>IF(H$12=0,0,H92/H$12)</f>
        <v>3.9442662560515741E-2</v>
      </c>
      <c r="K92" s="16"/>
      <c r="L92" s="30">
        <f>+D92-H92</f>
        <v>-9081.6099999999824</v>
      </c>
      <c r="M92" s="16"/>
      <c r="N92" s="33">
        <f>IF(H92=0,0,L92/H92)</f>
        <v>-1.7326654468931058</v>
      </c>
      <c r="O92" s="29"/>
      <c r="P92" s="30">
        <f>SUM(P89:P91)</f>
        <v>110583.26999999996</v>
      </c>
      <c r="Q92" s="14"/>
      <c r="R92" s="33">
        <f>IF(P$12=0,0,P92/P$12)</f>
        <v>7.6509933159431137E-2</v>
      </c>
      <c r="S92" s="14"/>
      <c r="T92" s="30">
        <f>SUM(T89:T91)</f>
        <v>212045.15000000017</v>
      </c>
      <c r="U92" s="14"/>
      <c r="V92" s="33">
        <f>IF(T$12=0,0,T92/T$12)</f>
        <v>0.15496008920935944</v>
      </c>
      <c r="W92" s="16"/>
      <c r="X92" s="30">
        <f>+P92-T92</f>
        <v>-101461.88000000021</v>
      </c>
      <c r="Y92" s="16"/>
      <c r="Z92" s="33">
        <f>IF(T92=0,0,X92/T92)</f>
        <v>-0.47849186835916846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43879.554421064815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">
        <v>296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24844</v>
      </c>
      <c r="E12" s="4"/>
      <c r="F12" s="12"/>
      <c r="G12" s="4"/>
      <c r="H12" s="4">
        <f>SUM(OSRRefH13x_0)</f>
        <v>21304</v>
      </c>
      <c r="I12" s="4"/>
      <c r="J12" s="12"/>
      <c r="K12" s="4"/>
      <c r="L12" s="4">
        <f t="shared" ref="L12:L13" si="0">+D12-H12</f>
        <v>3540</v>
      </c>
      <c r="M12" s="4"/>
      <c r="N12" s="12">
        <f t="shared" ref="N12:N13" si="1">IF(H12=0,0,L12/H12)</f>
        <v>0.16616597822005258</v>
      </c>
      <c r="O12" s="10"/>
      <c r="P12" s="4">
        <f>SUM(OSRRefP13x_0)</f>
        <v>191645</v>
      </c>
      <c r="Q12" s="4"/>
      <c r="R12" s="12"/>
      <c r="S12" s="4"/>
      <c r="T12" s="4">
        <f>SUM(OSRRefT13x_0)</f>
        <v>221573</v>
      </c>
      <c r="U12" s="4"/>
      <c r="V12" s="12"/>
      <c r="W12" s="4"/>
      <c r="X12" s="4">
        <f t="shared" ref="X12:X13" si="2">+P12-T12</f>
        <v>-29928</v>
      </c>
      <c r="Y12" s="4"/>
      <c r="Z12" s="12">
        <f t="shared" ref="Z12:Z13" si="3">IF(T12=0,0,X12/T12)</f>
        <v>-0.13507060878356117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--24844</f>
        <v>24844</v>
      </c>
      <c r="E13" s="2"/>
      <c r="F13" s="19"/>
      <c r="G13" s="2"/>
      <c r="H13" s="2">
        <f>--21304</f>
        <v>21304</v>
      </c>
      <c r="I13" s="2"/>
      <c r="J13" s="19"/>
      <c r="K13" s="2"/>
      <c r="L13" s="2">
        <f t="shared" si="0"/>
        <v>3540</v>
      </c>
      <c r="M13" s="2"/>
      <c r="N13" s="19">
        <f t="shared" si="1"/>
        <v>0.16616597822005258</v>
      </c>
      <c r="O13" s="11"/>
      <c r="P13" s="2">
        <f>--191645</f>
        <v>191645</v>
      </c>
      <c r="Q13" s="2"/>
      <c r="R13" s="19"/>
      <c r="S13" s="2"/>
      <c r="T13" s="2">
        <f>--221573</f>
        <v>221573</v>
      </c>
      <c r="U13" s="2"/>
      <c r="V13" s="19"/>
      <c r="W13" s="2"/>
      <c r="X13" s="2">
        <f t="shared" si="2"/>
        <v>-29928</v>
      </c>
      <c r="Y13" s="2"/>
      <c r="Z13" s="19">
        <f t="shared" si="3"/>
        <v>-0.13507060878356117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24844</v>
      </c>
      <c r="E17" s="14"/>
      <c r="F17" s="22">
        <f>IF(D$12=0,0,D17/D$12)</f>
        <v>1</v>
      </c>
      <c r="G17" s="14"/>
      <c r="H17" s="21">
        <f>H12-H15</f>
        <v>21304</v>
      </c>
      <c r="I17" s="14"/>
      <c r="J17" s="22">
        <f>IF(H$12=0,0,H17/H$12)</f>
        <v>1</v>
      </c>
      <c r="K17" s="16"/>
      <c r="L17" s="21">
        <f>+D17-H17</f>
        <v>3540</v>
      </c>
      <c r="M17" s="16"/>
      <c r="N17" s="22">
        <f>IF(H17=0,0,L17/H17)</f>
        <v>0.16616597822005258</v>
      </c>
      <c r="O17" s="29"/>
      <c r="P17" s="21">
        <f>P12-P15</f>
        <v>191645</v>
      </c>
      <c r="Q17" s="14"/>
      <c r="R17" s="22">
        <f>IF(P$12=0,0,P17/P$12)</f>
        <v>1</v>
      </c>
      <c r="S17" s="14"/>
      <c r="T17" s="21">
        <f>T12-T15</f>
        <v>221573</v>
      </c>
      <c r="U17" s="14"/>
      <c r="V17" s="22">
        <f>IF(T$12=0,0,T17/T$12)</f>
        <v>1</v>
      </c>
      <c r="W17" s="16"/>
      <c r="X17" s="21">
        <f>+P17-T17</f>
        <v>-29928</v>
      </c>
      <c r="Y17" s="16"/>
      <c r="Z17" s="22">
        <f>IF(T17=0,0,X17/T17)</f>
        <v>-0.13507060878356117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25649.16</v>
      </c>
      <c r="E19" s="20"/>
      <c r="F19" s="32">
        <f t="shared" ref="F19:F28" si="4">IF(D$12=0,0,D19/D$12)</f>
        <v>1.0324086298502657</v>
      </c>
      <c r="G19" s="20"/>
      <c r="H19" s="20">
        <f>SUM(OSRRefH22x_0)</f>
        <v>20868.539999999997</v>
      </c>
      <c r="I19" s="20"/>
      <c r="J19" s="32">
        <f t="shared" ref="J19:J28" si="5">IF(H$12=0,0,H19/H$12)</f>
        <v>0.97955970709725859</v>
      </c>
      <c r="K19" s="4"/>
      <c r="L19" s="20">
        <f t="shared" ref="L19:L28" si="6">+D19-H19</f>
        <v>4780.6200000000026</v>
      </c>
      <c r="M19" s="4"/>
      <c r="N19" s="32">
        <f t="shared" ref="N19:N28" si="7">IF(H19=0,0,L19/H19)</f>
        <v>0.22908262868413426</v>
      </c>
      <c r="O19" s="10"/>
      <c r="P19" s="20">
        <f>SUM(OSRRefP22x_0)</f>
        <v>190924.10999999993</v>
      </c>
      <c r="Q19" s="20"/>
      <c r="R19" s="32">
        <f t="shared" ref="R19:R28" si="8">IF(P$12=0,0,P19/P$12)</f>
        <v>0.99623840955934106</v>
      </c>
      <c r="S19" s="20"/>
      <c r="T19" s="20">
        <f>SUM(OSRRefT22x_0)</f>
        <v>219450.32000000004</v>
      </c>
      <c r="U19" s="20"/>
      <c r="V19" s="32">
        <f t="shared" ref="V19:V28" si="9">IF(T$12=0,0,T19/T$12)</f>
        <v>0.9904199518894452</v>
      </c>
      <c r="W19" s="4"/>
      <c r="X19" s="20">
        <f t="shared" ref="X19:X28" si="10">+P19-T19</f>
        <v>-28526.210000000108</v>
      </c>
      <c r="Y19" s="4"/>
      <c r="Z19" s="32">
        <f t="shared" ref="Z19:Z28" si="11">IF(T19=0,0,X19/T19)</f>
        <v>-0.12998937527181598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4285.4500000000007</v>
      </c>
      <c r="E20" s="1"/>
      <c r="F20" s="5">
        <f t="shared" si="4"/>
        <v>0.17249436483658029</v>
      </c>
      <c r="G20" s="1"/>
      <c r="H20" s="1">
        <f>SUM(OSRRefH22_0x_0)</f>
        <v>3840.74</v>
      </c>
      <c r="I20" s="1"/>
      <c r="J20" s="5">
        <f t="shared" si="5"/>
        <v>0.18028257604205783</v>
      </c>
      <c r="K20" s="1"/>
      <c r="L20" s="1">
        <f t="shared" si="6"/>
        <v>444.71000000000095</v>
      </c>
      <c r="M20" s="1"/>
      <c r="N20" s="5">
        <f t="shared" si="7"/>
        <v>0.1157875826012698</v>
      </c>
      <c r="O20" s="13"/>
      <c r="P20" s="1">
        <f>SUM(OSRRefP22_0x_0)</f>
        <v>31385.910000000003</v>
      </c>
      <c r="Q20" s="1"/>
      <c r="R20" s="5">
        <f t="shared" si="8"/>
        <v>0.16377108716637534</v>
      </c>
      <c r="S20" s="1"/>
      <c r="T20" s="1">
        <f>SUM(OSRRefT22_0x_0)</f>
        <v>29806.920000000002</v>
      </c>
      <c r="U20" s="1"/>
      <c r="V20" s="5">
        <f t="shared" si="9"/>
        <v>0.13452415231097653</v>
      </c>
      <c r="W20" s="1"/>
      <c r="X20" s="1">
        <f t="shared" si="10"/>
        <v>1578.9900000000016</v>
      </c>
      <c r="Y20" s="1"/>
      <c r="Z20" s="5">
        <f t="shared" si="11"/>
        <v>5.2973940279639808E-2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920.98</v>
      </c>
      <c r="E21" s="2"/>
      <c r="F21" s="7">
        <f t="shared" si="4"/>
        <v>3.7070520045081309E-2</v>
      </c>
      <c r="G21" s="2"/>
      <c r="H21" s="6">
        <v>739.73</v>
      </c>
      <c r="I21" s="2"/>
      <c r="J21" s="7">
        <f t="shared" si="5"/>
        <v>3.4722587307547882E-2</v>
      </c>
      <c r="K21" s="2"/>
      <c r="L21" s="6">
        <f t="shared" si="6"/>
        <v>181.25</v>
      </c>
      <c r="M21" s="2"/>
      <c r="N21" s="7">
        <f t="shared" si="7"/>
        <v>0.24502183229015992</v>
      </c>
      <c r="O21" s="11"/>
      <c r="P21" s="6">
        <v>7717.72</v>
      </c>
      <c r="Q21" s="2"/>
      <c r="R21" s="7">
        <f t="shared" si="8"/>
        <v>4.0270917581987531E-2</v>
      </c>
      <c r="S21" s="2"/>
      <c r="T21" s="6">
        <v>6758.15</v>
      </c>
      <c r="U21" s="2"/>
      <c r="V21" s="7">
        <f t="shared" si="9"/>
        <v>3.0500783037644478E-2</v>
      </c>
      <c r="W21" s="2"/>
      <c r="X21" s="6">
        <f t="shared" si="10"/>
        <v>959.57000000000062</v>
      </c>
      <c r="Y21" s="2"/>
      <c r="Z21" s="7">
        <f t="shared" si="11"/>
        <v>0.14198708226363735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50.97</v>
      </c>
      <c r="E22" s="2"/>
      <c r="F22" s="7">
        <f t="shared" si="4"/>
        <v>2.0516019964578972E-3</v>
      </c>
      <c r="G22" s="2"/>
      <c r="H22" s="6">
        <v>50.81</v>
      </c>
      <c r="I22" s="2"/>
      <c r="J22" s="7">
        <f t="shared" si="5"/>
        <v>2.3849981224183252E-3</v>
      </c>
      <c r="K22" s="2"/>
      <c r="L22" s="6">
        <f t="shared" si="6"/>
        <v>0.15999999999999659</v>
      </c>
      <c r="M22" s="2"/>
      <c r="N22" s="7">
        <f t="shared" si="7"/>
        <v>3.1489864199959966E-3</v>
      </c>
      <c r="O22" s="11"/>
      <c r="P22" s="6">
        <v>338.26</v>
      </c>
      <c r="Q22" s="2"/>
      <c r="R22" s="7">
        <f t="shared" si="8"/>
        <v>1.7650343082261473E-3</v>
      </c>
      <c r="S22" s="2"/>
      <c r="T22" s="6">
        <v>410.72</v>
      </c>
      <c r="U22" s="2"/>
      <c r="V22" s="7">
        <f t="shared" si="9"/>
        <v>1.8536554544100591E-3</v>
      </c>
      <c r="W22" s="2"/>
      <c r="X22" s="6">
        <f t="shared" si="10"/>
        <v>-72.460000000000036</v>
      </c>
      <c r="Y22" s="2"/>
      <c r="Z22" s="7">
        <f t="shared" si="11"/>
        <v>-0.17642189326061558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5.2274995974883276E-2</v>
      </c>
      <c r="G23" s="2"/>
      <c r="H23" s="6">
        <v>1243.31</v>
      </c>
      <c r="I23" s="2"/>
      <c r="J23" s="7">
        <f t="shared" si="5"/>
        <v>5.8360401802478402E-2</v>
      </c>
      <c r="K23" s="2"/>
      <c r="L23" s="6">
        <f t="shared" si="6"/>
        <v>55.410000000000082</v>
      </c>
      <c r="M23" s="2"/>
      <c r="N23" s="7">
        <f t="shared" si="7"/>
        <v>4.4566520015120993E-2</v>
      </c>
      <c r="O23" s="11"/>
      <c r="P23" s="6">
        <v>8758.58</v>
      </c>
      <c r="Q23" s="2"/>
      <c r="R23" s="7">
        <f t="shared" si="8"/>
        <v>4.5702105455399308E-2</v>
      </c>
      <c r="S23" s="2"/>
      <c r="T23" s="6">
        <v>8569.2900000000009</v>
      </c>
      <c r="U23" s="2"/>
      <c r="V23" s="7">
        <f t="shared" si="9"/>
        <v>3.8674793408944232E-2</v>
      </c>
      <c r="W23" s="2"/>
      <c r="X23" s="6">
        <f t="shared" si="10"/>
        <v>189.28999999999905</v>
      </c>
      <c r="Y23" s="2"/>
      <c r="Z23" s="7">
        <f t="shared" si="11"/>
        <v>2.2089344624817112E-2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39.020000000000003</v>
      </c>
      <c r="E24" s="2"/>
      <c r="F24" s="7">
        <f t="shared" si="4"/>
        <v>1.5706005474158751E-3</v>
      </c>
      <c r="G24" s="2"/>
      <c r="H24" s="6">
        <v>39.22</v>
      </c>
      <c r="I24" s="2"/>
      <c r="J24" s="7">
        <f t="shared" si="5"/>
        <v>1.8409688321441983E-3</v>
      </c>
      <c r="K24" s="2"/>
      <c r="L24" s="6">
        <f t="shared" si="6"/>
        <v>-0.19999999999999574</v>
      </c>
      <c r="M24" s="2"/>
      <c r="N24" s="7">
        <f t="shared" si="7"/>
        <v>-5.0994390617031043E-3</v>
      </c>
      <c r="O24" s="11"/>
      <c r="P24" s="6">
        <v>327.96</v>
      </c>
      <c r="Q24" s="2"/>
      <c r="R24" s="7">
        <f t="shared" si="8"/>
        <v>1.7112891022463407E-3</v>
      </c>
      <c r="S24" s="2"/>
      <c r="T24" s="6">
        <v>341.1</v>
      </c>
      <c r="U24" s="2"/>
      <c r="V24" s="7">
        <f t="shared" si="9"/>
        <v>1.5394474958591526E-3</v>
      </c>
      <c r="W24" s="2"/>
      <c r="X24" s="6">
        <f t="shared" si="10"/>
        <v>-13.140000000000043</v>
      </c>
      <c r="Y24" s="2"/>
      <c r="Z24" s="7">
        <f t="shared" si="11"/>
        <v>-3.8522427440633368E-2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959.21</v>
      </c>
      <c r="E25" s="2"/>
      <c r="F25" s="7">
        <f t="shared" si="4"/>
        <v>3.8609322170342943E-2</v>
      </c>
      <c r="G25" s="2"/>
      <c r="H25" s="6">
        <v>816.46</v>
      </c>
      <c r="I25" s="2"/>
      <c r="J25" s="7">
        <f t="shared" si="5"/>
        <v>3.8324258355238457E-2</v>
      </c>
      <c r="K25" s="2"/>
      <c r="L25" s="6">
        <f t="shared" si="6"/>
        <v>142.75</v>
      </c>
      <c r="M25" s="2"/>
      <c r="N25" s="7">
        <f t="shared" si="7"/>
        <v>0.17484016363324595</v>
      </c>
      <c r="O25" s="11"/>
      <c r="P25" s="6">
        <v>5566.45</v>
      </c>
      <c r="Q25" s="2"/>
      <c r="R25" s="7">
        <f t="shared" si="8"/>
        <v>2.9045631245271205E-2</v>
      </c>
      <c r="S25" s="2"/>
      <c r="T25" s="6">
        <v>4947.99</v>
      </c>
      <c r="U25" s="2"/>
      <c r="V25" s="7">
        <f t="shared" si="9"/>
        <v>2.233119558791008E-2</v>
      </c>
      <c r="W25" s="2"/>
      <c r="X25" s="6">
        <f t="shared" si="10"/>
        <v>618.46</v>
      </c>
      <c r="Y25" s="2"/>
      <c r="Z25" s="7">
        <f t="shared" si="11"/>
        <v>0.12499216853712317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577.95000000000005</v>
      </c>
      <c r="E26" s="2"/>
      <c r="F26" s="7">
        <f t="shared" si="4"/>
        <v>2.326316213170182E-2</v>
      </c>
      <c r="G26" s="2"/>
      <c r="H26" s="6">
        <v>534.38</v>
      </c>
      <c r="I26" s="2"/>
      <c r="J26" s="7">
        <f t="shared" si="5"/>
        <v>2.5083552384528727E-2</v>
      </c>
      <c r="K26" s="2"/>
      <c r="L26" s="6">
        <f t="shared" si="6"/>
        <v>43.57000000000005</v>
      </c>
      <c r="M26" s="2"/>
      <c r="N26" s="7">
        <f t="shared" si="7"/>
        <v>8.1533740035181046E-2</v>
      </c>
      <c r="O26" s="11"/>
      <c r="P26" s="6">
        <v>5070.83</v>
      </c>
      <c r="Q26" s="2"/>
      <c r="R26" s="7">
        <f t="shared" si="8"/>
        <v>2.6459495421221529E-2</v>
      </c>
      <c r="S26" s="2"/>
      <c r="T26" s="6">
        <v>4604.6499999999996</v>
      </c>
      <c r="U26" s="2"/>
      <c r="V26" s="7">
        <f t="shared" si="9"/>
        <v>2.0781638557044405E-2</v>
      </c>
      <c r="W26" s="2"/>
      <c r="X26" s="6">
        <f t="shared" si="10"/>
        <v>466.18000000000029</v>
      </c>
      <c r="Y26" s="2"/>
      <c r="Z26" s="7">
        <f t="shared" si="11"/>
        <v>0.10124113667705478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288.58</v>
      </c>
      <c r="E27" s="2"/>
      <c r="F27" s="7">
        <f t="shared" si="4"/>
        <v>1.1615681854773787E-2</v>
      </c>
      <c r="G27" s="2"/>
      <c r="H27" s="6">
        <v>266.83</v>
      </c>
      <c r="I27" s="2"/>
      <c r="J27" s="7">
        <f t="shared" si="5"/>
        <v>1.2524877957191137E-2</v>
      </c>
      <c r="K27" s="2"/>
      <c r="L27" s="6">
        <f t="shared" si="6"/>
        <v>21.75</v>
      </c>
      <c r="M27" s="2"/>
      <c r="N27" s="7">
        <f t="shared" si="7"/>
        <v>8.1512573548701422E-2</v>
      </c>
      <c r="O27" s="11"/>
      <c r="P27" s="6">
        <v>2554.2800000000002</v>
      </c>
      <c r="Q27" s="2"/>
      <c r="R27" s="7">
        <f t="shared" si="8"/>
        <v>1.3328184925252421E-2</v>
      </c>
      <c r="S27" s="2"/>
      <c r="T27" s="6">
        <v>2609.1799999999998</v>
      </c>
      <c r="U27" s="2"/>
      <c r="V27" s="7">
        <f t="shared" si="9"/>
        <v>1.1775712744783885E-2</v>
      </c>
      <c r="W27" s="2"/>
      <c r="X27" s="6">
        <f t="shared" si="10"/>
        <v>-54.899999999999636</v>
      </c>
      <c r="Y27" s="2"/>
      <c r="Z27" s="7">
        <f t="shared" si="11"/>
        <v>-2.104109337033077E-2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150.02000000000001</v>
      </c>
      <c r="E28" s="2"/>
      <c r="F28" s="7">
        <f t="shared" si="4"/>
        <v>6.0384801159233618E-3</v>
      </c>
      <c r="G28" s="2"/>
      <c r="H28" s="6">
        <v>150</v>
      </c>
      <c r="I28" s="2"/>
      <c r="J28" s="7">
        <f t="shared" si="5"/>
        <v>7.0409312805107026E-3</v>
      </c>
      <c r="K28" s="2"/>
      <c r="L28" s="6">
        <f t="shared" si="6"/>
        <v>2.0000000000010232E-2</v>
      </c>
      <c r="M28" s="2"/>
      <c r="N28" s="7">
        <f t="shared" si="7"/>
        <v>1.3333333333340154E-4</v>
      </c>
      <c r="O28" s="11"/>
      <c r="P28" s="6">
        <v>1051.83</v>
      </c>
      <c r="Q28" s="2"/>
      <c r="R28" s="7">
        <f t="shared" si="8"/>
        <v>5.488429126770852E-3</v>
      </c>
      <c r="S28" s="2"/>
      <c r="T28" s="6">
        <v>1565.84</v>
      </c>
      <c r="U28" s="2"/>
      <c r="V28" s="7">
        <f t="shared" si="9"/>
        <v>7.0669260243802264E-3</v>
      </c>
      <c r="W28" s="2"/>
      <c r="X28" s="6">
        <f t="shared" si="10"/>
        <v>-514.01</v>
      </c>
      <c r="Y28" s="2"/>
      <c r="Z28" s="7">
        <f t="shared" si="11"/>
        <v>-0.32826470137434222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19262.39</v>
      </c>
      <c r="E29" s="1"/>
      <c r="F29" s="5">
        <f t="shared" ref="F29:F35" si="12">IF(D$12=0,0,D29/D$12)</f>
        <v>0.77533368217678311</v>
      </c>
      <c r="G29" s="1"/>
      <c r="H29" s="1">
        <f>SUM(OSRRefH22_1x_0)</f>
        <v>18088.77</v>
      </c>
      <c r="I29" s="1"/>
      <c r="J29" s="5">
        <f t="shared" ref="J29:J35" si="13">IF(H$12=0,0,H29/H$12)</f>
        <v>0.84907857679309051</v>
      </c>
      <c r="K29" s="1"/>
      <c r="L29" s="1">
        <f t="shared" ref="L29:L35" si="14">+D29-H29</f>
        <v>1173.619999999999</v>
      </c>
      <c r="M29" s="1"/>
      <c r="N29" s="5">
        <f t="shared" ref="N29:N35" si="15">IF(H29=0,0,L29/H29)</f>
        <v>6.4881138960802692E-2</v>
      </c>
      <c r="O29" s="13"/>
      <c r="P29" s="1">
        <f>SUM(OSRRefP22_1x_0)</f>
        <v>119293.84000000001</v>
      </c>
      <c r="Q29" s="1"/>
      <c r="R29" s="5">
        <f t="shared" ref="R29:R35" si="16">IF(P$12=0,0,P29/P$12)</f>
        <v>0.62247300999243393</v>
      </c>
      <c r="S29" s="1"/>
      <c r="T29" s="1">
        <f>SUM(OSRRefT22_1x_0)</f>
        <v>115077.62</v>
      </c>
      <c r="U29" s="1"/>
      <c r="V29" s="5">
        <f t="shared" ref="V29:V35" si="17">IF(T$12=0,0,T29/T$12)</f>
        <v>0.51936661957910035</v>
      </c>
      <c r="W29" s="1"/>
      <c r="X29" s="1">
        <f t="shared" ref="X29:X35" si="18">+P29-T29</f>
        <v>4216.2200000000157</v>
      </c>
      <c r="Y29" s="1"/>
      <c r="Z29" s="5">
        <f t="shared" ref="Z29:Z35" si="19">IF(T29=0,0,X29/T29)</f>
        <v>3.6638053515531656E-2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6881.99</v>
      </c>
      <c r="E30" s="2"/>
      <c r="F30" s="7">
        <f t="shared" si="12"/>
        <v>0.27700813073579134</v>
      </c>
      <c r="G30" s="2"/>
      <c r="H30" s="6">
        <v>6363.2</v>
      </c>
      <c r="I30" s="2"/>
      <c r="J30" s="7">
        <f t="shared" si="13"/>
        <v>0.29868569282763802</v>
      </c>
      <c r="K30" s="2"/>
      <c r="L30" s="6">
        <f t="shared" si="14"/>
        <v>518.79</v>
      </c>
      <c r="M30" s="2"/>
      <c r="N30" s="7">
        <f t="shared" si="15"/>
        <v>8.1529733467437762E-2</v>
      </c>
      <c r="O30" s="11"/>
      <c r="P30" s="6">
        <v>41381.870000000003</v>
      </c>
      <c r="Q30" s="2"/>
      <c r="R30" s="7">
        <f t="shared" si="16"/>
        <v>0.21592981815335649</v>
      </c>
      <c r="S30" s="2"/>
      <c r="T30" s="6">
        <v>41362.060000000005</v>
      </c>
      <c r="U30" s="2"/>
      <c r="V30" s="7">
        <f t="shared" si="17"/>
        <v>0.18667463996064504</v>
      </c>
      <c r="W30" s="2"/>
      <c r="X30" s="6">
        <f t="shared" si="18"/>
        <v>19.809999999997672</v>
      </c>
      <c r="Y30" s="2"/>
      <c r="Z30" s="7">
        <f t="shared" si="19"/>
        <v>4.7894132932445023E-4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4.9920342279970935E-2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>
        <v>6157.33</v>
      </c>
      <c r="E32" s="2"/>
      <c r="F32" s="7">
        <f t="shared" si="12"/>
        <v>0.24783971985187569</v>
      </c>
      <c r="G32" s="2"/>
      <c r="H32" s="6">
        <v>3459.9</v>
      </c>
      <c r="I32" s="2"/>
      <c r="J32" s="7">
        <f t="shared" si="13"/>
        <v>0.16240612091625986</v>
      </c>
      <c r="K32" s="2"/>
      <c r="L32" s="6">
        <f t="shared" si="14"/>
        <v>2697.43</v>
      </c>
      <c r="M32" s="2"/>
      <c r="N32" s="7">
        <f t="shared" si="15"/>
        <v>0.77962657880285546</v>
      </c>
      <c r="O32" s="11"/>
      <c r="P32" s="6">
        <v>51094.64</v>
      </c>
      <c r="Q32" s="2"/>
      <c r="R32" s="7">
        <f t="shared" si="16"/>
        <v>0.26661086905476272</v>
      </c>
      <c r="S32" s="2"/>
      <c r="T32" s="6">
        <v>23005.350000000002</v>
      </c>
      <c r="U32" s="2"/>
      <c r="V32" s="7">
        <f t="shared" si="17"/>
        <v>0.10382740676887528</v>
      </c>
      <c r="W32" s="2"/>
      <c r="X32" s="6">
        <f t="shared" si="18"/>
        <v>28089.289999999997</v>
      </c>
      <c r="Y32" s="2"/>
      <c r="Z32" s="7">
        <f t="shared" si="19"/>
        <v>1.2209894654938958</v>
      </c>
    </row>
    <row r="33" spans="1:26" s="24" customFormat="1" hidden="1" outlineLevel="2" x14ac:dyDescent="0.25">
      <c r="A33" s="25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847.87</v>
      </c>
      <c r="I33" s="2"/>
      <c r="J33" s="7">
        <f t="shared" si="13"/>
        <v>3.9798629365377397E-2</v>
      </c>
      <c r="K33" s="2"/>
      <c r="L33" s="6">
        <f t="shared" si="14"/>
        <v>-847.87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5685.95</v>
      </c>
      <c r="U33" s="2"/>
      <c r="V33" s="7">
        <f t="shared" si="17"/>
        <v>2.5661745790326439E-2</v>
      </c>
      <c r="W33" s="2"/>
      <c r="X33" s="6">
        <f t="shared" si="18"/>
        <v>-5685.95</v>
      </c>
      <c r="Y33" s="2"/>
      <c r="Z33" s="7">
        <f t="shared" si="19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5974.57</v>
      </c>
      <c r="E34" s="2"/>
      <c r="F34" s="7">
        <f t="shared" si="12"/>
        <v>0.24048341651907904</v>
      </c>
      <c r="G34" s="2"/>
      <c r="H34" s="6">
        <v>7165.99</v>
      </c>
      <c r="I34" s="2"/>
      <c r="J34" s="7">
        <f t="shared" si="13"/>
        <v>0.33636828764551258</v>
      </c>
      <c r="K34" s="2"/>
      <c r="L34" s="6">
        <f t="shared" si="14"/>
        <v>-1191.42</v>
      </c>
      <c r="M34" s="2"/>
      <c r="N34" s="7">
        <f t="shared" si="15"/>
        <v>-0.16626034923297411</v>
      </c>
      <c r="O34" s="11"/>
      <c r="P34" s="6">
        <v>22619.5</v>
      </c>
      <c r="Q34" s="2"/>
      <c r="R34" s="7">
        <f t="shared" si="16"/>
        <v>0.11802812491846905</v>
      </c>
      <c r="S34" s="2"/>
      <c r="T34" s="6">
        <v>33242.92</v>
      </c>
      <c r="U34" s="2"/>
      <c r="V34" s="7">
        <f t="shared" si="17"/>
        <v>0.15003145690133726</v>
      </c>
      <c r="W34" s="2"/>
      <c r="X34" s="6">
        <f t="shared" si="18"/>
        <v>-10623.419999999998</v>
      </c>
      <c r="Y34" s="2"/>
      <c r="Z34" s="7">
        <f t="shared" si="19"/>
        <v>-0.3195694000406703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248.5</v>
      </c>
      <c r="E35" s="2"/>
      <c r="F35" s="7">
        <f t="shared" si="12"/>
        <v>1.0002415070037031E-2</v>
      </c>
      <c r="G35" s="2"/>
      <c r="H35" s="6">
        <v>251.81</v>
      </c>
      <c r="I35" s="2"/>
      <c r="J35" s="7">
        <f t="shared" si="13"/>
        <v>1.1819846038302667E-2</v>
      </c>
      <c r="K35" s="2"/>
      <c r="L35" s="6">
        <f t="shared" si="14"/>
        <v>-3.3100000000000023</v>
      </c>
      <c r="M35" s="2"/>
      <c r="N35" s="7">
        <f t="shared" si="15"/>
        <v>-1.3144831420515478E-2</v>
      </c>
      <c r="O35" s="11"/>
      <c r="P35" s="6">
        <v>4197.83</v>
      </c>
      <c r="Q35" s="2"/>
      <c r="R35" s="7">
        <f t="shared" si="16"/>
        <v>2.1904197865845704E-2</v>
      </c>
      <c r="S35" s="2"/>
      <c r="T35" s="6">
        <v>720.34</v>
      </c>
      <c r="U35" s="2"/>
      <c r="V35" s="7">
        <f t="shared" si="17"/>
        <v>3.2510278779454178E-3</v>
      </c>
      <c r="W35" s="2"/>
      <c r="X35" s="6">
        <f t="shared" si="18"/>
        <v>3477.49</v>
      </c>
      <c r="Y35" s="2"/>
      <c r="Z35" s="7">
        <f t="shared" si="19"/>
        <v>4.8275675375517109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106.77</v>
      </c>
      <c r="Q36" s="1"/>
      <c r="R36" s="5">
        <f t="shared" ref="R36:R44" si="24">IF(P$12=0,0,P36/P$12)</f>
        <v>5.5712384878290591E-4</v>
      </c>
      <c r="S36" s="1"/>
      <c r="T36" s="1">
        <f>SUM(OSRRefT22_2x_0)</f>
        <v>2526.94</v>
      </c>
      <c r="U36" s="1"/>
      <c r="V36" s="5">
        <f t="shared" ref="V36:V44" si="25">IF(T$12=0,0,T36/T$12)</f>
        <v>1.140454838811588E-2</v>
      </c>
      <c r="W36" s="1"/>
      <c r="X36" s="1">
        <f t="shared" ref="X36:X44" si="26">+P36-T36</f>
        <v>-2420.17</v>
      </c>
      <c r="Y36" s="1"/>
      <c r="Z36" s="5">
        <f t="shared" ref="Z36:Z44" si="27">IF(T36=0,0,X36/T36)</f>
        <v>-0.95774731493426835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106.77</v>
      </c>
      <c r="Q37" s="2"/>
      <c r="R37" s="7">
        <f t="shared" si="24"/>
        <v>5.5712384878290591E-4</v>
      </c>
      <c r="S37" s="2"/>
      <c r="T37" s="6">
        <v>2526.94</v>
      </c>
      <c r="U37" s="2"/>
      <c r="V37" s="7">
        <f t="shared" si="25"/>
        <v>1.140454838811588E-2</v>
      </c>
      <c r="W37" s="2"/>
      <c r="X37" s="6">
        <f t="shared" si="26"/>
        <v>-2420.17</v>
      </c>
      <c r="Y37" s="2"/>
      <c r="Z37" s="7">
        <f t="shared" si="27"/>
        <v>-0.95774731493426835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1723.63</v>
      </c>
      <c r="E38" s="1"/>
      <c r="F38" s="5">
        <f t="shared" si="20"/>
        <v>6.9378119465464502E-2</v>
      </c>
      <c r="G38" s="1"/>
      <c r="H38" s="1">
        <f>SUM(OSRRefH22_3x_0)</f>
        <v>1592.59</v>
      </c>
      <c r="I38" s="1"/>
      <c r="J38" s="5">
        <f t="shared" si="21"/>
        <v>7.475544498685692E-2</v>
      </c>
      <c r="K38" s="1"/>
      <c r="L38" s="1">
        <f t="shared" si="22"/>
        <v>131.04000000000019</v>
      </c>
      <c r="M38" s="1"/>
      <c r="N38" s="5">
        <f t="shared" si="23"/>
        <v>8.2281064178476693E-2</v>
      </c>
      <c r="O38" s="13"/>
      <c r="P38" s="1">
        <f>SUM(OSRRefP22_3x_0)</f>
        <v>14279.63</v>
      </c>
      <c r="Q38" s="1"/>
      <c r="R38" s="5">
        <f t="shared" si="24"/>
        <v>7.4510840355866317E-2</v>
      </c>
      <c r="S38" s="1"/>
      <c r="T38" s="1">
        <f>SUM(OSRRefT22_3x_0)</f>
        <v>13655.45</v>
      </c>
      <c r="U38" s="1"/>
      <c r="V38" s="5">
        <f t="shared" si="25"/>
        <v>6.1629575805716402E-2</v>
      </c>
      <c r="W38" s="1"/>
      <c r="X38" s="1">
        <f t="shared" si="26"/>
        <v>624.17999999999847</v>
      </c>
      <c r="Y38" s="1"/>
      <c r="Z38" s="5">
        <f t="shared" si="27"/>
        <v>4.5709222325152114E-2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1723.63</v>
      </c>
      <c r="E39" s="2"/>
      <c r="F39" s="7">
        <f t="shared" si="20"/>
        <v>6.9378119465464502E-2</v>
      </c>
      <c r="G39" s="2"/>
      <c r="H39" s="6">
        <v>1592.59</v>
      </c>
      <c r="I39" s="2"/>
      <c r="J39" s="7">
        <f t="shared" si="21"/>
        <v>7.475544498685692E-2</v>
      </c>
      <c r="K39" s="2"/>
      <c r="L39" s="6">
        <f t="shared" si="22"/>
        <v>131.04000000000019</v>
      </c>
      <c r="M39" s="2"/>
      <c r="N39" s="7">
        <f t="shared" si="23"/>
        <v>8.2281064178476693E-2</v>
      </c>
      <c r="O39" s="11"/>
      <c r="P39" s="6">
        <v>14279.63</v>
      </c>
      <c r="Q39" s="2"/>
      <c r="R39" s="7">
        <f t="shared" si="24"/>
        <v>7.4510840355866317E-2</v>
      </c>
      <c r="S39" s="2"/>
      <c r="T39" s="6">
        <v>13655.45</v>
      </c>
      <c r="U39" s="2"/>
      <c r="V39" s="7">
        <f t="shared" si="25"/>
        <v>6.1629575805716402E-2</v>
      </c>
      <c r="W39" s="2"/>
      <c r="X39" s="6">
        <f t="shared" si="26"/>
        <v>624.17999999999847</v>
      </c>
      <c r="Y39" s="2"/>
      <c r="Z39" s="7">
        <f t="shared" si="27"/>
        <v>4.5709222325152114E-2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3.3520310991677318E-4</v>
      </c>
      <c r="S40" s="1"/>
      <c r="T40" s="1">
        <f>SUM(OSRRefT22_4x_0)</f>
        <v>92.16</v>
      </c>
      <c r="U40" s="1"/>
      <c r="V40" s="5">
        <f t="shared" si="25"/>
        <v>4.159351545540296E-4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3.3520310991677318E-4</v>
      </c>
      <c r="S41" s="2"/>
      <c r="T41" s="6">
        <v>92.16</v>
      </c>
      <c r="U41" s="2"/>
      <c r="V41" s="7">
        <f t="shared" si="25"/>
        <v>4.159351545540296E-4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47.17</v>
      </c>
      <c r="I42" s="1"/>
      <c r="J42" s="5">
        <f t="shared" si="21"/>
        <v>2.2141381900112654E-3</v>
      </c>
      <c r="K42" s="1"/>
      <c r="L42" s="1">
        <f t="shared" si="22"/>
        <v>-47.17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68.760000000000005</v>
      </c>
      <c r="U42" s="1"/>
      <c r="V42" s="5">
        <f t="shared" si="25"/>
        <v>3.1032661921804553E-4</v>
      </c>
      <c r="W42" s="1"/>
      <c r="X42" s="1">
        <f t="shared" si="26"/>
        <v>-68.760000000000005</v>
      </c>
      <c r="Y42" s="1"/>
      <c r="Z42" s="5">
        <f t="shared" si="27"/>
        <v>-1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9.5318472918631784E-5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>
        <v>47.17</v>
      </c>
      <c r="I44" s="2"/>
      <c r="J44" s="7">
        <f t="shared" si="21"/>
        <v>2.2141381900112654E-3</v>
      </c>
      <c r="K44" s="2"/>
      <c r="L44" s="6">
        <f t="shared" si="22"/>
        <v>-47.17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2.1500814629941373E-4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47.34</v>
      </c>
      <c r="E45" s="1"/>
      <c r="F45" s="5">
        <f t="shared" ref="F45:F55" si="28">IF(D$12=0,0,D45/D$12)</f>
        <v>1.9054902592175174E-3</v>
      </c>
      <c r="G45" s="1"/>
      <c r="H45" s="1">
        <f>SUM(OSRRefH22_6x_0)</f>
        <v>0</v>
      </c>
      <c r="I45" s="1"/>
      <c r="J45" s="5">
        <f t="shared" ref="J45:J55" si="29">IF(H$12=0,0,H45/H$12)</f>
        <v>0</v>
      </c>
      <c r="K45" s="1"/>
      <c r="L45" s="1">
        <f t="shared" ref="L45:L55" si="30">+D45-H45</f>
        <v>47.34</v>
      </c>
      <c r="M45" s="1"/>
      <c r="N45" s="5">
        <f t="shared" ref="N45:N55" si="31">IF(H45=0,0,L45/H45)</f>
        <v>0</v>
      </c>
      <c r="O45" s="13"/>
      <c r="P45" s="1">
        <f>SUM(OSRRefP22_6x_0)</f>
        <v>47.34</v>
      </c>
      <c r="Q45" s="1"/>
      <c r="R45" s="5">
        <f t="shared" ref="R45:R55" si="32">IF(P$12=0,0,P45/P$12)</f>
        <v>2.4701922826058601E-4</v>
      </c>
      <c r="S45" s="1"/>
      <c r="T45" s="1">
        <f>SUM(OSRRefT22_6x_0)</f>
        <v>661</v>
      </c>
      <c r="U45" s="1"/>
      <c r="V45" s="5">
        <f t="shared" ref="V45:V55" si="33">IF(T$12=0,0,T45/T$12)</f>
        <v>2.9832154639780118E-3</v>
      </c>
      <c r="W45" s="1"/>
      <c r="X45" s="1">
        <f t="shared" ref="X45:X55" si="34">+P45-T45</f>
        <v>-613.66</v>
      </c>
      <c r="Y45" s="1"/>
      <c r="Z45" s="5">
        <f t="shared" ref="Z45:Z55" si="35">IF(T45=0,0,X45/T45)</f>
        <v>-0.92838124054462934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>
        <v>47.34</v>
      </c>
      <c r="E46" s="2"/>
      <c r="F46" s="7">
        <f t="shared" si="28"/>
        <v>1.9054902592175174E-3</v>
      </c>
      <c r="G46" s="2"/>
      <c r="H46" s="6"/>
      <c r="I46" s="2"/>
      <c r="J46" s="7">
        <f t="shared" si="29"/>
        <v>0</v>
      </c>
      <c r="K46" s="2"/>
      <c r="L46" s="6">
        <f t="shared" si="30"/>
        <v>47.34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2.4701922826058601E-4</v>
      </c>
      <c r="S46" s="2"/>
      <c r="T46" s="6">
        <v>661</v>
      </c>
      <c r="U46" s="2"/>
      <c r="V46" s="7">
        <f t="shared" si="33"/>
        <v>2.9832154639780118E-3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1.1676863629045244E-3</v>
      </c>
      <c r="G47" s="1"/>
      <c r="H47" s="1">
        <f>SUM(OSRRefH22_7x_0)</f>
        <v>27.33</v>
      </c>
      <c r="I47" s="1"/>
      <c r="J47" s="5">
        <f t="shared" si="29"/>
        <v>1.2828576793090499E-3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203.07</v>
      </c>
      <c r="Q47" s="1"/>
      <c r="R47" s="5">
        <f t="shared" si="32"/>
        <v>1.0596154347882803E-3</v>
      </c>
      <c r="S47" s="1"/>
      <c r="T47" s="1">
        <f>SUM(OSRRefT22_7x_0)</f>
        <v>191.31</v>
      </c>
      <c r="U47" s="1"/>
      <c r="V47" s="5">
        <f t="shared" si="33"/>
        <v>8.6341747415073138E-4</v>
      </c>
      <c r="W47" s="1"/>
      <c r="X47" s="1">
        <f t="shared" si="34"/>
        <v>11.759999999999991</v>
      </c>
      <c r="Y47" s="1"/>
      <c r="Z47" s="5">
        <f t="shared" si="35"/>
        <v>6.1470911086717844E-2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1.1676863629045244E-3</v>
      </c>
      <c r="G48" s="2"/>
      <c r="H48" s="6">
        <v>27.33</v>
      </c>
      <c r="I48" s="2"/>
      <c r="J48" s="7">
        <f t="shared" si="29"/>
        <v>1.2828576793090499E-3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203.07</v>
      </c>
      <c r="Q48" s="2"/>
      <c r="R48" s="7">
        <f t="shared" si="32"/>
        <v>1.0596154347882803E-3</v>
      </c>
      <c r="S48" s="2"/>
      <c r="T48" s="6">
        <v>191.31</v>
      </c>
      <c r="U48" s="2"/>
      <c r="V48" s="7">
        <f t="shared" si="33"/>
        <v>8.6341747415073138E-4</v>
      </c>
      <c r="W48" s="2"/>
      <c r="X48" s="6">
        <f t="shared" si="34"/>
        <v>11.759999999999991</v>
      </c>
      <c r="Y48" s="2"/>
      <c r="Z48" s="7">
        <f t="shared" si="35"/>
        <v>6.1470911086717844E-2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7.5821512548911642E-3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5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7.5821512548911642E-3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6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-800</v>
      </c>
      <c r="E51" s="1"/>
      <c r="F51" s="5">
        <f t="shared" si="28"/>
        <v>-3.2200933827080988E-2</v>
      </c>
      <c r="G51" s="1"/>
      <c r="H51" s="1">
        <f>SUM(OSRRefH22_9x_0)</f>
        <v>800</v>
      </c>
      <c r="I51" s="1"/>
      <c r="J51" s="5">
        <f t="shared" si="29"/>
        <v>3.7551633496057078E-2</v>
      </c>
      <c r="K51" s="1"/>
      <c r="L51" s="1">
        <f t="shared" si="30"/>
        <v>-1600</v>
      </c>
      <c r="M51" s="1"/>
      <c r="N51" s="5">
        <f t="shared" si="31"/>
        <v>-2</v>
      </c>
      <c r="O51" s="13"/>
      <c r="P51" s="1">
        <f>SUM(OSRRefP22_9x_0)</f>
        <v>4000</v>
      </c>
      <c r="Q51" s="1"/>
      <c r="R51" s="5">
        <f t="shared" si="32"/>
        <v>2.0871924652352006E-2</v>
      </c>
      <c r="S51" s="1"/>
      <c r="T51" s="1">
        <f>SUM(OSRRefT22_9x_0)</f>
        <v>4800</v>
      </c>
      <c r="U51" s="1"/>
      <c r="V51" s="5">
        <f t="shared" si="33"/>
        <v>2.1663289299689043E-2</v>
      </c>
      <c r="W51" s="1"/>
      <c r="X51" s="1">
        <f t="shared" si="34"/>
        <v>-800</v>
      </c>
      <c r="Y51" s="1"/>
      <c r="Z51" s="5">
        <f t="shared" si="35"/>
        <v>-0.16666666666666666</v>
      </c>
    </row>
    <row r="52" spans="1:26" s="24" customFormat="1" hidden="1" outlineLevel="2" x14ac:dyDescent="0.25">
      <c r="A52" s="25"/>
      <c r="B52" s="11" t="str">
        <f>CONCATENATE("          ", "6273", " - ", "RENT")</f>
        <v xml:space="preserve">          6273 - RENT</v>
      </c>
      <c r="C52" s="11"/>
      <c r="D52" s="6">
        <v>-800</v>
      </c>
      <c r="E52" s="2"/>
      <c r="F52" s="7">
        <f t="shared" si="28"/>
        <v>-3.2200933827080988E-2</v>
      </c>
      <c r="G52" s="2"/>
      <c r="H52" s="6">
        <v>800</v>
      </c>
      <c r="I52" s="2"/>
      <c r="J52" s="7">
        <f t="shared" si="29"/>
        <v>3.7551633496057078E-2</v>
      </c>
      <c r="K52" s="2"/>
      <c r="L52" s="6">
        <f t="shared" si="30"/>
        <v>-1600</v>
      </c>
      <c r="M52" s="2"/>
      <c r="N52" s="7">
        <f t="shared" si="31"/>
        <v>-2</v>
      </c>
      <c r="O52" s="11"/>
      <c r="P52" s="6">
        <v>4000</v>
      </c>
      <c r="Q52" s="2"/>
      <c r="R52" s="7">
        <f t="shared" si="32"/>
        <v>2.0871924652352006E-2</v>
      </c>
      <c r="S52" s="2"/>
      <c r="T52" s="6">
        <v>4800</v>
      </c>
      <c r="U52" s="2"/>
      <c r="V52" s="7">
        <f t="shared" si="33"/>
        <v>2.1663289299689043E-2</v>
      </c>
      <c r="W52" s="2"/>
      <c r="X52" s="6">
        <f t="shared" si="34"/>
        <v>-800</v>
      </c>
      <c r="Y52" s="2"/>
      <c r="Z52" s="7">
        <f t="shared" si="35"/>
        <v>-0.16666666666666666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SUM(OSRRefP22_10x_0)</f>
        <v>749.96</v>
      </c>
      <c r="Q53" s="1"/>
      <c r="R53" s="5">
        <f t="shared" si="32"/>
        <v>3.9132771530694778E-3</v>
      </c>
      <c r="S53" s="1"/>
      <c r="T53" s="1">
        <f>SUM(OSRRefT22_10x_0)</f>
        <v>600</v>
      </c>
      <c r="U53" s="1"/>
      <c r="V53" s="5">
        <f t="shared" si="33"/>
        <v>2.7079111624611304E-3</v>
      </c>
      <c r="W53" s="1"/>
      <c r="X53" s="1">
        <f t="shared" si="34"/>
        <v>149.96000000000004</v>
      </c>
      <c r="Y53" s="1"/>
      <c r="Z53" s="5">
        <f t="shared" si="35"/>
        <v>0.2499333333333334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2.2818753424300136E-3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312.64999999999998</v>
      </c>
      <c r="Q55" s="2"/>
      <c r="R55" s="7">
        <f t="shared" si="32"/>
        <v>1.6314018106394635E-3</v>
      </c>
      <c r="S55" s="2"/>
      <c r="T55" s="6">
        <v>600</v>
      </c>
      <c r="U55" s="2"/>
      <c r="V55" s="7">
        <f t="shared" si="33"/>
        <v>2.7079111624611304E-3</v>
      </c>
      <c r="W55" s="2"/>
      <c r="X55" s="6">
        <f t="shared" si="34"/>
        <v>-287.35000000000002</v>
      </c>
      <c r="Y55" s="2"/>
      <c r="Z55" s="7">
        <f t="shared" si="35"/>
        <v>-0.47891666666666671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825</v>
      </c>
      <c r="E56" s="1"/>
      <c r="F56" s="5">
        <f t="shared" ref="F56:F62" si="36">IF(D$12=0,0,D56/D$12)</f>
        <v>3.3207213009177269E-2</v>
      </c>
      <c r="G56" s="1"/>
      <c r="H56" s="1">
        <f>SUM(OSRRefH22_11x_0)</f>
        <v>0</v>
      </c>
      <c r="I56" s="1"/>
      <c r="J56" s="5">
        <f t="shared" ref="J56:J62" si="37">IF(H$12=0,0,H56/H$12)</f>
        <v>0</v>
      </c>
      <c r="K56" s="1"/>
      <c r="L56" s="1">
        <f t="shared" ref="L56:L62" si="38">+D56-H56</f>
        <v>825</v>
      </c>
      <c r="M56" s="1"/>
      <c r="N56" s="5">
        <f t="shared" ref="N56:N62" si="39">IF(H56=0,0,L56/H56)</f>
        <v>0</v>
      </c>
      <c r="O56" s="13"/>
      <c r="P56" s="1">
        <f>SUM(OSRRefP22_11x_0)</f>
        <v>825</v>
      </c>
      <c r="Q56" s="1"/>
      <c r="R56" s="5">
        <f t="shared" ref="R56:R62" si="40">IF(P$12=0,0,P56/P$12)</f>
        <v>4.3048344595476009E-3</v>
      </c>
      <c r="S56" s="1"/>
      <c r="T56" s="1">
        <f>SUM(OSRRefT22_11x_0)</f>
        <v>0</v>
      </c>
      <c r="U56" s="1"/>
      <c r="V56" s="5">
        <f t="shared" ref="V56:V62" si="41">IF(T$12=0,0,T56/T$12)</f>
        <v>0</v>
      </c>
      <c r="W56" s="1"/>
      <c r="X56" s="1">
        <f t="shared" ref="X56:X62" si="42">+P56-T56</f>
        <v>825</v>
      </c>
      <c r="Y56" s="1"/>
      <c r="Z56" s="5">
        <f t="shared" ref="Z56:Z62" si="43">IF(T56=0,0,X56/T56)</f>
        <v>0</v>
      </c>
    </row>
    <row r="57" spans="1:26" s="24" customFormat="1" hidden="1" outlineLevel="2" x14ac:dyDescent="0.25">
      <c r="A57" s="25"/>
      <c r="B57" s="11" t="str">
        <f>CONCATENATE("          ", "6258", " - ", "MEMBERSHIP DUES")</f>
        <v xml:space="preserve">          6258 - MEMBERSHIP DUES</v>
      </c>
      <c r="C57" s="11"/>
      <c r="D57" s="6">
        <v>825</v>
      </c>
      <c r="E57" s="2"/>
      <c r="F57" s="7">
        <f t="shared" si="36"/>
        <v>3.3207213009177269E-2</v>
      </c>
      <c r="G57" s="2"/>
      <c r="H57" s="6"/>
      <c r="I57" s="2"/>
      <c r="J57" s="7">
        <f t="shared" si="37"/>
        <v>0</v>
      </c>
      <c r="K57" s="2"/>
      <c r="L57" s="6">
        <f t="shared" si="38"/>
        <v>825</v>
      </c>
      <c r="M57" s="2"/>
      <c r="N57" s="7">
        <f t="shared" si="39"/>
        <v>0</v>
      </c>
      <c r="O57" s="11"/>
      <c r="P57" s="6">
        <v>825</v>
      </c>
      <c r="Q57" s="2"/>
      <c r="R57" s="7">
        <f t="shared" si="40"/>
        <v>4.3048344595476009E-3</v>
      </c>
      <c r="S57" s="2"/>
      <c r="T57" s="6"/>
      <c r="U57" s="2"/>
      <c r="V57" s="7">
        <f t="shared" si="41"/>
        <v>0</v>
      </c>
      <c r="W57" s="2"/>
      <c r="X57" s="6">
        <f t="shared" si="42"/>
        <v>825</v>
      </c>
      <c r="Y57" s="2"/>
      <c r="Z57" s="7">
        <f t="shared" si="43"/>
        <v>0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93.69</v>
      </c>
      <c r="E58" s="1"/>
      <c r="F58" s="5">
        <f t="shared" si="36"/>
        <v>3.7711318628240219E-3</v>
      </c>
      <c r="G58" s="1"/>
      <c r="H58" s="1">
        <f>SUM(OSRRefH22_12x_0)</f>
        <v>-4320.7299999999996</v>
      </c>
      <c r="I58" s="1"/>
      <c r="J58" s="5">
        <f t="shared" si="37"/>
        <v>-0.20281308674427337</v>
      </c>
      <c r="K58" s="1"/>
      <c r="L58" s="1">
        <f t="shared" si="38"/>
        <v>4414.4199999999992</v>
      </c>
      <c r="M58" s="1"/>
      <c r="N58" s="5">
        <f t="shared" si="39"/>
        <v>-1.0216838358332967</v>
      </c>
      <c r="O58" s="13"/>
      <c r="P58" s="1">
        <f>SUM(OSRRefP22_12x_0)</f>
        <v>18654.350000000002</v>
      </c>
      <c r="Q58" s="1"/>
      <c r="R58" s="5">
        <f t="shared" si="40"/>
        <v>9.7338046909650672E-2</v>
      </c>
      <c r="S58" s="1"/>
      <c r="T58" s="1">
        <f>SUM(OSRRefT22_12x_0)</f>
        <v>45708.569999999992</v>
      </c>
      <c r="U58" s="1"/>
      <c r="V58" s="5">
        <f t="shared" si="41"/>
        <v>0.20629124487189321</v>
      </c>
      <c r="W58" s="1"/>
      <c r="X58" s="1">
        <f t="shared" si="42"/>
        <v>-27054.21999999999</v>
      </c>
      <c r="Y58" s="1"/>
      <c r="Z58" s="5">
        <f t="shared" si="43"/>
        <v>-0.59188506662973694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413.27</v>
      </c>
      <c r="Q59" s="2"/>
      <c r="R59" s="7">
        <f t="shared" si="40"/>
        <v>2.1564350752693784E-3</v>
      </c>
      <c r="S59" s="2"/>
      <c r="T59" s="6"/>
      <c r="U59" s="2"/>
      <c r="V59" s="7">
        <f t="shared" si="41"/>
        <v>0</v>
      </c>
      <c r="W59" s="2"/>
      <c r="X59" s="6">
        <f t="shared" si="42"/>
        <v>413.27</v>
      </c>
      <c r="Y59" s="2"/>
      <c r="Z59" s="7">
        <f t="shared" si="43"/>
        <v>0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6">
        <v>11</v>
      </c>
      <c r="E60" s="2"/>
      <c r="F60" s="7">
        <f t="shared" si="36"/>
        <v>4.4276284012236352E-4</v>
      </c>
      <c r="G60" s="2"/>
      <c r="H60" s="6">
        <v>-4416.87</v>
      </c>
      <c r="I60" s="2"/>
      <c r="J60" s="7">
        <f t="shared" si="37"/>
        <v>-0.20732585429966202</v>
      </c>
      <c r="K60" s="2"/>
      <c r="L60" s="6">
        <f t="shared" si="38"/>
        <v>4427.87</v>
      </c>
      <c r="M60" s="2"/>
      <c r="N60" s="7">
        <f t="shared" si="39"/>
        <v>-1.0024904513829929</v>
      </c>
      <c r="O60" s="11"/>
      <c r="P60" s="6">
        <v>18037.560000000001</v>
      </c>
      <c r="Q60" s="2"/>
      <c r="R60" s="7">
        <f t="shared" si="40"/>
        <v>9.4119648308069612E-2</v>
      </c>
      <c r="S60" s="2"/>
      <c r="T60" s="6">
        <v>45253.009999999995</v>
      </c>
      <c r="U60" s="2"/>
      <c r="V60" s="7">
        <f t="shared" si="41"/>
        <v>0.20423521818994189</v>
      </c>
      <c r="W60" s="2"/>
      <c r="X60" s="6">
        <f t="shared" si="42"/>
        <v>-27215.449999999993</v>
      </c>
      <c r="Y60" s="2"/>
      <c r="Z60" s="7">
        <f t="shared" si="43"/>
        <v>-0.60140640368452836</v>
      </c>
    </row>
    <row r="61" spans="1:26" s="24" customFormat="1" hidden="1" outlineLevel="2" x14ac:dyDescent="0.25">
      <c r="A61" s="25"/>
      <c r="B61" s="11" t="str">
        <f>CONCATENATE("          ", "6245", " - ", "PRINTING")</f>
        <v xml:space="preserve">          6245 - PRINTING</v>
      </c>
      <c r="C61" s="11"/>
      <c r="D61" s="6">
        <v>82.69</v>
      </c>
      <c r="E61" s="2"/>
      <c r="F61" s="7">
        <f t="shared" si="36"/>
        <v>3.3283690227016581E-3</v>
      </c>
      <c r="G61" s="2"/>
      <c r="H61" s="6">
        <v>96.14</v>
      </c>
      <c r="I61" s="2"/>
      <c r="J61" s="7">
        <f t="shared" si="37"/>
        <v>4.5127675553886595E-3</v>
      </c>
      <c r="K61" s="2"/>
      <c r="L61" s="6">
        <f t="shared" si="38"/>
        <v>-13.450000000000003</v>
      </c>
      <c r="M61" s="2"/>
      <c r="N61" s="7">
        <f t="shared" si="39"/>
        <v>-0.13990014562096945</v>
      </c>
      <c r="O61" s="11"/>
      <c r="P61" s="6">
        <v>203.52</v>
      </c>
      <c r="Q61" s="2"/>
      <c r="R61" s="7">
        <f t="shared" si="40"/>
        <v>1.06196352631167E-3</v>
      </c>
      <c r="S61" s="2"/>
      <c r="T61" s="6">
        <v>455.56</v>
      </c>
      <c r="U61" s="2"/>
      <c r="V61" s="7">
        <f t="shared" si="41"/>
        <v>2.0560266819513208E-3</v>
      </c>
      <c r="W61" s="2"/>
      <c r="X61" s="6">
        <f t="shared" si="42"/>
        <v>-252.04</v>
      </c>
      <c r="Y61" s="2"/>
      <c r="Z61" s="7">
        <f t="shared" si="43"/>
        <v>-0.55325313899376594</v>
      </c>
    </row>
    <row r="62" spans="1:26" s="24" customFormat="1" hidden="1" outlineLevel="2" x14ac:dyDescent="0.25">
      <c r="A62" s="25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SUM(OSRRefD22_13x_0)</f>
        <v>182.65</v>
      </c>
      <c r="E63" s="1"/>
      <c r="F63" s="5">
        <f t="shared" ref="F63:F66" si="44">IF(D$12=0,0,D63/D$12)</f>
        <v>7.3518757043954273E-3</v>
      </c>
      <c r="G63" s="1"/>
      <c r="H63" s="1">
        <f>SUM(OSRRefH22_13x_0)</f>
        <v>-2.33</v>
      </c>
      <c r="I63" s="1"/>
      <c r="J63" s="5">
        <f t="shared" ref="J63:J66" si="45">IF(H$12=0,0,H63/H$12)</f>
        <v>-1.0936913255726625E-4</v>
      </c>
      <c r="K63" s="1"/>
      <c r="L63" s="1">
        <f t="shared" ref="L63:L66" si="46">+D63-H63</f>
        <v>184.98000000000002</v>
      </c>
      <c r="M63" s="1"/>
      <c r="N63" s="5">
        <f t="shared" ref="N63:N66" si="47">IF(H63=0,0,L63/H63)</f>
        <v>-79.390557939914174</v>
      </c>
      <c r="O63" s="13"/>
      <c r="P63" s="1">
        <f>SUM(OSRRefP22_13x_0)</f>
        <v>1314</v>
      </c>
      <c r="Q63" s="1"/>
      <c r="R63" s="5">
        <f t="shared" ref="R63:R66" si="48">IF(P$12=0,0,P63/P$12)</f>
        <v>6.8564272482976333E-3</v>
      </c>
      <c r="S63" s="1"/>
      <c r="T63" s="1">
        <f>SUM(OSRRefT22_13x_0)</f>
        <v>2186.59</v>
      </c>
      <c r="U63" s="1"/>
      <c r="V63" s="5">
        <f t="shared" ref="V63:V66" si="49">IF(T$12=0,0,T63/T$12)</f>
        <v>9.8684857812098049E-3</v>
      </c>
      <c r="W63" s="1"/>
      <c r="X63" s="1">
        <f t="shared" ref="X63:X66" si="50">+P63-T63</f>
        <v>-872.59000000000015</v>
      </c>
      <c r="Y63" s="1"/>
      <c r="Z63" s="5">
        <f t="shared" ref="Z63:Z66" si="51">IF(T63=0,0,X63/T63)</f>
        <v>-0.39906429646161379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182.65</v>
      </c>
      <c r="E64" s="2"/>
      <c r="F64" s="7">
        <f t="shared" si="44"/>
        <v>7.3518757043954273E-3</v>
      </c>
      <c r="G64" s="2"/>
      <c r="H64" s="6">
        <v>-2.33</v>
      </c>
      <c r="I64" s="2"/>
      <c r="J64" s="7">
        <f t="shared" si="45"/>
        <v>-1.0936913255726625E-4</v>
      </c>
      <c r="K64" s="2"/>
      <c r="L64" s="6">
        <f t="shared" si="46"/>
        <v>184.98000000000002</v>
      </c>
      <c r="M64" s="2"/>
      <c r="N64" s="7">
        <f t="shared" si="47"/>
        <v>-79.390557939914174</v>
      </c>
      <c r="O64" s="11"/>
      <c r="P64" s="6">
        <v>1314</v>
      </c>
      <c r="Q64" s="2"/>
      <c r="R64" s="7">
        <f t="shared" si="48"/>
        <v>6.8564272482976333E-3</v>
      </c>
      <c r="S64" s="2"/>
      <c r="T64" s="6">
        <v>2186.59</v>
      </c>
      <c r="U64" s="2"/>
      <c r="V64" s="7">
        <f t="shared" si="49"/>
        <v>9.8684857812098049E-3</v>
      </c>
      <c r="W64" s="2"/>
      <c r="X64" s="6">
        <f t="shared" si="50"/>
        <v>-872.59000000000015</v>
      </c>
      <c r="Y64" s="2"/>
      <c r="Z64" s="7">
        <f t="shared" si="51"/>
        <v>-0.39906429646161379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SUM(OSRRefD22_14x_0)</f>
        <v>0</v>
      </c>
      <c r="E65" s="1"/>
      <c r="F65" s="5">
        <f t="shared" si="44"/>
        <v>0</v>
      </c>
      <c r="G65" s="1"/>
      <c r="H65" s="1">
        <f>SUM(OSRRefH22_14x_0)</f>
        <v>795</v>
      </c>
      <c r="I65" s="1"/>
      <c r="J65" s="5">
        <f t="shared" si="45"/>
        <v>3.7316935786706723E-2</v>
      </c>
      <c r="K65" s="1"/>
      <c r="L65" s="1">
        <f t="shared" si="46"/>
        <v>-795</v>
      </c>
      <c r="M65" s="1"/>
      <c r="N65" s="5">
        <f t="shared" si="47"/>
        <v>-1</v>
      </c>
      <c r="O65" s="13"/>
      <c r="P65" s="1">
        <f>SUM(OSRRefP22_14x_0)</f>
        <v>0</v>
      </c>
      <c r="Q65" s="1"/>
      <c r="R65" s="5">
        <f t="shared" si="48"/>
        <v>0</v>
      </c>
      <c r="S65" s="1"/>
      <c r="T65" s="1">
        <f>SUM(OSRRefT22_14x_0)</f>
        <v>2395</v>
      </c>
      <c r="U65" s="1"/>
      <c r="V65" s="5">
        <f t="shared" si="49"/>
        <v>1.0809078723490679E-2</v>
      </c>
      <c r="W65" s="1"/>
      <c r="X65" s="1">
        <f t="shared" si="50"/>
        <v>-2395</v>
      </c>
      <c r="Y65" s="1"/>
      <c r="Z65" s="5">
        <f t="shared" si="51"/>
        <v>-1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4"/>
        <v>0</v>
      </c>
      <c r="G66" s="2"/>
      <c r="H66" s="6">
        <v>795</v>
      </c>
      <c r="I66" s="2"/>
      <c r="J66" s="7">
        <f t="shared" si="45"/>
        <v>3.7316935786706723E-2</v>
      </c>
      <c r="K66" s="2"/>
      <c r="L66" s="6">
        <f t="shared" si="46"/>
        <v>-795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2395</v>
      </c>
      <c r="U66" s="2"/>
      <c r="V66" s="7">
        <f t="shared" si="49"/>
        <v>1.0809078723490679E-2</v>
      </c>
      <c r="W66" s="2"/>
      <c r="X66" s="6">
        <f t="shared" si="50"/>
        <v>-2395</v>
      </c>
      <c r="Y66" s="2"/>
      <c r="Z66" s="7">
        <f t="shared" si="51"/>
        <v>-1</v>
      </c>
    </row>
    <row r="67" spans="1:26" s="59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9" t="s">
        <v>0</v>
      </c>
      <c r="C68" s="10"/>
      <c r="D68" s="4">
        <f>SUM(OSRRefD25x_0)</f>
        <v>3460.41</v>
      </c>
      <c r="E68" s="4"/>
      <c r="F68" s="12">
        <f t="shared" ref="F68:F70" si="52">IF(D$12=0,0,D68/D$12)</f>
        <v>0.13928554178071165</v>
      </c>
      <c r="G68" s="4"/>
      <c r="H68" s="4">
        <f>SUM(OSRRefH25x_0)</f>
        <v>4256.0200000000004</v>
      </c>
      <c r="I68" s="4"/>
      <c r="J68" s="12">
        <f t="shared" ref="J68:J70" si="53">IF(H$12=0,0,H68/H$12)</f>
        <v>0.19977562898986109</v>
      </c>
      <c r="K68" s="4"/>
      <c r="L68" s="4">
        <f t="shared" ref="L68:L70" si="54">+D68-H68</f>
        <v>-795.61000000000058</v>
      </c>
      <c r="M68" s="4"/>
      <c r="N68" s="12">
        <f t="shared" ref="N68:N70" si="55">IF(H68=0,0,L68/H68)</f>
        <v>-0.18693756138364023</v>
      </c>
      <c r="O68" s="10"/>
      <c r="P68" s="4">
        <f>SUM(OSRRefP25x_0)</f>
        <v>17211.75</v>
      </c>
      <c r="Q68" s="4"/>
      <c r="R68" s="12">
        <f t="shared" ref="R68:R70" si="56">IF(P$12=0,0,P68/P$12)</f>
        <v>8.98105872837799E-2</v>
      </c>
      <c r="S68" s="4"/>
      <c r="T68" s="4">
        <f>SUM(OSRRefT25x_0)</f>
        <v>19489.309999999998</v>
      </c>
      <c r="U68" s="4"/>
      <c r="V68" s="12">
        <f t="shared" ref="V68:V70" si="57">IF(T$12=0,0,T68/T$12)</f>
        <v>8.7958866829442206E-2</v>
      </c>
      <c r="W68" s="4"/>
      <c r="X68" s="4">
        <f t="shared" ref="X68:X70" si="58">+P68-T68</f>
        <v>-2277.5599999999977</v>
      </c>
      <c r="Y68" s="4"/>
      <c r="Z68" s="12">
        <f t="shared" ref="Z68:Z70" si="59">IF(T68=0,0,X68/T68)</f>
        <v>-0.1168620130728075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--3460.41</f>
        <v>3460.41</v>
      </c>
      <c r="E69" s="2"/>
      <c r="F69" s="19">
        <f t="shared" si="52"/>
        <v>0.13928554178071165</v>
      </c>
      <c r="G69" s="2"/>
      <c r="H69" s="2">
        <f>--4256.02</f>
        <v>4256.0200000000004</v>
      </c>
      <c r="I69" s="2"/>
      <c r="J69" s="19">
        <f t="shared" si="53"/>
        <v>0.19977562898986109</v>
      </c>
      <c r="K69" s="2"/>
      <c r="L69" s="2">
        <f t="shared" si="54"/>
        <v>-795.61000000000058</v>
      </c>
      <c r="M69" s="2"/>
      <c r="N69" s="19">
        <f t="shared" si="55"/>
        <v>-0.18693756138364023</v>
      </c>
      <c r="O69" s="11"/>
      <c r="P69" s="2">
        <f>--17211.75</f>
        <v>17211.75</v>
      </c>
      <c r="Q69" s="2"/>
      <c r="R69" s="19">
        <f t="shared" si="56"/>
        <v>8.98105872837799E-2</v>
      </c>
      <c r="S69" s="2"/>
      <c r="T69" s="2">
        <f>--19318.96</f>
        <v>19318.96</v>
      </c>
      <c r="U69" s="2"/>
      <c r="V69" s="19">
        <f t="shared" si="57"/>
        <v>8.7190045718566783E-2</v>
      </c>
      <c r="W69" s="2"/>
      <c r="X69" s="2">
        <f t="shared" si="58"/>
        <v>-2107.2099999999991</v>
      </c>
      <c r="Y69" s="2"/>
      <c r="Z69" s="19">
        <f t="shared" si="59"/>
        <v>-0.10907471209630328</v>
      </c>
    </row>
    <row r="70" spans="1:26" s="24" customFormat="1" hidden="1" outlineLevel="1" x14ac:dyDescent="0.25">
      <c r="A70" s="44"/>
      <c r="B70" s="11" t="str">
        <f>CONCATENATE("          ", "9160", " - ", "MISC. INCOME")</f>
        <v xml:space="preserve">          9160 - MISC. INCOME</v>
      </c>
      <c r="C70" s="11"/>
      <c r="D70" s="2">
        <f>0</f>
        <v>0</v>
      </c>
      <c r="E70" s="2"/>
      <c r="F70" s="19">
        <f t="shared" si="52"/>
        <v>0</v>
      </c>
      <c r="G70" s="2"/>
      <c r="H70" s="2">
        <f>0</f>
        <v>0</v>
      </c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>0</f>
        <v>0</v>
      </c>
      <c r="Q70" s="2"/>
      <c r="R70" s="19">
        <f t="shared" si="56"/>
        <v>0</v>
      </c>
      <c r="S70" s="2"/>
      <c r="T70" s="2">
        <f>--170.35</f>
        <v>170.35</v>
      </c>
      <c r="U70" s="2"/>
      <c r="V70" s="19">
        <f t="shared" si="57"/>
        <v>7.6882111087542249E-4</v>
      </c>
      <c r="W70" s="2"/>
      <c r="X70" s="2">
        <f t="shared" si="58"/>
        <v>-170.35</v>
      </c>
      <c r="Y70" s="2"/>
      <c r="Z70" s="19">
        <f t="shared" si="59"/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1">
        <f>+D17-D19+D68</f>
        <v>2655.25</v>
      </c>
      <c r="E72" s="14"/>
      <c r="F72" s="22">
        <f>IF(D$12=0,0,D72/D$12)</f>
        <v>0.10687691193044599</v>
      </c>
      <c r="G72" s="14"/>
      <c r="H72" s="21">
        <f>+H17-H19+H68</f>
        <v>4691.4800000000032</v>
      </c>
      <c r="I72" s="14"/>
      <c r="J72" s="22">
        <f>IF(H$12=0,0,H72/H$12)</f>
        <v>0.22021592189260247</v>
      </c>
      <c r="K72" s="16"/>
      <c r="L72" s="21">
        <f>+D72-H72</f>
        <v>-2036.2300000000032</v>
      </c>
      <c r="M72" s="16"/>
      <c r="N72" s="22">
        <f>IF(H72=0,0,L72/H72)</f>
        <v>-0.43402721529240279</v>
      </c>
      <c r="O72" s="29"/>
      <c r="P72" s="21">
        <f>+P17-P19+P68</f>
        <v>17932.640000000072</v>
      </c>
      <c r="Q72" s="14"/>
      <c r="R72" s="22">
        <f>IF(P$12=0,0,P72/P$12)</f>
        <v>9.3572177724438793E-2</v>
      </c>
      <c r="S72" s="14"/>
      <c r="T72" s="21">
        <f>+T17-T19+T68</f>
        <v>21611.989999999962</v>
      </c>
      <c r="U72" s="14"/>
      <c r="V72" s="22">
        <f>IF(T$12=0,0,T72/T$12)</f>
        <v>9.7538914939997029E-2</v>
      </c>
      <c r="W72" s="16"/>
      <c r="X72" s="21">
        <f>+P72-T72</f>
        <v>-3679.3499999998894</v>
      </c>
      <c r="Y72" s="16"/>
      <c r="Z72" s="22">
        <f>IF(T72=0,0,X72/T72)</f>
        <v>-0.17024577560881232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>
        <v>1970.07</v>
      </c>
      <c r="E74" s="4"/>
      <c r="F74" s="12">
        <f>IF(D$12=0,0,D74/D$12)</f>
        <v>7.9297617130896794E-2</v>
      </c>
      <c r="G74" s="4"/>
      <c r="H74" s="4">
        <v>933.1</v>
      </c>
      <c r="I74" s="4"/>
      <c r="J74" s="12">
        <f>IF(H$12=0,0,H74/H$12)</f>
        <v>4.3799286518963573E-2</v>
      </c>
      <c r="K74" s="4"/>
      <c r="L74" s="4">
        <f>+D74-H74</f>
        <v>1036.9699999999998</v>
      </c>
      <c r="M74" s="4"/>
      <c r="N74" s="12">
        <f>IF(H74=0,0,L74/H74)</f>
        <v>1.1113171149930337</v>
      </c>
      <c r="O74" s="10"/>
      <c r="P74" s="4">
        <v>19985.86</v>
      </c>
      <c r="Q74" s="4"/>
      <c r="R74" s="12">
        <f>IF(P$12=0,0,P74/P$12)</f>
        <v>0.10428584100811396</v>
      </c>
      <c r="S74" s="4"/>
      <c r="T74" s="4">
        <v>22545.16</v>
      </c>
      <c r="U74" s="4"/>
      <c r="V74" s="12">
        <f>IF(T$12=0,0,T74/T$12)</f>
        <v>0.10175048403912029</v>
      </c>
      <c r="W74" s="4"/>
      <c r="X74" s="4">
        <f>+P74-T74</f>
        <v>-2559.2999999999993</v>
      </c>
      <c r="Y74" s="4"/>
      <c r="Z74" s="12">
        <f>IF(T74=0,0,X74/T74)</f>
        <v>-0.11351882177815546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4">
        <f>+D72-D74</f>
        <v>685.18000000000006</v>
      </c>
      <c r="E76" s="14"/>
      <c r="F76" s="31">
        <f>IF(D$12=0,0,D76/D$12)</f>
        <v>2.7579294799549188E-2</v>
      </c>
      <c r="G76" s="14"/>
      <c r="H76" s="34">
        <f>+H72-H74</f>
        <v>3758.3800000000033</v>
      </c>
      <c r="I76" s="14"/>
      <c r="J76" s="31">
        <f>IF(H$12=0,0,H76/H$12)</f>
        <v>0.17641663537363891</v>
      </c>
      <c r="K76" s="16"/>
      <c r="L76" s="34">
        <f>D76-H76</f>
        <v>-3073.2000000000035</v>
      </c>
      <c r="M76" s="16"/>
      <c r="N76" s="31">
        <f>IF(H76=0,0,L76/H76)</f>
        <v>-0.81769272931422599</v>
      </c>
      <c r="O76" s="29"/>
      <c r="P76" s="34">
        <f>+P72-P74</f>
        <v>-2053.2199999999284</v>
      </c>
      <c r="Q76" s="14"/>
      <c r="R76" s="31">
        <f>IF(P$12=0,0,P76/P$12)</f>
        <v>-1.0713663283675172E-2</v>
      </c>
      <c r="S76" s="14"/>
      <c r="T76" s="34">
        <f>+T72-T74</f>
        <v>-933.17000000003827</v>
      </c>
      <c r="U76" s="14"/>
      <c r="V76" s="31">
        <f>IF(T$12=0,0,T76/T$12)</f>
        <v>-4.2115690991232609E-3</v>
      </c>
      <c r="W76" s="16"/>
      <c r="X76" s="34">
        <f>P76-T76</f>
        <v>-1120.0499999998901</v>
      </c>
      <c r="Y76" s="16"/>
      <c r="Z76" s="31">
        <f>IF(T76=0,0,X76/T76)</f>
        <v>1.2002636175614778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0">
        <f>SUM(D76:D78)</f>
        <v>685.18000000000006</v>
      </c>
      <c r="E79" s="14"/>
      <c r="F79" s="33">
        <f>IF(D$12=0,0,D79/D$12)</f>
        <v>2.7579294799549188E-2</v>
      </c>
      <c r="G79" s="14"/>
      <c r="H79" s="30">
        <f>SUM(H76:H78)</f>
        <v>3758.3800000000033</v>
      </c>
      <c r="I79" s="14"/>
      <c r="J79" s="33">
        <f>IF(H$12=0,0,H79/H$12)</f>
        <v>0.17641663537363891</v>
      </c>
      <c r="K79" s="16"/>
      <c r="L79" s="30">
        <f>+D79-H79</f>
        <v>-3073.2000000000035</v>
      </c>
      <c r="M79" s="16"/>
      <c r="N79" s="33">
        <f>IF(H79=0,0,L79/H79)</f>
        <v>-0.81769272931422599</v>
      </c>
      <c r="O79" s="29"/>
      <c r="P79" s="30">
        <f>SUM(P76:P78)</f>
        <v>-2053.2199999999284</v>
      </c>
      <c r="Q79" s="14"/>
      <c r="R79" s="33">
        <f>IF(P$12=0,0,P79/P$12)</f>
        <v>-1.0713663283675172E-2</v>
      </c>
      <c r="S79" s="14"/>
      <c r="T79" s="30">
        <f>SUM(T76:T78)</f>
        <v>-933.17000000003827</v>
      </c>
      <c r="U79" s="14"/>
      <c r="V79" s="33">
        <f>IF(T$12=0,0,T79/T$12)</f>
        <v>-4.2115690991232609E-3</v>
      </c>
      <c r="W79" s="16"/>
      <c r="X79" s="30">
        <f>+P79-T79</f>
        <v>-1120.0499999998901</v>
      </c>
      <c r="Y79" s="16"/>
      <c r="Z79" s="33">
        <f>IF(T79=0,0,X79/T79)</f>
        <v>1.2002636175614778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1">
        <v>43879.553523958333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 t="s">
        <v>313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6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6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6" t="s">
        <v>12</v>
      </c>
    </row>
    <row r="3" spans="1:26" x14ac:dyDescent="0.25">
      <c r="D3" s="56" t="s">
        <v>294</v>
      </c>
      <c r="E3" s="18"/>
      <c r="F3" s="50"/>
      <c r="G3" s="18"/>
      <c r="H3" s="18"/>
      <c r="I3" s="18"/>
      <c r="J3" s="40"/>
      <c r="K3" s="18"/>
      <c r="L3" s="18"/>
      <c r="M3" s="18"/>
      <c r="N3" s="50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6" t="str">
        <f>CONCATENATE("Period ",RIGHT(202007,2),", ",2020)</f>
        <v>Period 07, 2020</v>
      </c>
      <c r="E4" s="18"/>
      <c r="F4" s="50"/>
      <c r="G4" s="18"/>
      <c r="H4" s="18"/>
      <c r="I4" s="18"/>
      <c r="J4" s="40"/>
      <c r="K4" s="18"/>
      <c r="L4" s="18"/>
      <c r="M4" s="18"/>
      <c r="N4" s="50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3">
        <v>43862</v>
      </c>
      <c r="E5" s="18"/>
      <c r="F5" s="50"/>
      <c r="G5" s="18"/>
      <c r="H5" s="18"/>
      <c r="I5" s="18"/>
      <c r="J5" s="40"/>
      <c r="K5" s="18"/>
      <c r="L5" s="18"/>
      <c r="M5" s="18"/>
      <c r="N5" s="50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9"/>
      <c r="C6" s="49"/>
      <c r="D6" s="23" t="str">
        <f>CONCATENATE("Department ","501", " - ", "ID Card Services")</f>
        <v>Department 501 - ID Card Services</v>
      </c>
      <c r="E6" s="18"/>
      <c r="F6" s="50"/>
      <c r="G6" s="18"/>
      <c r="H6" s="18"/>
      <c r="I6" s="18"/>
      <c r="J6" s="40"/>
      <c r="K6" s="18"/>
      <c r="L6" s="18"/>
      <c r="M6" s="18"/>
      <c r="N6" s="50"/>
      <c r="O6" s="60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293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62"/>
      <c r="C10" s="10"/>
      <c r="D10" s="43" t="s">
        <v>10</v>
      </c>
      <c r="E10" s="35"/>
      <c r="F10" s="36" t="s">
        <v>14</v>
      </c>
      <c r="G10" s="35"/>
      <c r="H10" s="48" t="s">
        <v>306</v>
      </c>
      <c r="I10" s="35"/>
      <c r="J10" s="36" t="s">
        <v>14</v>
      </c>
      <c r="K10" s="10"/>
      <c r="L10" s="43" t="s">
        <v>11</v>
      </c>
      <c r="M10" s="10"/>
      <c r="N10" s="36" t="s">
        <v>15</v>
      </c>
      <c r="O10" s="10"/>
      <c r="P10" s="57" t="s">
        <v>10</v>
      </c>
      <c r="Q10" s="35"/>
      <c r="R10" s="36" t="s">
        <v>14</v>
      </c>
      <c r="S10" s="35"/>
      <c r="T10" s="48" t="s">
        <v>306</v>
      </c>
      <c r="U10" s="35"/>
      <c r="V10" s="36" t="s">
        <v>14</v>
      </c>
      <c r="W10" s="10"/>
      <c r="X10" s="43" t="s">
        <v>11</v>
      </c>
      <c r="Y10" s="10"/>
      <c r="Z10" s="36" t="s">
        <v>15</v>
      </c>
    </row>
    <row r="11" spans="1:26" ht="15.75" x14ac:dyDescent="0.25">
      <c r="A11" s="9"/>
      <c r="B11" s="5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24844</v>
      </c>
      <c r="E12" s="4"/>
      <c r="F12" s="12"/>
      <c r="G12" s="4"/>
      <c r="H12" s="4">
        <f>SUM(OSRRefH13x_0)</f>
        <v>21304</v>
      </c>
      <c r="I12" s="4"/>
      <c r="J12" s="12"/>
      <c r="K12" s="4"/>
      <c r="L12" s="4">
        <f t="shared" ref="L12:L13" si="0">+D12-H12</f>
        <v>3540</v>
      </c>
      <c r="M12" s="4"/>
      <c r="N12" s="12">
        <f t="shared" ref="N12:N13" si="1">IF(H12=0,0,L12/H12)</f>
        <v>0.16616597822005258</v>
      </c>
      <c r="O12" s="10"/>
      <c r="P12" s="4">
        <f>SUM(OSRRefP13x_0)</f>
        <v>191645</v>
      </c>
      <c r="Q12" s="4"/>
      <c r="R12" s="12"/>
      <c r="S12" s="4"/>
      <c r="T12" s="4">
        <f>SUM(OSRRefT13x_0)</f>
        <v>221573</v>
      </c>
      <c r="U12" s="4"/>
      <c r="V12" s="12"/>
      <c r="W12" s="4"/>
      <c r="X12" s="4">
        <f t="shared" ref="X12:X13" si="2">+P12-T12</f>
        <v>-29928</v>
      </c>
      <c r="Y12" s="4"/>
      <c r="Z12" s="12">
        <f t="shared" ref="Z12:Z13" si="3">IF(T12=0,0,X12/T12)</f>
        <v>-0.13507060878356117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--24844</f>
        <v>24844</v>
      </c>
      <c r="E13" s="2"/>
      <c r="F13" s="19"/>
      <c r="G13" s="2"/>
      <c r="H13" s="2">
        <f>--21304</f>
        <v>21304</v>
      </c>
      <c r="I13" s="2"/>
      <c r="J13" s="19"/>
      <c r="K13" s="2"/>
      <c r="L13" s="2">
        <f t="shared" si="0"/>
        <v>3540</v>
      </c>
      <c r="M13" s="2"/>
      <c r="N13" s="19">
        <f t="shared" si="1"/>
        <v>0.16616597822005258</v>
      </c>
      <c r="O13" s="11"/>
      <c r="P13" s="2">
        <f>--191645</f>
        <v>191645</v>
      </c>
      <c r="Q13" s="2"/>
      <c r="R13" s="19"/>
      <c r="S13" s="2"/>
      <c r="T13" s="2">
        <f>--221573</f>
        <v>221573</v>
      </c>
      <c r="U13" s="2"/>
      <c r="V13" s="19"/>
      <c r="W13" s="2"/>
      <c r="X13" s="2">
        <f t="shared" si="2"/>
        <v>-29928</v>
      </c>
      <c r="Y13" s="2"/>
      <c r="Z13" s="19">
        <f t="shared" si="3"/>
        <v>-0.13507060878356117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1">
        <f>D12-D15</f>
        <v>24844</v>
      </c>
      <c r="E17" s="14"/>
      <c r="F17" s="22">
        <f>IF(D$12=0,0,D17/D$12)</f>
        <v>1</v>
      </c>
      <c r="G17" s="14"/>
      <c r="H17" s="21">
        <f>H12-H15</f>
        <v>21304</v>
      </c>
      <c r="I17" s="14"/>
      <c r="J17" s="22">
        <f>IF(H$12=0,0,H17/H$12)</f>
        <v>1</v>
      </c>
      <c r="K17" s="16"/>
      <c r="L17" s="21">
        <f>+D17-H17</f>
        <v>3540</v>
      </c>
      <c r="M17" s="16"/>
      <c r="N17" s="22">
        <f>IF(H17=0,0,L17/H17)</f>
        <v>0.16616597822005258</v>
      </c>
      <c r="O17" s="29"/>
      <c r="P17" s="21">
        <f>P12-P15</f>
        <v>191645</v>
      </c>
      <c r="Q17" s="14"/>
      <c r="R17" s="22">
        <f>IF(P$12=0,0,P17/P$12)</f>
        <v>1</v>
      </c>
      <c r="S17" s="14"/>
      <c r="T17" s="21">
        <f>T12-T15</f>
        <v>221573</v>
      </c>
      <c r="U17" s="14"/>
      <c r="V17" s="22">
        <f>IF(T$12=0,0,T17/T$12)</f>
        <v>1</v>
      </c>
      <c r="W17" s="16"/>
      <c r="X17" s="21">
        <f>+P17-T17</f>
        <v>-29928</v>
      </c>
      <c r="Y17" s="16"/>
      <c r="Z17" s="22">
        <f>IF(T17=0,0,X17/T17)</f>
        <v>-0.13507060878356117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0">
        <f>SUM(OSRRefD22x_0)</f>
        <v>25649.16</v>
      </c>
      <c r="E19" s="20"/>
      <c r="F19" s="32">
        <f t="shared" ref="F19:F28" si="4">IF(D$12=0,0,D19/D$12)</f>
        <v>1.0324086298502657</v>
      </c>
      <c r="G19" s="20"/>
      <c r="H19" s="20">
        <f>SUM(OSRRefH22x_0)</f>
        <v>20868.539999999997</v>
      </c>
      <c r="I19" s="20"/>
      <c r="J19" s="32">
        <f t="shared" ref="J19:J28" si="5">IF(H$12=0,0,H19/H$12)</f>
        <v>0.97955970709725859</v>
      </c>
      <c r="K19" s="4"/>
      <c r="L19" s="20">
        <f t="shared" ref="L19:L28" si="6">+D19-H19</f>
        <v>4780.6200000000026</v>
      </c>
      <c r="M19" s="4"/>
      <c r="N19" s="32">
        <f t="shared" ref="N19:N28" si="7">IF(H19=0,0,L19/H19)</f>
        <v>0.22908262868413426</v>
      </c>
      <c r="O19" s="10"/>
      <c r="P19" s="20">
        <f>SUM(OSRRefP22x_0)</f>
        <v>190924.10999999993</v>
      </c>
      <c r="Q19" s="20"/>
      <c r="R19" s="32">
        <f t="shared" ref="R19:R28" si="8">IF(P$12=0,0,P19/P$12)</f>
        <v>0.99623840955934106</v>
      </c>
      <c r="S19" s="20"/>
      <c r="T19" s="20">
        <f>SUM(OSRRefT22x_0)</f>
        <v>219450.32000000004</v>
      </c>
      <c r="U19" s="20"/>
      <c r="V19" s="32">
        <f t="shared" ref="V19:V28" si="9">IF(T$12=0,0,T19/T$12)</f>
        <v>0.9904199518894452</v>
      </c>
      <c r="W19" s="4"/>
      <c r="X19" s="20">
        <f t="shared" ref="X19:X28" si="10">+P19-T19</f>
        <v>-28526.210000000108</v>
      </c>
      <c r="Y19" s="4"/>
      <c r="Z19" s="32">
        <f t="shared" ref="Z19:Z28" si="11">IF(T19=0,0,X19/T19)</f>
        <v>-0.12998937527181598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4285.4500000000007</v>
      </c>
      <c r="E20" s="1"/>
      <c r="F20" s="5">
        <f t="shared" si="4"/>
        <v>0.17249436483658029</v>
      </c>
      <c r="G20" s="1"/>
      <c r="H20" s="1">
        <f>SUM(OSRRefH22_0x_0)</f>
        <v>3840.74</v>
      </c>
      <c r="I20" s="1"/>
      <c r="J20" s="5">
        <f t="shared" si="5"/>
        <v>0.18028257604205783</v>
      </c>
      <c r="K20" s="1"/>
      <c r="L20" s="1">
        <f t="shared" si="6"/>
        <v>444.71000000000095</v>
      </c>
      <c r="M20" s="1"/>
      <c r="N20" s="5">
        <f t="shared" si="7"/>
        <v>0.1157875826012698</v>
      </c>
      <c r="O20" s="13"/>
      <c r="P20" s="1">
        <f>SUM(OSRRefP22_0x_0)</f>
        <v>31385.910000000003</v>
      </c>
      <c r="Q20" s="1"/>
      <c r="R20" s="5">
        <f t="shared" si="8"/>
        <v>0.16377108716637534</v>
      </c>
      <c r="S20" s="1"/>
      <c r="T20" s="1">
        <f>SUM(OSRRefT22_0x_0)</f>
        <v>29806.920000000002</v>
      </c>
      <c r="U20" s="1"/>
      <c r="V20" s="5">
        <f t="shared" si="9"/>
        <v>0.13452415231097653</v>
      </c>
      <c r="W20" s="1"/>
      <c r="X20" s="1">
        <f t="shared" si="10"/>
        <v>1578.9900000000016</v>
      </c>
      <c r="Y20" s="1"/>
      <c r="Z20" s="5">
        <f t="shared" si="11"/>
        <v>5.2973940279639808E-2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920.98</v>
      </c>
      <c r="E21" s="2"/>
      <c r="F21" s="7">
        <f t="shared" si="4"/>
        <v>3.7070520045081309E-2</v>
      </c>
      <c r="G21" s="2"/>
      <c r="H21" s="6">
        <v>739.73</v>
      </c>
      <c r="I21" s="2"/>
      <c r="J21" s="7">
        <f t="shared" si="5"/>
        <v>3.4722587307547882E-2</v>
      </c>
      <c r="K21" s="2"/>
      <c r="L21" s="6">
        <f t="shared" si="6"/>
        <v>181.25</v>
      </c>
      <c r="M21" s="2"/>
      <c r="N21" s="7">
        <f t="shared" si="7"/>
        <v>0.24502183229015992</v>
      </c>
      <c r="O21" s="11"/>
      <c r="P21" s="6">
        <v>7717.72</v>
      </c>
      <c r="Q21" s="2"/>
      <c r="R21" s="7">
        <f t="shared" si="8"/>
        <v>4.0270917581987531E-2</v>
      </c>
      <c r="S21" s="2"/>
      <c r="T21" s="6">
        <v>6758.15</v>
      </c>
      <c r="U21" s="2"/>
      <c r="V21" s="7">
        <f t="shared" si="9"/>
        <v>3.0500783037644478E-2</v>
      </c>
      <c r="W21" s="2"/>
      <c r="X21" s="6">
        <f t="shared" si="10"/>
        <v>959.57000000000062</v>
      </c>
      <c r="Y21" s="2"/>
      <c r="Z21" s="7">
        <f t="shared" si="11"/>
        <v>0.14198708226363735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50.97</v>
      </c>
      <c r="E22" s="2"/>
      <c r="F22" s="7">
        <f t="shared" si="4"/>
        <v>2.0516019964578972E-3</v>
      </c>
      <c r="G22" s="2"/>
      <c r="H22" s="6">
        <v>50.81</v>
      </c>
      <c r="I22" s="2"/>
      <c r="J22" s="7">
        <f t="shared" si="5"/>
        <v>2.3849981224183252E-3</v>
      </c>
      <c r="K22" s="2"/>
      <c r="L22" s="6">
        <f t="shared" si="6"/>
        <v>0.15999999999999659</v>
      </c>
      <c r="M22" s="2"/>
      <c r="N22" s="7">
        <f t="shared" si="7"/>
        <v>3.1489864199959966E-3</v>
      </c>
      <c r="O22" s="11"/>
      <c r="P22" s="6">
        <v>338.26</v>
      </c>
      <c r="Q22" s="2"/>
      <c r="R22" s="7">
        <f t="shared" si="8"/>
        <v>1.7650343082261473E-3</v>
      </c>
      <c r="S22" s="2"/>
      <c r="T22" s="6">
        <v>410.72</v>
      </c>
      <c r="U22" s="2"/>
      <c r="V22" s="7">
        <f t="shared" si="9"/>
        <v>1.8536554544100591E-3</v>
      </c>
      <c r="W22" s="2"/>
      <c r="X22" s="6">
        <f t="shared" si="10"/>
        <v>-72.460000000000036</v>
      </c>
      <c r="Y22" s="2"/>
      <c r="Z22" s="7">
        <f t="shared" si="11"/>
        <v>-0.17642189326061558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1298.72</v>
      </c>
      <c r="E23" s="2"/>
      <c r="F23" s="7">
        <f t="shared" si="4"/>
        <v>5.2274995974883276E-2</v>
      </c>
      <c r="G23" s="2"/>
      <c r="H23" s="6">
        <v>1243.31</v>
      </c>
      <c r="I23" s="2"/>
      <c r="J23" s="7">
        <f t="shared" si="5"/>
        <v>5.8360401802478402E-2</v>
      </c>
      <c r="K23" s="2"/>
      <c r="L23" s="6">
        <f t="shared" si="6"/>
        <v>55.410000000000082</v>
      </c>
      <c r="M23" s="2"/>
      <c r="N23" s="7">
        <f t="shared" si="7"/>
        <v>4.4566520015120993E-2</v>
      </c>
      <c r="O23" s="11"/>
      <c r="P23" s="6">
        <v>8758.58</v>
      </c>
      <c r="Q23" s="2"/>
      <c r="R23" s="7">
        <f t="shared" si="8"/>
        <v>4.5702105455399308E-2</v>
      </c>
      <c r="S23" s="2"/>
      <c r="T23" s="6">
        <v>8569.2900000000009</v>
      </c>
      <c r="U23" s="2"/>
      <c r="V23" s="7">
        <f t="shared" si="9"/>
        <v>3.8674793408944232E-2</v>
      </c>
      <c r="W23" s="2"/>
      <c r="X23" s="6">
        <f t="shared" si="10"/>
        <v>189.28999999999905</v>
      </c>
      <c r="Y23" s="2"/>
      <c r="Z23" s="7">
        <f t="shared" si="11"/>
        <v>2.2089344624817112E-2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39.020000000000003</v>
      </c>
      <c r="E24" s="2"/>
      <c r="F24" s="7">
        <f t="shared" si="4"/>
        <v>1.5706005474158751E-3</v>
      </c>
      <c r="G24" s="2"/>
      <c r="H24" s="6">
        <v>39.22</v>
      </c>
      <c r="I24" s="2"/>
      <c r="J24" s="7">
        <f t="shared" si="5"/>
        <v>1.8409688321441983E-3</v>
      </c>
      <c r="K24" s="2"/>
      <c r="L24" s="6">
        <f t="shared" si="6"/>
        <v>-0.19999999999999574</v>
      </c>
      <c r="M24" s="2"/>
      <c r="N24" s="7">
        <f t="shared" si="7"/>
        <v>-5.0994390617031043E-3</v>
      </c>
      <c r="O24" s="11"/>
      <c r="P24" s="6">
        <v>327.96</v>
      </c>
      <c r="Q24" s="2"/>
      <c r="R24" s="7">
        <f t="shared" si="8"/>
        <v>1.7112891022463407E-3</v>
      </c>
      <c r="S24" s="2"/>
      <c r="T24" s="6">
        <v>341.1</v>
      </c>
      <c r="U24" s="2"/>
      <c r="V24" s="7">
        <f t="shared" si="9"/>
        <v>1.5394474958591526E-3</v>
      </c>
      <c r="W24" s="2"/>
      <c r="X24" s="6">
        <f t="shared" si="10"/>
        <v>-13.140000000000043</v>
      </c>
      <c r="Y24" s="2"/>
      <c r="Z24" s="7">
        <f t="shared" si="11"/>
        <v>-3.8522427440633368E-2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959.21</v>
      </c>
      <c r="E25" s="2"/>
      <c r="F25" s="7">
        <f t="shared" si="4"/>
        <v>3.8609322170342943E-2</v>
      </c>
      <c r="G25" s="2"/>
      <c r="H25" s="6">
        <v>816.46</v>
      </c>
      <c r="I25" s="2"/>
      <c r="J25" s="7">
        <f t="shared" si="5"/>
        <v>3.8324258355238457E-2</v>
      </c>
      <c r="K25" s="2"/>
      <c r="L25" s="6">
        <f t="shared" si="6"/>
        <v>142.75</v>
      </c>
      <c r="M25" s="2"/>
      <c r="N25" s="7">
        <f t="shared" si="7"/>
        <v>0.17484016363324595</v>
      </c>
      <c r="O25" s="11"/>
      <c r="P25" s="6">
        <v>5566.45</v>
      </c>
      <c r="Q25" s="2"/>
      <c r="R25" s="7">
        <f t="shared" si="8"/>
        <v>2.9045631245271205E-2</v>
      </c>
      <c r="S25" s="2"/>
      <c r="T25" s="6">
        <v>4947.99</v>
      </c>
      <c r="U25" s="2"/>
      <c r="V25" s="7">
        <f t="shared" si="9"/>
        <v>2.233119558791008E-2</v>
      </c>
      <c r="W25" s="2"/>
      <c r="X25" s="6">
        <f t="shared" si="10"/>
        <v>618.46</v>
      </c>
      <c r="Y25" s="2"/>
      <c r="Z25" s="7">
        <f t="shared" si="11"/>
        <v>0.12499216853712317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577.95000000000005</v>
      </c>
      <c r="E26" s="2"/>
      <c r="F26" s="7">
        <f t="shared" si="4"/>
        <v>2.326316213170182E-2</v>
      </c>
      <c r="G26" s="2"/>
      <c r="H26" s="6">
        <v>534.38</v>
      </c>
      <c r="I26" s="2"/>
      <c r="J26" s="7">
        <f t="shared" si="5"/>
        <v>2.5083552384528727E-2</v>
      </c>
      <c r="K26" s="2"/>
      <c r="L26" s="6">
        <f t="shared" si="6"/>
        <v>43.57000000000005</v>
      </c>
      <c r="M26" s="2"/>
      <c r="N26" s="7">
        <f t="shared" si="7"/>
        <v>8.1533740035181046E-2</v>
      </c>
      <c r="O26" s="11"/>
      <c r="P26" s="6">
        <v>5070.83</v>
      </c>
      <c r="Q26" s="2"/>
      <c r="R26" s="7">
        <f t="shared" si="8"/>
        <v>2.6459495421221529E-2</v>
      </c>
      <c r="S26" s="2"/>
      <c r="T26" s="6">
        <v>4604.6499999999996</v>
      </c>
      <c r="U26" s="2"/>
      <c r="V26" s="7">
        <f t="shared" si="9"/>
        <v>2.0781638557044405E-2</v>
      </c>
      <c r="W26" s="2"/>
      <c r="X26" s="6">
        <f t="shared" si="10"/>
        <v>466.18000000000029</v>
      </c>
      <c r="Y26" s="2"/>
      <c r="Z26" s="7">
        <f t="shared" si="11"/>
        <v>0.10124113667705478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288.58</v>
      </c>
      <c r="E27" s="2"/>
      <c r="F27" s="7">
        <f t="shared" si="4"/>
        <v>1.1615681854773787E-2</v>
      </c>
      <c r="G27" s="2"/>
      <c r="H27" s="6">
        <v>266.83</v>
      </c>
      <c r="I27" s="2"/>
      <c r="J27" s="7">
        <f t="shared" si="5"/>
        <v>1.2524877957191137E-2</v>
      </c>
      <c r="K27" s="2"/>
      <c r="L27" s="6">
        <f t="shared" si="6"/>
        <v>21.75</v>
      </c>
      <c r="M27" s="2"/>
      <c r="N27" s="7">
        <f t="shared" si="7"/>
        <v>8.1512573548701422E-2</v>
      </c>
      <c r="O27" s="11"/>
      <c r="P27" s="6">
        <v>2554.2800000000002</v>
      </c>
      <c r="Q27" s="2"/>
      <c r="R27" s="7">
        <f t="shared" si="8"/>
        <v>1.3328184925252421E-2</v>
      </c>
      <c r="S27" s="2"/>
      <c r="T27" s="6">
        <v>2609.1799999999998</v>
      </c>
      <c r="U27" s="2"/>
      <c r="V27" s="7">
        <f t="shared" si="9"/>
        <v>1.1775712744783885E-2</v>
      </c>
      <c r="W27" s="2"/>
      <c r="X27" s="6">
        <f t="shared" si="10"/>
        <v>-54.899999999999636</v>
      </c>
      <c r="Y27" s="2"/>
      <c r="Z27" s="7">
        <f t="shared" si="11"/>
        <v>-2.104109337033077E-2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150.02000000000001</v>
      </c>
      <c r="E28" s="2"/>
      <c r="F28" s="7">
        <f t="shared" si="4"/>
        <v>6.0384801159233618E-3</v>
      </c>
      <c r="G28" s="2"/>
      <c r="H28" s="6">
        <v>150</v>
      </c>
      <c r="I28" s="2"/>
      <c r="J28" s="7">
        <f t="shared" si="5"/>
        <v>7.0409312805107026E-3</v>
      </c>
      <c r="K28" s="2"/>
      <c r="L28" s="6">
        <f t="shared" si="6"/>
        <v>2.0000000000010232E-2</v>
      </c>
      <c r="M28" s="2"/>
      <c r="N28" s="7">
        <f t="shared" si="7"/>
        <v>1.3333333333340154E-4</v>
      </c>
      <c r="O28" s="11"/>
      <c r="P28" s="6">
        <v>1051.83</v>
      </c>
      <c r="Q28" s="2"/>
      <c r="R28" s="7">
        <f t="shared" si="8"/>
        <v>5.488429126770852E-3</v>
      </c>
      <c r="S28" s="2"/>
      <c r="T28" s="6">
        <v>1565.84</v>
      </c>
      <c r="U28" s="2"/>
      <c r="V28" s="7">
        <f t="shared" si="9"/>
        <v>7.0669260243802264E-3</v>
      </c>
      <c r="W28" s="2"/>
      <c r="X28" s="6">
        <f t="shared" si="10"/>
        <v>-514.01</v>
      </c>
      <c r="Y28" s="2"/>
      <c r="Z28" s="7">
        <f t="shared" si="11"/>
        <v>-0.32826470137434222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19262.39</v>
      </c>
      <c r="E29" s="1"/>
      <c r="F29" s="5">
        <f t="shared" ref="F29:F35" si="12">IF(D$12=0,0,D29/D$12)</f>
        <v>0.77533368217678311</v>
      </c>
      <c r="G29" s="1"/>
      <c r="H29" s="1">
        <f>SUM(OSRRefH22_1x_0)</f>
        <v>18088.77</v>
      </c>
      <c r="I29" s="1"/>
      <c r="J29" s="5">
        <f t="shared" ref="J29:J35" si="13">IF(H$12=0,0,H29/H$12)</f>
        <v>0.84907857679309051</v>
      </c>
      <c r="K29" s="1"/>
      <c r="L29" s="1">
        <f t="shared" ref="L29:L35" si="14">+D29-H29</f>
        <v>1173.619999999999</v>
      </c>
      <c r="M29" s="1"/>
      <c r="N29" s="5">
        <f t="shared" ref="N29:N35" si="15">IF(H29=0,0,L29/H29)</f>
        <v>6.4881138960802692E-2</v>
      </c>
      <c r="O29" s="13"/>
      <c r="P29" s="1">
        <f>SUM(OSRRefP22_1x_0)</f>
        <v>119293.84000000001</v>
      </c>
      <c r="Q29" s="1"/>
      <c r="R29" s="5">
        <f t="shared" ref="R29:R35" si="16">IF(P$12=0,0,P29/P$12)</f>
        <v>0.62247300999243393</v>
      </c>
      <c r="S29" s="1"/>
      <c r="T29" s="1">
        <f>SUM(OSRRefT22_1x_0)</f>
        <v>115077.62</v>
      </c>
      <c r="U29" s="1"/>
      <c r="V29" s="5">
        <f t="shared" ref="V29:V35" si="17">IF(T$12=0,0,T29/T$12)</f>
        <v>0.51936661957910035</v>
      </c>
      <c r="W29" s="1"/>
      <c r="X29" s="1">
        <f t="shared" ref="X29:X35" si="18">+P29-T29</f>
        <v>4216.2200000000157</v>
      </c>
      <c r="Y29" s="1"/>
      <c r="Z29" s="5">
        <f t="shared" ref="Z29:Z35" si="19">IF(T29=0,0,X29/T29)</f>
        <v>3.6638053515531656E-2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6881.99</v>
      </c>
      <c r="E30" s="2"/>
      <c r="F30" s="7">
        <f t="shared" si="12"/>
        <v>0.27700813073579134</v>
      </c>
      <c r="G30" s="2"/>
      <c r="H30" s="6">
        <v>6363.2</v>
      </c>
      <c r="I30" s="2"/>
      <c r="J30" s="7">
        <f t="shared" si="13"/>
        <v>0.29868569282763802</v>
      </c>
      <c r="K30" s="2"/>
      <c r="L30" s="6">
        <f t="shared" si="14"/>
        <v>518.79</v>
      </c>
      <c r="M30" s="2"/>
      <c r="N30" s="7">
        <f t="shared" si="15"/>
        <v>8.1529733467437762E-2</v>
      </c>
      <c r="O30" s="11"/>
      <c r="P30" s="6">
        <v>41381.870000000003</v>
      </c>
      <c r="Q30" s="2"/>
      <c r="R30" s="7">
        <f t="shared" si="16"/>
        <v>0.21592981815335649</v>
      </c>
      <c r="S30" s="2"/>
      <c r="T30" s="6">
        <v>41362.060000000005</v>
      </c>
      <c r="U30" s="2"/>
      <c r="V30" s="7">
        <f t="shared" si="17"/>
        <v>0.18667463996064504</v>
      </c>
      <c r="W30" s="2"/>
      <c r="X30" s="6">
        <f t="shared" si="18"/>
        <v>19.809999999997672</v>
      </c>
      <c r="Y30" s="2"/>
      <c r="Z30" s="7">
        <f t="shared" si="19"/>
        <v>4.7894132932445023E-4</v>
      </c>
    </row>
    <row r="31" spans="1:26" s="24" customFormat="1" hidden="1" outlineLevel="2" x14ac:dyDescent="0.25">
      <c r="A31" s="25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4.9920342279970935E-2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"6005", " - ", "TEMPORARY WAGES-HOURLY")</f>
        <v xml:space="preserve">          6005 - TEMPORARY WAGES-HOURLY</v>
      </c>
      <c r="C32" s="11"/>
      <c r="D32" s="6">
        <v>6157.33</v>
      </c>
      <c r="E32" s="2"/>
      <c r="F32" s="7">
        <f t="shared" si="12"/>
        <v>0.24783971985187569</v>
      </c>
      <c r="G32" s="2"/>
      <c r="H32" s="6">
        <v>3459.9</v>
      </c>
      <c r="I32" s="2"/>
      <c r="J32" s="7">
        <f t="shared" si="13"/>
        <v>0.16240612091625986</v>
      </c>
      <c r="K32" s="2"/>
      <c r="L32" s="6">
        <f t="shared" si="14"/>
        <v>2697.43</v>
      </c>
      <c r="M32" s="2"/>
      <c r="N32" s="7">
        <f t="shared" si="15"/>
        <v>0.77962657880285546</v>
      </c>
      <c r="O32" s="11"/>
      <c r="P32" s="6">
        <v>51094.64</v>
      </c>
      <c r="Q32" s="2"/>
      <c r="R32" s="7">
        <f t="shared" si="16"/>
        <v>0.26661086905476272</v>
      </c>
      <c r="S32" s="2"/>
      <c r="T32" s="6">
        <v>23005.350000000002</v>
      </c>
      <c r="U32" s="2"/>
      <c r="V32" s="7">
        <f t="shared" si="17"/>
        <v>0.10382740676887528</v>
      </c>
      <c r="W32" s="2"/>
      <c r="X32" s="6">
        <f t="shared" si="18"/>
        <v>28089.289999999997</v>
      </c>
      <c r="Y32" s="2"/>
      <c r="Z32" s="7">
        <f t="shared" si="19"/>
        <v>1.2209894654938958</v>
      </c>
    </row>
    <row r="33" spans="1:26" s="24" customFormat="1" hidden="1" outlineLevel="2" x14ac:dyDescent="0.25">
      <c r="A33" s="25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847.87</v>
      </c>
      <c r="I33" s="2"/>
      <c r="J33" s="7">
        <f t="shared" si="13"/>
        <v>3.9798629365377397E-2</v>
      </c>
      <c r="K33" s="2"/>
      <c r="L33" s="6">
        <f t="shared" si="14"/>
        <v>-847.87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5685.95</v>
      </c>
      <c r="U33" s="2"/>
      <c r="V33" s="7">
        <f t="shared" si="17"/>
        <v>2.5661745790326439E-2</v>
      </c>
      <c r="W33" s="2"/>
      <c r="X33" s="6">
        <f t="shared" si="18"/>
        <v>-5685.95</v>
      </c>
      <c r="Y33" s="2"/>
      <c r="Z33" s="7">
        <f t="shared" si="19"/>
        <v>-1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6">
        <v>5974.57</v>
      </c>
      <c r="E34" s="2"/>
      <c r="F34" s="7">
        <f t="shared" si="12"/>
        <v>0.24048341651907904</v>
      </c>
      <c r="G34" s="2"/>
      <c r="H34" s="6">
        <v>7165.99</v>
      </c>
      <c r="I34" s="2"/>
      <c r="J34" s="7">
        <f t="shared" si="13"/>
        <v>0.33636828764551258</v>
      </c>
      <c r="K34" s="2"/>
      <c r="L34" s="6">
        <f t="shared" si="14"/>
        <v>-1191.42</v>
      </c>
      <c r="M34" s="2"/>
      <c r="N34" s="7">
        <f t="shared" si="15"/>
        <v>-0.16626034923297411</v>
      </c>
      <c r="O34" s="11"/>
      <c r="P34" s="6">
        <v>22619.5</v>
      </c>
      <c r="Q34" s="2"/>
      <c r="R34" s="7">
        <f t="shared" si="16"/>
        <v>0.11802812491846905</v>
      </c>
      <c r="S34" s="2"/>
      <c r="T34" s="6">
        <v>33242.92</v>
      </c>
      <c r="U34" s="2"/>
      <c r="V34" s="7">
        <f t="shared" si="17"/>
        <v>0.15003145690133726</v>
      </c>
      <c r="W34" s="2"/>
      <c r="X34" s="6">
        <f t="shared" si="18"/>
        <v>-10623.419999999998</v>
      </c>
      <c r="Y34" s="2"/>
      <c r="Z34" s="7">
        <f t="shared" si="19"/>
        <v>-0.3195694000406703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6">
        <v>248.5</v>
      </c>
      <c r="E35" s="2"/>
      <c r="F35" s="7">
        <f t="shared" si="12"/>
        <v>1.0002415070037031E-2</v>
      </c>
      <c r="G35" s="2"/>
      <c r="H35" s="6">
        <v>251.81</v>
      </c>
      <c r="I35" s="2"/>
      <c r="J35" s="7">
        <f t="shared" si="13"/>
        <v>1.1819846038302667E-2</v>
      </c>
      <c r="K35" s="2"/>
      <c r="L35" s="6">
        <f t="shared" si="14"/>
        <v>-3.3100000000000023</v>
      </c>
      <c r="M35" s="2"/>
      <c r="N35" s="7">
        <f t="shared" si="15"/>
        <v>-1.3144831420515478E-2</v>
      </c>
      <c r="O35" s="11"/>
      <c r="P35" s="6">
        <v>4197.83</v>
      </c>
      <c r="Q35" s="2"/>
      <c r="R35" s="7">
        <f t="shared" si="16"/>
        <v>2.1904197865845704E-2</v>
      </c>
      <c r="S35" s="2"/>
      <c r="T35" s="6">
        <v>720.34</v>
      </c>
      <c r="U35" s="2"/>
      <c r="V35" s="7">
        <f t="shared" si="17"/>
        <v>3.2510278779454178E-3</v>
      </c>
      <c r="W35" s="2"/>
      <c r="X35" s="6">
        <f t="shared" si="18"/>
        <v>3477.49</v>
      </c>
      <c r="Y35" s="2"/>
      <c r="Z35" s="7">
        <f t="shared" si="19"/>
        <v>4.8275675375517109</v>
      </c>
    </row>
    <row r="36" spans="1:26" s="26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106.77</v>
      </c>
      <c r="Q36" s="1"/>
      <c r="R36" s="5">
        <f t="shared" ref="R36:R44" si="24">IF(P$12=0,0,P36/P$12)</f>
        <v>5.5712384878290591E-4</v>
      </c>
      <c r="S36" s="1"/>
      <c r="T36" s="1">
        <f>SUM(OSRRefT22_2x_0)</f>
        <v>2526.94</v>
      </c>
      <c r="U36" s="1"/>
      <c r="V36" s="5">
        <f t="shared" ref="V36:V44" si="25">IF(T$12=0,0,T36/T$12)</f>
        <v>1.140454838811588E-2</v>
      </c>
      <c r="W36" s="1"/>
      <c r="X36" s="1">
        <f t="shared" ref="X36:X44" si="26">+P36-T36</f>
        <v>-2420.17</v>
      </c>
      <c r="Y36" s="1"/>
      <c r="Z36" s="5">
        <f t="shared" ref="Z36:Z44" si="27">IF(T36=0,0,X36/T36)</f>
        <v>-0.95774731493426835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106.77</v>
      </c>
      <c r="Q37" s="2"/>
      <c r="R37" s="7">
        <f t="shared" si="24"/>
        <v>5.5712384878290591E-4</v>
      </c>
      <c r="S37" s="2"/>
      <c r="T37" s="6">
        <v>2526.94</v>
      </c>
      <c r="U37" s="2"/>
      <c r="V37" s="7">
        <f t="shared" si="25"/>
        <v>1.140454838811588E-2</v>
      </c>
      <c r="W37" s="2"/>
      <c r="X37" s="6">
        <f t="shared" si="26"/>
        <v>-2420.17</v>
      </c>
      <c r="Y37" s="2"/>
      <c r="Z37" s="7">
        <f t="shared" si="27"/>
        <v>-0.95774731493426835</v>
      </c>
    </row>
    <row r="38" spans="1:26" s="26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1723.63</v>
      </c>
      <c r="E38" s="1"/>
      <c r="F38" s="5">
        <f t="shared" si="20"/>
        <v>6.9378119465464502E-2</v>
      </c>
      <c r="G38" s="1"/>
      <c r="H38" s="1">
        <f>SUM(OSRRefH22_3x_0)</f>
        <v>1592.59</v>
      </c>
      <c r="I38" s="1"/>
      <c r="J38" s="5">
        <f t="shared" si="21"/>
        <v>7.475544498685692E-2</v>
      </c>
      <c r="K38" s="1"/>
      <c r="L38" s="1">
        <f t="shared" si="22"/>
        <v>131.04000000000019</v>
      </c>
      <c r="M38" s="1"/>
      <c r="N38" s="5">
        <f t="shared" si="23"/>
        <v>8.2281064178476693E-2</v>
      </c>
      <c r="O38" s="13"/>
      <c r="P38" s="1">
        <f>SUM(OSRRefP22_3x_0)</f>
        <v>14279.63</v>
      </c>
      <c r="Q38" s="1"/>
      <c r="R38" s="5">
        <f t="shared" si="24"/>
        <v>7.4510840355866317E-2</v>
      </c>
      <c r="S38" s="1"/>
      <c r="T38" s="1">
        <f>SUM(OSRRefT22_3x_0)</f>
        <v>13655.45</v>
      </c>
      <c r="U38" s="1"/>
      <c r="V38" s="5">
        <f t="shared" si="25"/>
        <v>6.1629575805716402E-2</v>
      </c>
      <c r="W38" s="1"/>
      <c r="X38" s="1">
        <f t="shared" si="26"/>
        <v>624.17999999999847</v>
      </c>
      <c r="Y38" s="1"/>
      <c r="Z38" s="5">
        <f t="shared" si="27"/>
        <v>4.5709222325152114E-2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6">
        <v>1723.63</v>
      </c>
      <c r="E39" s="2"/>
      <c r="F39" s="7">
        <f t="shared" si="20"/>
        <v>6.9378119465464502E-2</v>
      </c>
      <c r="G39" s="2"/>
      <c r="H39" s="6">
        <v>1592.59</v>
      </c>
      <c r="I39" s="2"/>
      <c r="J39" s="7">
        <f t="shared" si="21"/>
        <v>7.475544498685692E-2</v>
      </c>
      <c r="K39" s="2"/>
      <c r="L39" s="6">
        <f t="shared" si="22"/>
        <v>131.04000000000019</v>
      </c>
      <c r="M39" s="2"/>
      <c r="N39" s="7">
        <f t="shared" si="23"/>
        <v>8.2281064178476693E-2</v>
      </c>
      <c r="O39" s="11"/>
      <c r="P39" s="6">
        <v>14279.63</v>
      </c>
      <c r="Q39" s="2"/>
      <c r="R39" s="7">
        <f t="shared" si="24"/>
        <v>7.4510840355866317E-2</v>
      </c>
      <c r="S39" s="2"/>
      <c r="T39" s="6">
        <v>13655.45</v>
      </c>
      <c r="U39" s="2"/>
      <c r="V39" s="7">
        <f t="shared" si="25"/>
        <v>6.1629575805716402E-2</v>
      </c>
      <c r="W39" s="2"/>
      <c r="X39" s="6">
        <f t="shared" si="26"/>
        <v>624.17999999999847</v>
      </c>
      <c r="Y39" s="2"/>
      <c r="Z39" s="7">
        <f t="shared" si="27"/>
        <v>4.5709222325152114E-2</v>
      </c>
    </row>
    <row r="40" spans="1:26" s="26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3.3520310991677318E-4</v>
      </c>
      <c r="S40" s="1"/>
      <c r="T40" s="1">
        <f>SUM(OSRRefT22_4x_0)</f>
        <v>92.16</v>
      </c>
      <c r="U40" s="1"/>
      <c r="V40" s="5">
        <f t="shared" si="25"/>
        <v>4.159351545540296E-4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5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3.3520310991677318E-4</v>
      </c>
      <c r="S41" s="2"/>
      <c r="T41" s="6">
        <v>92.16</v>
      </c>
      <c r="U41" s="2"/>
      <c r="V41" s="7">
        <f t="shared" si="25"/>
        <v>4.159351545540296E-4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6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47.17</v>
      </c>
      <c r="I42" s="1"/>
      <c r="J42" s="5">
        <f t="shared" si="21"/>
        <v>2.2141381900112654E-3</v>
      </c>
      <c r="K42" s="1"/>
      <c r="L42" s="1">
        <f t="shared" si="22"/>
        <v>-47.17</v>
      </c>
      <c r="M42" s="1"/>
      <c r="N42" s="5">
        <f t="shared" si="23"/>
        <v>-1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68.760000000000005</v>
      </c>
      <c r="U42" s="1"/>
      <c r="V42" s="5">
        <f t="shared" si="25"/>
        <v>3.1032661921804553E-4</v>
      </c>
      <c r="W42" s="1"/>
      <c r="X42" s="1">
        <f t="shared" si="26"/>
        <v>-68.760000000000005</v>
      </c>
      <c r="Y42" s="1"/>
      <c r="Z42" s="5">
        <f t="shared" si="27"/>
        <v>-1</v>
      </c>
    </row>
    <row r="43" spans="1:26" s="24" customFormat="1" hidden="1" outlineLevel="2" x14ac:dyDescent="0.25">
      <c r="A43" s="25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9.5318472918631784E-5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4" customFormat="1" hidden="1" outlineLevel="2" x14ac:dyDescent="0.25">
      <c r="A44" s="25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>
        <v>47.17</v>
      </c>
      <c r="I44" s="2"/>
      <c r="J44" s="7">
        <f t="shared" si="21"/>
        <v>2.2141381900112654E-3</v>
      </c>
      <c r="K44" s="2"/>
      <c r="L44" s="6">
        <f t="shared" si="22"/>
        <v>-47.17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2.1500814629941373E-4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6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47.34</v>
      </c>
      <c r="E45" s="1"/>
      <c r="F45" s="5">
        <f t="shared" ref="F45:F55" si="28">IF(D$12=0,0,D45/D$12)</f>
        <v>1.9054902592175174E-3</v>
      </c>
      <c r="G45" s="1"/>
      <c r="H45" s="1">
        <f>SUM(OSRRefH22_6x_0)</f>
        <v>0</v>
      </c>
      <c r="I45" s="1"/>
      <c r="J45" s="5">
        <f t="shared" ref="J45:J55" si="29">IF(H$12=0,0,H45/H$12)</f>
        <v>0</v>
      </c>
      <c r="K45" s="1"/>
      <c r="L45" s="1">
        <f t="shared" ref="L45:L55" si="30">+D45-H45</f>
        <v>47.34</v>
      </c>
      <c r="M45" s="1"/>
      <c r="N45" s="5">
        <f t="shared" ref="N45:N55" si="31">IF(H45=0,0,L45/H45)</f>
        <v>0</v>
      </c>
      <c r="O45" s="13"/>
      <c r="P45" s="1">
        <f>SUM(OSRRefP22_6x_0)</f>
        <v>47.34</v>
      </c>
      <c r="Q45" s="1"/>
      <c r="R45" s="5">
        <f t="shared" ref="R45:R55" si="32">IF(P$12=0,0,P45/P$12)</f>
        <v>2.4701922826058601E-4</v>
      </c>
      <c r="S45" s="1"/>
      <c r="T45" s="1">
        <f>SUM(OSRRefT22_6x_0)</f>
        <v>661</v>
      </c>
      <c r="U45" s="1"/>
      <c r="V45" s="5">
        <f t="shared" ref="V45:V55" si="33">IF(T$12=0,0,T45/T$12)</f>
        <v>2.9832154639780118E-3</v>
      </c>
      <c r="W45" s="1"/>
      <c r="X45" s="1">
        <f t="shared" ref="X45:X55" si="34">+P45-T45</f>
        <v>-613.66</v>
      </c>
      <c r="Y45" s="1"/>
      <c r="Z45" s="5">
        <f t="shared" ref="Z45:Z55" si="35">IF(T45=0,0,X45/T45)</f>
        <v>-0.92838124054462934</v>
      </c>
    </row>
    <row r="46" spans="1:26" s="24" customFormat="1" hidden="1" outlineLevel="2" x14ac:dyDescent="0.25">
      <c r="A46" s="25"/>
      <c r="B46" s="11" t="str">
        <f>CONCATENATE("          ", "6279", " - ", "GENERAL EXPENSE")</f>
        <v xml:space="preserve">          6279 - GENERAL EXPENSE</v>
      </c>
      <c r="C46" s="11"/>
      <c r="D46" s="6">
        <v>47.34</v>
      </c>
      <c r="E46" s="2"/>
      <c r="F46" s="7">
        <f t="shared" si="28"/>
        <v>1.9054902592175174E-3</v>
      </c>
      <c r="G46" s="2"/>
      <c r="H46" s="6"/>
      <c r="I46" s="2"/>
      <c r="J46" s="7">
        <f t="shared" si="29"/>
        <v>0</v>
      </c>
      <c r="K46" s="2"/>
      <c r="L46" s="6">
        <f t="shared" si="30"/>
        <v>47.34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2.4701922826058601E-4</v>
      </c>
      <c r="S46" s="2"/>
      <c r="T46" s="6">
        <v>661</v>
      </c>
      <c r="U46" s="2"/>
      <c r="V46" s="7">
        <f t="shared" si="33"/>
        <v>2.9832154639780118E-3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1.1676863629045244E-3</v>
      </c>
      <c r="G47" s="1"/>
      <c r="H47" s="1">
        <f>SUM(OSRRefH22_7x_0)</f>
        <v>27.33</v>
      </c>
      <c r="I47" s="1"/>
      <c r="J47" s="5">
        <f t="shared" si="29"/>
        <v>1.2828576793090499E-3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203.07</v>
      </c>
      <c r="Q47" s="1"/>
      <c r="R47" s="5">
        <f t="shared" si="32"/>
        <v>1.0596154347882803E-3</v>
      </c>
      <c r="S47" s="1"/>
      <c r="T47" s="1">
        <f>SUM(OSRRefT22_7x_0)</f>
        <v>191.31</v>
      </c>
      <c r="U47" s="1"/>
      <c r="V47" s="5">
        <f t="shared" si="33"/>
        <v>8.6341747415073138E-4</v>
      </c>
      <c r="W47" s="1"/>
      <c r="X47" s="1">
        <f t="shared" si="34"/>
        <v>11.759999999999991</v>
      </c>
      <c r="Y47" s="1"/>
      <c r="Z47" s="5">
        <f t="shared" si="35"/>
        <v>6.1470911086717844E-2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1.1676863629045244E-3</v>
      </c>
      <c r="G48" s="2"/>
      <c r="H48" s="6">
        <v>27.33</v>
      </c>
      <c r="I48" s="2"/>
      <c r="J48" s="7">
        <f t="shared" si="29"/>
        <v>1.2828576793090499E-3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203.07</v>
      </c>
      <c r="Q48" s="2"/>
      <c r="R48" s="7">
        <f t="shared" si="32"/>
        <v>1.0596154347882803E-3</v>
      </c>
      <c r="S48" s="2"/>
      <c r="T48" s="6">
        <v>191.31</v>
      </c>
      <c r="U48" s="2"/>
      <c r="V48" s="7">
        <f t="shared" si="33"/>
        <v>8.6341747415073138E-4</v>
      </c>
      <c r="W48" s="2"/>
      <c r="X48" s="6">
        <f t="shared" si="34"/>
        <v>11.759999999999991</v>
      </c>
      <c r="Y48" s="2"/>
      <c r="Z48" s="7">
        <f t="shared" si="35"/>
        <v>6.1470911086717844E-2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7.5821512548911642E-3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5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7.5821512548911642E-3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6" customFormat="1" outlineLevel="1" collapsed="1" x14ac:dyDescent="0.25">
      <c r="A51" s="27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-800</v>
      </c>
      <c r="E51" s="1"/>
      <c r="F51" s="5">
        <f t="shared" si="28"/>
        <v>-3.2200933827080988E-2</v>
      </c>
      <c r="G51" s="1"/>
      <c r="H51" s="1">
        <f>SUM(OSRRefH22_9x_0)</f>
        <v>800</v>
      </c>
      <c r="I51" s="1"/>
      <c r="J51" s="5">
        <f t="shared" si="29"/>
        <v>3.7551633496057078E-2</v>
      </c>
      <c r="K51" s="1"/>
      <c r="L51" s="1">
        <f t="shared" si="30"/>
        <v>-1600</v>
      </c>
      <c r="M51" s="1"/>
      <c r="N51" s="5">
        <f t="shared" si="31"/>
        <v>-2</v>
      </c>
      <c r="O51" s="13"/>
      <c r="P51" s="1">
        <f>SUM(OSRRefP22_9x_0)</f>
        <v>4000</v>
      </c>
      <c r="Q51" s="1"/>
      <c r="R51" s="5">
        <f t="shared" si="32"/>
        <v>2.0871924652352006E-2</v>
      </c>
      <c r="S51" s="1"/>
      <c r="T51" s="1">
        <f>SUM(OSRRefT22_9x_0)</f>
        <v>4800</v>
      </c>
      <c r="U51" s="1"/>
      <c r="V51" s="5">
        <f t="shared" si="33"/>
        <v>2.1663289299689043E-2</v>
      </c>
      <c r="W51" s="1"/>
      <c r="X51" s="1">
        <f t="shared" si="34"/>
        <v>-800</v>
      </c>
      <c r="Y51" s="1"/>
      <c r="Z51" s="5">
        <f t="shared" si="35"/>
        <v>-0.16666666666666666</v>
      </c>
    </row>
    <row r="52" spans="1:26" s="24" customFormat="1" hidden="1" outlineLevel="2" x14ac:dyDescent="0.25">
      <c r="A52" s="25"/>
      <c r="B52" s="11" t="str">
        <f>CONCATENATE("          ", "6273", " - ", "RENT")</f>
        <v xml:space="preserve">          6273 - RENT</v>
      </c>
      <c r="C52" s="11"/>
      <c r="D52" s="6">
        <v>-800</v>
      </c>
      <c r="E52" s="2"/>
      <c r="F52" s="7">
        <f t="shared" si="28"/>
        <v>-3.2200933827080988E-2</v>
      </c>
      <c r="G52" s="2"/>
      <c r="H52" s="6">
        <v>800</v>
      </c>
      <c r="I52" s="2"/>
      <c r="J52" s="7">
        <f t="shared" si="29"/>
        <v>3.7551633496057078E-2</v>
      </c>
      <c r="K52" s="2"/>
      <c r="L52" s="6">
        <f t="shared" si="30"/>
        <v>-1600</v>
      </c>
      <c r="M52" s="2"/>
      <c r="N52" s="7">
        <f t="shared" si="31"/>
        <v>-2</v>
      </c>
      <c r="O52" s="11"/>
      <c r="P52" s="6">
        <v>4000</v>
      </c>
      <c r="Q52" s="2"/>
      <c r="R52" s="7">
        <f t="shared" si="32"/>
        <v>2.0871924652352006E-2</v>
      </c>
      <c r="S52" s="2"/>
      <c r="T52" s="6">
        <v>4800</v>
      </c>
      <c r="U52" s="2"/>
      <c r="V52" s="7">
        <f t="shared" si="33"/>
        <v>2.1663289299689043E-2</v>
      </c>
      <c r="W52" s="2"/>
      <c r="X52" s="6">
        <f t="shared" si="34"/>
        <v>-800</v>
      </c>
      <c r="Y52" s="2"/>
      <c r="Z52" s="7">
        <f t="shared" si="35"/>
        <v>-0.16666666666666666</v>
      </c>
    </row>
    <row r="53" spans="1:26" s="26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SUM(OSRRefP22_10x_0)</f>
        <v>749.96</v>
      </c>
      <c r="Q53" s="1"/>
      <c r="R53" s="5">
        <f t="shared" si="32"/>
        <v>3.9132771530694778E-3</v>
      </c>
      <c r="S53" s="1"/>
      <c r="T53" s="1">
        <f>SUM(OSRRefT22_10x_0)</f>
        <v>600</v>
      </c>
      <c r="U53" s="1"/>
      <c r="V53" s="5">
        <f t="shared" si="33"/>
        <v>2.7079111624611304E-3</v>
      </c>
      <c r="W53" s="1"/>
      <c r="X53" s="1">
        <f t="shared" si="34"/>
        <v>149.96000000000004</v>
      </c>
      <c r="Y53" s="1"/>
      <c r="Z53" s="5">
        <f t="shared" si="35"/>
        <v>0.2499333333333334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2.2818753424300136E-3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312.64999999999998</v>
      </c>
      <c r="Q55" s="2"/>
      <c r="R55" s="7">
        <f t="shared" si="32"/>
        <v>1.6314018106394635E-3</v>
      </c>
      <c r="S55" s="2"/>
      <c r="T55" s="6">
        <v>600</v>
      </c>
      <c r="U55" s="2"/>
      <c r="V55" s="7">
        <f t="shared" si="33"/>
        <v>2.7079111624611304E-3</v>
      </c>
      <c r="W55" s="2"/>
      <c r="X55" s="6">
        <f t="shared" si="34"/>
        <v>-287.35000000000002</v>
      </c>
      <c r="Y55" s="2"/>
      <c r="Z55" s="7">
        <f t="shared" si="35"/>
        <v>-0.47891666666666671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825</v>
      </c>
      <c r="E56" s="1"/>
      <c r="F56" s="5">
        <f t="shared" ref="F56:F62" si="36">IF(D$12=0,0,D56/D$12)</f>
        <v>3.3207213009177269E-2</v>
      </c>
      <c r="G56" s="1"/>
      <c r="H56" s="1">
        <f>SUM(OSRRefH22_11x_0)</f>
        <v>0</v>
      </c>
      <c r="I56" s="1"/>
      <c r="J56" s="5">
        <f t="shared" ref="J56:J62" si="37">IF(H$12=0,0,H56/H$12)</f>
        <v>0</v>
      </c>
      <c r="K56" s="1"/>
      <c r="L56" s="1">
        <f t="shared" ref="L56:L62" si="38">+D56-H56</f>
        <v>825</v>
      </c>
      <c r="M56" s="1"/>
      <c r="N56" s="5">
        <f t="shared" ref="N56:N62" si="39">IF(H56=0,0,L56/H56)</f>
        <v>0</v>
      </c>
      <c r="O56" s="13"/>
      <c r="P56" s="1">
        <f>SUM(OSRRefP22_11x_0)</f>
        <v>825</v>
      </c>
      <c r="Q56" s="1"/>
      <c r="R56" s="5">
        <f t="shared" ref="R56:R62" si="40">IF(P$12=0,0,P56/P$12)</f>
        <v>4.3048344595476009E-3</v>
      </c>
      <c r="S56" s="1"/>
      <c r="T56" s="1">
        <f>SUM(OSRRefT22_11x_0)</f>
        <v>0</v>
      </c>
      <c r="U56" s="1"/>
      <c r="V56" s="5">
        <f t="shared" ref="V56:V62" si="41">IF(T$12=0,0,T56/T$12)</f>
        <v>0</v>
      </c>
      <c r="W56" s="1"/>
      <c r="X56" s="1">
        <f t="shared" ref="X56:X62" si="42">+P56-T56</f>
        <v>825</v>
      </c>
      <c r="Y56" s="1"/>
      <c r="Z56" s="5">
        <f t="shared" ref="Z56:Z62" si="43">IF(T56=0,0,X56/T56)</f>
        <v>0</v>
      </c>
    </row>
    <row r="57" spans="1:26" s="24" customFormat="1" hidden="1" outlineLevel="2" x14ac:dyDescent="0.25">
      <c r="A57" s="25"/>
      <c r="B57" s="11" t="str">
        <f>CONCATENATE("          ", "6258", " - ", "MEMBERSHIP DUES")</f>
        <v xml:space="preserve">          6258 - MEMBERSHIP DUES</v>
      </c>
      <c r="C57" s="11"/>
      <c r="D57" s="6">
        <v>825</v>
      </c>
      <c r="E57" s="2"/>
      <c r="F57" s="7">
        <f t="shared" si="36"/>
        <v>3.3207213009177269E-2</v>
      </c>
      <c r="G57" s="2"/>
      <c r="H57" s="6"/>
      <c r="I57" s="2"/>
      <c r="J57" s="7">
        <f t="shared" si="37"/>
        <v>0</v>
      </c>
      <c r="K57" s="2"/>
      <c r="L57" s="6">
        <f t="shared" si="38"/>
        <v>825</v>
      </c>
      <c r="M57" s="2"/>
      <c r="N57" s="7">
        <f t="shared" si="39"/>
        <v>0</v>
      </c>
      <c r="O57" s="11"/>
      <c r="P57" s="6">
        <v>825</v>
      </c>
      <c r="Q57" s="2"/>
      <c r="R57" s="7">
        <f t="shared" si="40"/>
        <v>4.3048344595476009E-3</v>
      </c>
      <c r="S57" s="2"/>
      <c r="T57" s="6"/>
      <c r="U57" s="2"/>
      <c r="V57" s="7">
        <f t="shared" si="41"/>
        <v>0</v>
      </c>
      <c r="W57" s="2"/>
      <c r="X57" s="6">
        <f t="shared" si="42"/>
        <v>825</v>
      </c>
      <c r="Y57" s="2"/>
      <c r="Z57" s="7">
        <f t="shared" si="43"/>
        <v>0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93.69</v>
      </c>
      <c r="E58" s="1"/>
      <c r="F58" s="5">
        <f t="shared" si="36"/>
        <v>3.7711318628240219E-3</v>
      </c>
      <c r="G58" s="1"/>
      <c r="H58" s="1">
        <f>SUM(OSRRefH22_12x_0)</f>
        <v>-4320.7299999999996</v>
      </c>
      <c r="I58" s="1"/>
      <c r="J58" s="5">
        <f t="shared" si="37"/>
        <v>-0.20281308674427337</v>
      </c>
      <c r="K58" s="1"/>
      <c r="L58" s="1">
        <f t="shared" si="38"/>
        <v>4414.4199999999992</v>
      </c>
      <c r="M58" s="1"/>
      <c r="N58" s="5">
        <f t="shared" si="39"/>
        <v>-1.0216838358332967</v>
      </c>
      <c r="O58" s="13"/>
      <c r="P58" s="1">
        <f>SUM(OSRRefP22_12x_0)</f>
        <v>18654.350000000002</v>
      </c>
      <c r="Q58" s="1"/>
      <c r="R58" s="5">
        <f t="shared" si="40"/>
        <v>9.7338046909650672E-2</v>
      </c>
      <c r="S58" s="1"/>
      <c r="T58" s="1">
        <f>SUM(OSRRefT22_12x_0)</f>
        <v>45708.569999999992</v>
      </c>
      <c r="U58" s="1"/>
      <c r="V58" s="5">
        <f t="shared" si="41"/>
        <v>0.20629124487189321</v>
      </c>
      <c r="W58" s="1"/>
      <c r="X58" s="1">
        <f t="shared" si="42"/>
        <v>-27054.21999999999</v>
      </c>
      <c r="Y58" s="1"/>
      <c r="Z58" s="5">
        <f t="shared" si="43"/>
        <v>-0.59188506662973694</v>
      </c>
    </row>
    <row r="59" spans="1:26" s="24" customFormat="1" hidden="1" outlineLevel="2" x14ac:dyDescent="0.25">
      <c r="A59" s="25"/>
      <c r="B59" s="11" t="str">
        <f>CONCATENATE("          ", "6234", " - ", "EXPENDABLE SUPPLIES &amp; EQUIPMEN")</f>
        <v xml:space="preserve">          6234 - EXPENDABLE SUPPLIES &amp; EQUIPMEN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413.27</v>
      </c>
      <c r="Q59" s="2"/>
      <c r="R59" s="7">
        <f t="shared" si="40"/>
        <v>2.1564350752693784E-3</v>
      </c>
      <c r="S59" s="2"/>
      <c r="T59" s="6"/>
      <c r="U59" s="2"/>
      <c r="V59" s="7">
        <f t="shared" si="41"/>
        <v>0</v>
      </c>
      <c r="W59" s="2"/>
      <c r="X59" s="6">
        <f t="shared" si="42"/>
        <v>413.27</v>
      </c>
      <c r="Y59" s="2"/>
      <c r="Z59" s="7">
        <f t="shared" si="43"/>
        <v>0</v>
      </c>
    </row>
    <row r="60" spans="1:26" s="24" customFormat="1" hidden="1" outlineLevel="2" x14ac:dyDescent="0.25">
      <c r="A60" s="25"/>
      <c r="B60" s="11" t="str">
        <f>CONCATENATE("          ", "6241", " - ", "OFFICE EXPENSE")</f>
        <v xml:space="preserve">          6241 - OFFICE EXPENSE</v>
      </c>
      <c r="C60" s="11"/>
      <c r="D60" s="6">
        <v>11</v>
      </c>
      <c r="E60" s="2"/>
      <c r="F60" s="7">
        <f t="shared" si="36"/>
        <v>4.4276284012236352E-4</v>
      </c>
      <c r="G60" s="2"/>
      <c r="H60" s="6">
        <v>-4416.87</v>
      </c>
      <c r="I60" s="2"/>
      <c r="J60" s="7">
        <f t="shared" si="37"/>
        <v>-0.20732585429966202</v>
      </c>
      <c r="K60" s="2"/>
      <c r="L60" s="6">
        <f t="shared" si="38"/>
        <v>4427.87</v>
      </c>
      <c r="M60" s="2"/>
      <c r="N60" s="7">
        <f t="shared" si="39"/>
        <v>-1.0024904513829929</v>
      </c>
      <c r="O60" s="11"/>
      <c r="P60" s="6">
        <v>18037.560000000001</v>
      </c>
      <c r="Q60" s="2"/>
      <c r="R60" s="7">
        <f t="shared" si="40"/>
        <v>9.4119648308069612E-2</v>
      </c>
      <c r="S60" s="2"/>
      <c r="T60" s="6">
        <v>45253.009999999995</v>
      </c>
      <c r="U60" s="2"/>
      <c r="V60" s="7">
        <f t="shared" si="41"/>
        <v>0.20423521818994189</v>
      </c>
      <c r="W60" s="2"/>
      <c r="X60" s="6">
        <f t="shared" si="42"/>
        <v>-27215.449999999993</v>
      </c>
      <c r="Y60" s="2"/>
      <c r="Z60" s="7">
        <f t="shared" si="43"/>
        <v>-0.60140640368452836</v>
      </c>
    </row>
    <row r="61" spans="1:26" s="24" customFormat="1" hidden="1" outlineLevel="2" x14ac:dyDescent="0.25">
      <c r="A61" s="25"/>
      <c r="B61" s="11" t="str">
        <f>CONCATENATE("          ", "6245", " - ", "PRINTING")</f>
        <v xml:space="preserve">          6245 - PRINTING</v>
      </c>
      <c r="C61" s="11"/>
      <c r="D61" s="6">
        <v>82.69</v>
      </c>
      <c r="E61" s="2"/>
      <c r="F61" s="7">
        <f t="shared" si="36"/>
        <v>3.3283690227016581E-3</v>
      </c>
      <c r="G61" s="2"/>
      <c r="H61" s="6">
        <v>96.14</v>
      </c>
      <c r="I61" s="2"/>
      <c r="J61" s="7">
        <f t="shared" si="37"/>
        <v>4.5127675553886595E-3</v>
      </c>
      <c r="K61" s="2"/>
      <c r="L61" s="6">
        <f t="shared" si="38"/>
        <v>-13.450000000000003</v>
      </c>
      <c r="M61" s="2"/>
      <c r="N61" s="7">
        <f t="shared" si="39"/>
        <v>-0.13990014562096945</v>
      </c>
      <c r="O61" s="11"/>
      <c r="P61" s="6">
        <v>203.52</v>
      </c>
      <c r="Q61" s="2"/>
      <c r="R61" s="7">
        <f t="shared" si="40"/>
        <v>1.06196352631167E-3</v>
      </c>
      <c r="S61" s="2"/>
      <c r="T61" s="6">
        <v>455.56</v>
      </c>
      <c r="U61" s="2"/>
      <c r="V61" s="7">
        <f t="shared" si="41"/>
        <v>2.0560266819513208E-3</v>
      </c>
      <c r="W61" s="2"/>
      <c r="X61" s="6">
        <f t="shared" si="42"/>
        <v>-252.04</v>
      </c>
      <c r="Y61" s="2"/>
      <c r="Z61" s="7">
        <f t="shared" si="43"/>
        <v>-0.55325313899376594</v>
      </c>
    </row>
    <row r="62" spans="1:26" s="24" customFormat="1" hidden="1" outlineLevel="2" x14ac:dyDescent="0.25">
      <c r="A62" s="25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6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SUM(OSRRefD22_13x_0)</f>
        <v>182.65</v>
      </c>
      <c r="E63" s="1"/>
      <c r="F63" s="5">
        <f t="shared" ref="F63:F66" si="44">IF(D$12=0,0,D63/D$12)</f>
        <v>7.3518757043954273E-3</v>
      </c>
      <c r="G63" s="1"/>
      <c r="H63" s="1">
        <f>SUM(OSRRefH22_13x_0)</f>
        <v>-2.33</v>
      </c>
      <c r="I63" s="1"/>
      <c r="J63" s="5">
        <f t="shared" ref="J63:J66" si="45">IF(H$12=0,0,H63/H$12)</f>
        <v>-1.0936913255726625E-4</v>
      </c>
      <c r="K63" s="1"/>
      <c r="L63" s="1">
        <f t="shared" ref="L63:L66" si="46">+D63-H63</f>
        <v>184.98000000000002</v>
      </c>
      <c r="M63" s="1"/>
      <c r="N63" s="5">
        <f t="shared" ref="N63:N66" si="47">IF(H63=0,0,L63/H63)</f>
        <v>-79.390557939914174</v>
      </c>
      <c r="O63" s="13"/>
      <c r="P63" s="1">
        <f>SUM(OSRRefP22_13x_0)</f>
        <v>1314</v>
      </c>
      <c r="Q63" s="1"/>
      <c r="R63" s="5">
        <f t="shared" ref="R63:R66" si="48">IF(P$12=0,0,P63/P$12)</f>
        <v>6.8564272482976333E-3</v>
      </c>
      <c r="S63" s="1"/>
      <c r="T63" s="1">
        <f>SUM(OSRRefT22_13x_0)</f>
        <v>2186.59</v>
      </c>
      <c r="U63" s="1"/>
      <c r="V63" s="5">
        <f t="shared" ref="V63:V66" si="49">IF(T$12=0,0,T63/T$12)</f>
        <v>9.8684857812098049E-3</v>
      </c>
      <c r="W63" s="1"/>
      <c r="X63" s="1">
        <f t="shared" ref="X63:X66" si="50">+P63-T63</f>
        <v>-872.59000000000015</v>
      </c>
      <c r="Y63" s="1"/>
      <c r="Z63" s="5">
        <f t="shared" ref="Z63:Z66" si="51">IF(T63=0,0,X63/T63)</f>
        <v>-0.39906429646161379</v>
      </c>
    </row>
    <row r="64" spans="1:26" s="24" customFormat="1" hidden="1" outlineLevel="2" x14ac:dyDescent="0.25">
      <c r="A64" s="25"/>
      <c r="B64" s="11" t="str">
        <f>CONCATENATE("          ", "6309", " - ", "TELEPHONE")</f>
        <v xml:space="preserve">          6309 - TELEPHONE</v>
      </c>
      <c r="C64" s="11"/>
      <c r="D64" s="6">
        <v>182.65</v>
      </c>
      <c r="E64" s="2"/>
      <c r="F64" s="7">
        <f t="shared" si="44"/>
        <v>7.3518757043954273E-3</v>
      </c>
      <c r="G64" s="2"/>
      <c r="H64" s="6">
        <v>-2.33</v>
      </c>
      <c r="I64" s="2"/>
      <c r="J64" s="7">
        <f t="shared" si="45"/>
        <v>-1.0936913255726625E-4</v>
      </c>
      <c r="K64" s="2"/>
      <c r="L64" s="6">
        <f t="shared" si="46"/>
        <v>184.98000000000002</v>
      </c>
      <c r="M64" s="2"/>
      <c r="N64" s="7">
        <f t="shared" si="47"/>
        <v>-79.390557939914174</v>
      </c>
      <c r="O64" s="11"/>
      <c r="P64" s="6">
        <v>1314</v>
      </c>
      <c r="Q64" s="2"/>
      <c r="R64" s="7">
        <f t="shared" si="48"/>
        <v>6.8564272482976333E-3</v>
      </c>
      <c r="S64" s="2"/>
      <c r="T64" s="6">
        <v>2186.59</v>
      </c>
      <c r="U64" s="2"/>
      <c r="V64" s="7">
        <f t="shared" si="49"/>
        <v>9.8684857812098049E-3</v>
      </c>
      <c r="W64" s="2"/>
      <c r="X64" s="6">
        <f t="shared" si="50"/>
        <v>-872.59000000000015</v>
      </c>
      <c r="Y64" s="2"/>
      <c r="Z64" s="7">
        <f t="shared" si="51"/>
        <v>-0.39906429646161379</v>
      </c>
    </row>
    <row r="65" spans="1:26" s="26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SUM(OSRRefD22_14x_0)</f>
        <v>0</v>
      </c>
      <c r="E65" s="1"/>
      <c r="F65" s="5">
        <f t="shared" si="44"/>
        <v>0</v>
      </c>
      <c r="G65" s="1"/>
      <c r="H65" s="1">
        <f>SUM(OSRRefH22_14x_0)</f>
        <v>795</v>
      </c>
      <c r="I65" s="1"/>
      <c r="J65" s="5">
        <f t="shared" si="45"/>
        <v>3.7316935786706723E-2</v>
      </c>
      <c r="K65" s="1"/>
      <c r="L65" s="1">
        <f t="shared" si="46"/>
        <v>-795</v>
      </c>
      <c r="M65" s="1"/>
      <c r="N65" s="5">
        <f t="shared" si="47"/>
        <v>-1</v>
      </c>
      <c r="O65" s="13"/>
      <c r="P65" s="1">
        <f>SUM(OSRRefP22_14x_0)</f>
        <v>0</v>
      </c>
      <c r="Q65" s="1"/>
      <c r="R65" s="5">
        <f t="shared" si="48"/>
        <v>0</v>
      </c>
      <c r="S65" s="1"/>
      <c r="T65" s="1">
        <f>SUM(OSRRefT22_14x_0)</f>
        <v>2395</v>
      </c>
      <c r="U65" s="1"/>
      <c r="V65" s="5">
        <f t="shared" si="49"/>
        <v>1.0809078723490679E-2</v>
      </c>
      <c r="W65" s="1"/>
      <c r="X65" s="1">
        <f t="shared" si="50"/>
        <v>-2395</v>
      </c>
      <c r="Y65" s="1"/>
      <c r="Z65" s="5">
        <f t="shared" si="51"/>
        <v>-1</v>
      </c>
    </row>
    <row r="66" spans="1:26" s="24" customFormat="1" hidden="1" outlineLevel="2" x14ac:dyDescent="0.25">
      <c r="A66" s="25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44"/>
        <v>0</v>
      </c>
      <c r="G66" s="2"/>
      <c r="H66" s="6">
        <v>795</v>
      </c>
      <c r="I66" s="2"/>
      <c r="J66" s="7">
        <f t="shared" si="45"/>
        <v>3.7316935786706723E-2</v>
      </c>
      <c r="K66" s="2"/>
      <c r="L66" s="6">
        <f t="shared" si="46"/>
        <v>-795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2395</v>
      </c>
      <c r="U66" s="2"/>
      <c r="V66" s="7">
        <f t="shared" si="49"/>
        <v>1.0809078723490679E-2</v>
      </c>
      <c r="W66" s="2"/>
      <c r="X66" s="6">
        <f t="shared" si="50"/>
        <v>-2395</v>
      </c>
      <c r="Y66" s="2"/>
      <c r="Z66" s="7">
        <f t="shared" si="51"/>
        <v>-1</v>
      </c>
    </row>
    <row r="67" spans="1:26" s="59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9" t="s">
        <v>0</v>
      </c>
      <c r="C68" s="10"/>
      <c r="D68" s="4">
        <f>SUM(OSRRefD25x_0)</f>
        <v>3460.41</v>
      </c>
      <c r="E68" s="4"/>
      <c r="F68" s="12">
        <f t="shared" ref="F68:F70" si="52">IF(D$12=0,0,D68/D$12)</f>
        <v>0.13928554178071165</v>
      </c>
      <c r="G68" s="4"/>
      <c r="H68" s="4">
        <f>SUM(OSRRefH25x_0)</f>
        <v>4256.0200000000004</v>
      </c>
      <c r="I68" s="4"/>
      <c r="J68" s="12">
        <f t="shared" ref="J68:J70" si="53">IF(H$12=0,0,H68/H$12)</f>
        <v>0.19977562898986109</v>
      </c>
      <c r="K68" s="4"/>
      <c r="L68" s="4">
        <f t="shared" ref="L68:L70" si="54">+D68-H68</f>
        <v>-795.61000000000058</v>
      </c>
      <c r="M68" s="4"/>
      <c r="N68" s="12">
        <f t="shared" ref="N68:N70" si="55">IF(H68=0,0,L68/H68)</f>
        <v>-0.18693756138364023</v>
      </c>
      <c r="O68" s="10"/>
      <c r="P68" s="4">
        <f>SUM(OSRRefP25x_0)</f>
        <v>17211.75</v>
      </c>
      <c r="Q68" s="4"/>
      <c r="R68" s="12">
        <f t="shared" ref="R68:R70" si="56">IF(P$12=0,0,P68/P$12)</f>
        <v>8.98105872837799E-2</v>
      </c>
      <c r="S68" s="4"/>
      <c r="T68" s="4">
        <f>SUM(OSRRefT25x_0)</f>
        <v>19489.309999999998</v>
      </c>
      <c r="U68" s="4"/>
      <c r="V68" s="12">
        <f t="shared" ref="V68:V70" si="57">IF(T$12=0,0,T68/T$12)</f>
        <v>8.7958866829442206E-2</v>
      </c>
      <c r="W68" s="4"/>
      <c r="X68" s="4">
        <f t="shared" ref="X68:X70" si="58">+P68-T68</f>
        <v>-2277.5599999999977</v>
      </c>
      <c r="Y68" s="4"/>
      <c r="Z68" s="12">
        <f t="shared" ref="Z68:Z70" si="59">IF(T68=0,0,X68/T68)</f>
        <v>-0.1168620130728075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--3460.41</f>
        <v>3460.41</v>
      </c>
      <c r="E69" s="2"/>
      <c r="F69" s="19">
        <f t="shared" si="52"/>
        <v>0.13928554178071165</v>
      </c>
      <c r="G69" s="2"/>
      <c r="H69" s="2">
        <f>--4256.02</f>
        <v>4256.0200000000004</v>
      </c>
      <c r="I69" s="2"/>
      <c r="J69" s="19">
        <f t="shared" si="53"/>
        <v>0.19977562898986109</v>
      </c>
      <c r="K69" s="2"/>
      <c r="L69" s="2">
        <f t="shared" si="54"/>
        <v>-795.61000000000058</v>
      </c>
      <c r="M69" s="2"/>
      <c r="N69" s="19">
        <f t="shared" si="55"/>
        <v>-0.18693756138364023</v>
      </c>
      <c r="O69" s="11"/>
      <c r="P69" s="2">
        <f>--17211.75</f>
        <v>17211.75</v>
      </c>
      <c r="Q69" s="2"/>
      <c r="R69" s="19">
        <f t="shared" si="56"/>
        <v>8.98105872837799E-2</v>
      </c>
      <c r="S69" s="2"/>
      <c r="T69" s="2">
        <f>--19318.96</f>
        <v>19318.96</v>
      </c>
      <c r="U69" s="2"/>
      <c r="V69" s="19">
        <f t="shared" si="57"/>
        <v>8.7190045718566783E-2</v>
      </c>
      <c r="W69" s="2"/>
      <c r="X69" s="2">
        <f t="shared" si="58"/>
        <v>-2107.2099999999991</v>
      </c>
      <c r="Y69" s="2"/>
      <c r="Z69" s="19">
        <f t="shared" si="59"/>
        <v>-0.10907471209630328</v>
      </c>
    </row>
    <row r="70" spans="1:26" s="24" customFormat="1" hidden="1" outlineLevel="1" x14ac:dyDescent="0.25">
      <c r="A70" s="44"/>
      <c r="B70" s="11" t="str">
        <f>CONCATENATE("          ", "9160", " - ", "MISC. INCOME")</f>
        <v xml:space="preserve">          9160 - MISC. INCOME</v>
      </c>
      <c r="C70" s="11"/>
      <c r="D70" s="2">
        <f>0</f>
        <v>0</v>
      </c>
      <c r="E70" s="2"/>
      <c r="F70" s="19">
        <f t="shared" si="52"/>
        <v>0</v>
      </c>
      <c r="G70" s="2"/>
      <c r="H70" s="2">
        <f>0</f>
        <v>0</v>
      </c>
      <c r="I70" s="2"/>
      <c r="J70" s="19">
        <f t="shared" si="53"/>
        <v>0</v>
      </c>
      <c r="K70" s="2"/>
      <c r="L70" s="2">
        <f t="shared" si="54"/>
        <v>0</v>
      </c>
      <c r="M70" s="2"/>
      <c r="N70" s="19">
        <f t="shared" si="55"/>
        <v>0</v>
      </c>
      <c r="O70" s="11"/>
      <c r="P70" s="2">
        <f>0</f>
        <v>0</v>
      </c>
      <c r="Q70" s="2"/>
      <c r="R70" s="19">
        <f t="shared" si="56"/>
        <v>0</v>
      </c>
      <c r="S70" s="2"/>
      <c r="T70" s="2">
        <f>--170.35</f>
        <v>170.35</v>
      </c>
      <c r="U70" s="2"/>
      <c r="V70" s="19">
        <f t="shared" si="57"/>
        <v>7.6882111087542249E-4</v>
      </c>
      <c r="W70" s="2"/>
      <c r="X70" s="2">
        <f t="shared" si="58"/>
        <v>-170.35</v>
      </c>
      <c r="Y70" s="2"/>
      <c r="Z70" s="19">
        <f t="shared" si="59"/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1">
        <f>+D17-D19+D68</f>
        <v>2655.25</v>
      </c>
      <c r="E72" s="14"/>
      <c r="F72" s="22">
        <f>IF(D$12=0,0,D72/D$12)</f>
        <v>0.10687691193044599</v>
      </c>
      <c r="G72" s="14"/>
      <c r="H72" s="21">
        <f>+H17-H19+H68</f>
        <v>4691.4800000000032</v>
      </c>
      <c r="I72" s="14"/>
      <c r="J72" s="22">
        <f>IF(H$12=0,0,H72/H$12)</f>
        <v>0.22021592189260247</v>
      </c>
      <c r="K72" s="16"/>
      <c r="L72" s="21">
        <f>+D72-H72</f>
        <v>-2036.2300000000032</v>
      </c>
      <c r="M72" s="16"/>
      <c r="N72" s="22">
        <f>IF(H72=0,0,L72/H72)</f>
        <v>-0.43402721529240279</v>
      </c>
      <c r="O72" s="29"/>
      <c r="P72" s="21">
        <f>+P17-P19+P68</f>
        <v>17932.640000000072</v>
      </c>
      <c r="Q72" s="14"/>
      <c r="R72" s="22">
        <f>IF(P$12=0,0,P72/P$12)</f>
        <v>9.3572177724438793E-2</v>
      </c>
      <c r="S72" s="14"/>
      <c r="T72" s="21">
        <f>+T17-T19+T68</f>
        <v>21611.989999999962</v>
      </c>
      <c r="U72" s="14"/>
      <c r="V72" s="22">
        <f>IF(T$12=0,0,T72/T$12)</f>
        <v>9.7538914939997029E-2</v>
      </c>
      <c r="W72" s="16"/>
      <c r="X72" s="21">
        <f>+P72-T72</f>
        <v>-3679.3499999998894</v>
      </c>
      <c r="Y72" s="16"/>
      <c r="Z72" s="22">
        <f>IF(T72=0,0,X72/T72)</f>
        <v>-0.17024577560881232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>
        <v>1970.07</v>
      </c>
      <c r="E74" s="4"/>
      <c r="F74" s="12">
        <f>IF(D$12=0,0,D74/D$12)</f>
        <v>7.9297617130896794E-2</v>
      </c>
      <c r="G74" s="4"/>
      <c r="H74" s="4">
        <v>933.1</v>
      </c>
      <c r="I74" s="4"/>
      <c r="J74" s="12">
        <f>IF(H$12=0,0,H74/H$12)</f>
        <v>4.3799286518963573E-2</v>
      </c>
      <c r="K74" s="4"/>
      <c r="L74" s="4">
        <f>+D74-H74</f>
        <v>1036.9699999999998</v>
      </c>
      <c r="M74" s="4"/>
      <c r="N74" s="12">
        <f>IF(H74=0,0,L74/H74)</f>
        <v>1.1113171149930337</v>
      </c>
      <c r="O74" s="10"/>
      <c r="P74" s="4">
        <v>19985.86</v>
      </c>
      <c r="Q74" s="4"/>
      <c r="R74" s="12">
        <f>IF(P$12=0,0,P74/P$12)</f>
        <v>0.10428584100811396</v>
      </c>
      <c r="S74" s="4"/>
      <c r="T74" s="4">
        <v>22545.16</v>
      </c>
      <c r="U74" s="4"/>
      <c r="V74" s="12">
        <f>IF(T$12=0,0,T74/T$12)</f>
        <v>0.10175048403912029</v>
      </c>
      <c r="W74" s="4"/>
      <c r="X74" s="4">
        <f>+P74-T74</f>
        <v>-2559.2999999999993</v>
      </c>
      <c r="Y74" s="4"/>
      <c r="Z74" s="12">
        <f>IF(T74=0,0,X74/T74)</f>
        <v>-0.11351882177815546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4">
        <f>+D72-D74</f>
        <v>685.18000000000006</v>
      </c>
      <c r="E76" s="14"/>
      <c r="F76" s="31">
        <f>IF(D$12=0,0,D76/D$12)</f>
        <v>2.7579294799549188E-2</v>
      </c>
      <c r="G76" s="14"/>
      <c r="H76" s="34">
        <f>+H72-H74</f>
        <v>3758.3800000000033</v>
      </c>
      <c r="I76" s="14"/>
      <c r="J76" s="31">
        <f>IF(H$12=0,0,H76/H$12)</f>
        <v>0.17641663537363891</v>
      </c>
      <c r="K76" s="16"/>
      <c r="L76" s="34">
        <f>D76-H76</f>
        <v>-3073.2000000000035</v>
      </c>
      <c r="M76" s="16"/>
      <c r="N76" s="31">
        <f>IF(H76=0,0,L76/H76)</f>
        <v>-0.81769272931422599</v>
      </c>
      <c r="O76" s="29"/>
      <c r="P76" s="34">
        <f>+P72-P74</f>
        <v>-2053.2199999999284</v>
      </c>
      <c r="Q76" s="14"/>
      <c r="R76" s="31">
        <f>IF(P$12=0,0,P76/P$12)</f>
        <v>-1.0713663283675172E-2</v>
      </c>
      <c r="S76" s="14"/>
      <c r="T76" s="34">
        <f>+T72-T74</f>
        <v>-933.17000000003827</v>
      </c>
      <c r="U76" s="14"/>
      <c r="V76" s="31">
        <f>IF(T$12=0,0,T76/T$12)</f>
        <v>-4.2115690991232609E-3</v>
      </c>
      <c r="W76" s="16"/>
      <c r="X76" s="34">
        <f>P76-T76</f>
        <v>-1120.0499999998901</v>
      </c>
      <c r="Y76" s="16"/>
      <c r="Z76" s="31">
        <f>IF(T76=0,0,X76/T76)</f>
        <v>1.2002636175614778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0">
        <f>SUM(D76:D78)</f>
        <v>685.18000000000006</v>
      </c>
      <c r="E79" s="14"/>
      <c r="F79" s="33">
        <f>IF(D$12=0,0,D79/D$12)</f>
        <v>2.7579294799549188E-2</v>
      </c>
      <c r="G79" s="14"/>
      <c r="H79" s="30">
        <f>SUM(H76:H78)</f>
        <v>3758.3800000000033</v>
      </c>
      <c r="I79" s="14"/>
      <c r="J79" s="33">
        <f>IF(H$12=0,0,H79/H$12)</f>
        <v>0.17641663537363891</v>
      </c>
      <c r="K79" s="16"/>
      <c r="L79" s="30">
        <f>+D79-H79</f>
        <v>-3073.2000000000035</v>
      </c>
      <c r="M79" s="16"/>
      <c r="N79" s="33">
        <f>IF(H79=0,0,L79/H79)</f>
        <v>-0.81769272931422599</v>
      </c>
      <c r="O79" s="29"/>
      <c r="P79" s="30">
        <f>SUM(P76:P78)</f>
        <v>-2053.2199999999284</v>
      </c>
      <c r="Q79" s="14"/>
      <c r="R79" s="33">
        <f>IF(P$12=0,0,P79/P$12)</f>
        <v>-1.0713663283675172E-2</v>
      </c>
      <c r="S79" s="14"/>
      <c r="T79" s="30">
        <f>SUM(T76:T78)</f>
        <v>-933.17000000003827</v>
      </c>
      <c r="U79" s="14"/>
      <c r="V79" s="33">
        <f>IF(T$12=0,0,T79/T$12)</f>
        <v>-4.2115690991232609E-3</v>
      </c>
      <c r="W79" s="16"/>
      <c r="X79" s="30">
        <f>+P79-T79</f>
        <v>-1120.0499999998901</v>
      </c>
      <c r="Y79" s="16"/>
      <c r="Z79" s="33">
        <f>IF(T79=0,0,X79/T79)</f>
        <v>1.2002636175614778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1">
        <v>43879.55445196759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 t="s">
        <v>313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4548</vt:i4>
      </vt:variant>
    </vt:vector>
  </HeadingPairs>
  <TitlesOfParts>
    <vt:vector size="4650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335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'335'!OSRRefD22_0x_0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'335'!OSRRefD22x_0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'335'!OSRRefH22_0x_0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'335'!OSRRefH22x_0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'335'!OSRRefP22_0x_0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'335'!OSRRefP22x_0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'335'!OSRRefT22_0x_0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'335'!OSRRefT22x_0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'335'!Print_Area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'335'!Print_Titles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2020-02-18T21:39:43Z</dcterms:modified>
</cp:coreProperties>
</file>